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54ED68BB-1CE6-481E-B359-15F53B09259A}" xr6:coauthVersionLast="47" xr6:coauthVersionMax="47" xr10:uidLastSave="{00000000-0000-0000-0000-000000000000}"/>
  <bookViews>
    <workbookView xWindow="-120" yWindow="-120" windowWidth="29040" windowHeight="15720" tabRatio="916" activeTab="17"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T33" i="9" l="1"/>
  <c r="T82" i="9"/>
  <c r="T160" i="9"/>
  <c r="AJ3" i="15" l="1"/>
  <c r="AJ4" i="15"/>
  <c r="AJ5" i="15"/>
  <c r="AJ6" i="15"/>
  <c r="AJ7" i="15"/>
  <c r="AJ8" i="15"/>
  <c r="AJ9" i="15"/>
  <c r="AJ10" i="15"/>
  <c r="AJ11" i="15"/>
  <c r="AJ12" i="15"/>
  <c r="AJ13" i="15"/>
  <c r="AJ14" i="15"/>
  <c r="AJ15" i="15"/>
  <c r="AJ16" i="15"/>
  <c r="AJ17" i="15"/>
  <c r="AJ18" i="15"/>
  <c r="AJ19" i="15"/>
  <c r="AJ20" i="15"/>
  <c r="AJ21" i="15"/>
  <c r="AJ22" i="15"/>
  <c r="AJ23" i="15"/>
  <c r="AJ24" i="15"/>
  <c r="AJ25" i="15"/>
  <c r="AJ26" i="15"/>
  <c r="AJ27" i="15"/>
  <c r="AJ28" i="15"/>
  <c r="AJ29" i="15"/>
  <c r="AJ30" i="15"/>
  <c r="AJ31" i="15"/>
  <c r="AJ32" i="15"/>
  <c r="AJ33" i="15"/>
  <c r="AJ34" i="15"/>
  <c r="AJ35" i="15"/>
  <c r="AJ36" i="15"/>
  <c r="AJ37" i="15"/>
  <c r="AJ38" i="15"/>
  <c r="AJ39" i="15"/>
  <c r="AJ40" i="15"/>
  <c r="AJ41" i="15"/>
  <c r="AJ42" i="15"/>
  <c r="AJ43" i="15"/>
  <c r="AJ44" i="15"/>
  <c r="AJ45" i="15"/>
  <c r="AJ46" i="15"/>
  <c r="AJ47" i="15"/>
  <c r="AJ48" i="15"/>
  <c r="AJ49" i="15"/>
  <c r="AJ50" i="15"/>
  <c r="AJ51" i="15"/>
  <c r="AJ52"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J107" i="15"/>
  <c r="AJ108" i="15"/>
  <c r="AJ109" i="15"/>
  <c r="AJ110" i="15"/>
  <c r="AJ111" i="15"/>
  <c r="AJ112" i="15"/>
  <c r="AJ113" i="15"/>
  <c r="AJ114" i="15"/>
  <c r="AJ115" i="15"/>
  <c r="AJ116" i="15"/>
  <c r="AJ117" i="15"/>
  <c r="AJ118" i="15"/>
  <c r="AJ119" i="15"/>
  <c r="AJ120" i="15"/>
  <c r="AJ121" i="15"/>
  <c r="AJ122" i="15"/>
  <c r="AJ123" i="15"/>
  <c r="AJ124" i="15"/>
  <c r="AJ125" i="15"/>
  <c r="AJ126" i="15"/>
  <c r="AJ127" i="15"/>
  <c r="AJ128" i="15"/>
  <c r="AJ129" i="15"/>
  <c r="AJ130" i="15"/>
  <c r="AJ131" i="15"/>
  <c r="AJ132" i="15"/>
  <c r="AJ133" i="15"/>
  <c r="AJ134" i="15"/>
  <c r="AJ135" i="15"/>
  <c r="AJ136" i="15"/>
  <c r="AJ137" i="15"/>
  <c r="AJ138" i="15"/>
  <c r="AJ139" i="15"/>
  <c r="AJ140" i="15"/>
  <c r="AJ141" i="15"/>
  <c r="AJ142" i="15"/>
  <c r="AJ143" i="15"/>
  <c r="AJ144" i="15"/>
  <c r="AJ145" i="15"/>
  <c r="AJ146" i="15"/>
  <c r="AJ147" i="15"/>
  <c r="AJ148" i="15"/>
  <c r="AJ149" i="15"/>
  <c r="AJ150" i="15"/>
  <c r="AJ151" i="15"/>
  <c r="AJ152" i="15"/>
  <c r="AJ153" i="15"/>
  <c r="AJ154" i="15"/>
  <c r="AJ155" i="15"/>
  <c r="AJ156" i="15"/>
  <c r="AJ157" i="15"/>
  <c r="AJ158" i="15"/>
  <c r="AJ159" i="15"/>
  <c r="AJ160" i="15"/>
  <c r="AJ161" i="15"/>
  <c r="AJ162" i="15"/>
  <c r="AJ163" i="15"/>
  <c r="AJ164" i="15"/>
  <c r="AJ165" i="15"/>
  <c r="AJ166" i="15"/>
  <c r="AJ167" i="15"/>
  <c r="AJ168" i="15"/>
  <c r="AJ169" i="15"/>
  <c r="AJ170" i="15"/>
  <c r="AJ171" i="15"/>
  <c r="AJ172" i="15"/>
  <c r="AJ173" i="15"/>
  <c r="AJ174" i="15"/>
  <c r="AJ175" i="15"/>
  <c r="AJ176" i="15"/>
  <c r="AJ177" i="15"/>
  <c r="AJ178" i="15"/>
  <c r="AJ179" i="15"/>
  <c r="AJ180" i="15"/>
  <c r="AJ181" i="15"/>
  <c r="AJ182" i="15"/>
  <c r="AJ183" i="15"/>
  <c r="AJ184" i="15"/>
  <c r="AJ185" i="15"/>
  <c r="AJ186" i="15"/>
  <c r="AJ187" i="15"/>
  <c r="AJ188" i="15"/>
  <c r="AJ189" i="15"/>
  <c r="AJ190" i="15"/>
  <c r="AJ191" i="15"/>
  <c r="AJ192" i="15"/>
  <c r="AJ193" i="15"/>
  <c r="AJ194" i="15"/>
  <c r="AJ195" i="15"/>
  <c r="AJ196" i="15"/>
  <c r="AJ197" i="15"/>
  <c r="AJ198" i="15"/>
  <c r="AJ199" i="15"/>
  <c r="AJ200" i="15"/>
  <c r="AJ201" i="15"/>
  <c r="AJ202" i="15"/>
  <c r="AJ203" i="15"/>
  <c r="AJ204" i="15"/>
  <c r="AJ205" i="15"/>
  <c r="AJ206" i="15"/>
  <c r="AJ207" i="15"/>
  <c r="AJ208" i="15"/>
  <c r="AJ209" i="15"/>
  <c r="AJ210" i="15"/>
  <c r="AJ211" i="15"/>
  <c r="AJ212" i="15"/>
  <c r="AJ213" i="15"/>
  <c r="AJ214" i="15"/>
  <c r="AJ215" i="15"/>
  <c r="AJ216" i="15"/>
  <c r="AJ217" i="15"/>
  <c r="AJ218" i="15"/>
  <c r="AJ219" i="15"/>
  <c r="AJ220" i="15"/>
  <c r="AJ221" i="15"/>
  <c r="AJ222" i="15"/>
  <c r="AJ223" i="15"/>
  <c r="AJ224" i="15"/>
  <c r="AJ225" i="15"/>
  <c r="AJ226" i="15"/>
  <c r="AJ227" i="15"/>
  <c r="AJ228" i="15"/>
  <c r="AJ229" i="15"/>
  <c r="AJ230" i="15"/>
  <c r="AJ231" i="15"/>
  <c r="AJ232" i="15"/>
  <c r="AJ233" i="15"/>
  <c r="AJ234" i="15"/>
  <c r="AJ235" i="15"/>
  <c r="AJ236" i="15"/>
  <c r="AJ237" i="15"/>
  <c r="AJ238" i="15"/>
  <c r="AJ239" i="15"/>
  <c r="AJ240" i="15"/>
  <c r="AJ241" i="15"/>
  <c r="AJ242" i="15"/>
  <c r="AJ243" i="15"/>
  <c r="AJ244" i="15"/>
  <c r="AJ245" i="15"/>
  <c r="AJ246" i="15"/>
  <c r="AJ247" i="15"/>
  <c r="AJ248" i="15"/>
  <c r="AJ249" i="15"/>
  <c r="AJ250" i="15"/>
  <c r="AJ251" i="15"/>
  <c r="AJ252" i="15"/>
  <c r="AJ253" i="15"/>
  <c r="AJ254" i="15"/>
  <c r="AJ255" i="15"/>
  <c r="AJ256" i="15"/>
  <c r="AJ257" i="15"/>
  <c r="AJ258" i="15"/>
  <c r="AJ259" i="15"/>
  <c r="AJ260" i="15"/>
  <c r="AJ261" i="15"/>
  <c r="AJ262" i="15"/>
  <c r="AJ263" i="15"/>
  <c r="AJ264" i="15"/>
  <c r="AJ265" i="15"/>
  <c r="AJ266" i="15"/>
  <c r="AJ267" i="15"/>
  <c r="AJ268" i="15"/>
  <c r="AJ269" i="15"/>
  <c r="AJ270" i="15"/>
  <c r="AJ271" i="15"/>
  <c r="AJ272" i="15"/>
  <c r="AJ273" i="15"/>
  <c r="AJ274" i="15"/>
  <c r="AJ275" i="15"/>
  <c r="AJ276" i="15"/>
  <c r="AJ277" i="15"/>
  <c r="AJ278" i="15"/>
  <c r="AJ279" i="15"/>
  <c r="AJ280" i="15"/>
  <c r="AJ281" i="15"/>
  <c r="AJ282" i="15"/>
  <c r="AJ283" i="15"/>
  <c r="AJ284" i="15"/>
  <c r="AJ285" i="15"/>
  <c r="AJ286" i="15"/>
  <c r="AJ287" i="15"/>
  <c r="AJ288" i="15"/>
  <c r="AJ289" i="15"/>
  <c r="AJ290" i="15"/>
  <c r="AJ291" i="15"/>
  <c r="AJ292" i="15"/>
  <c r="AJ293" i="15"/>
  <c r="AJ294" i="15"/>
  <c r="AJ295" i="15"/>
  <c r="AJ296" i="15"/>
  <c r="AJ297" i="15"/>
  <c r="AJ298" i="15"/>
  <c r="AJ299" i="15"/>
  <c r="AJ300" i="15"/>
  <c r="AJ301" i="15"/>
  <c r="AJ302" i="15"/>
  <c r="AJ303" i="15"/>
  <c r="AJ304" i="15"/>
  <c r="AJ305" i="15"/>
  <c r="AJ306" i="15"/>
  <c r="AJ307" i="15"/>
  <c r="AJ308" i="15"/>
  <c r="AJ309" i="15"/>
  <c r="AJ310" i="15"/>
  <c r="AJ311" i="15"/>
  <c r="AJ312" i="15"/>
  <c r="AJ313" i="15"/>
  <c r="AJ314" i="15"/>
  <c r="AJ315" i="15"/>
  <c r="AJ316" i="15"/>
  <c r="AJ317" i="15"/>
  <c r="AJ318" i="15"/>
  <c r="AJ319" i="15"/>
  <c r="AJ320" i="15"/>
  <c r="AJ321" i="15"/>
  <c r="AJ322" i="15"/>
  <c r="AJ323" i="15"/>
  <c r="AJ324" i="15"/>
  <c r="AJ325" i="15"/>
  <c r="AJ326" i="15"/>
  <c r="AJ327" i="15"/>
  <c r="AJ328" i="15"/>
  <c r="AJ329" i="15"/>
  <c r="AJ330" i="15"/>
  <c r="AJ331" i="15"/>
  <c r="AJ332" i="15"/>
  <c r="AJ333" i="15"/>
  <c r="AJ334" i="15"/>
  <c r="AJ335" i="15"/>
  <c r="AJ336" i="15"/>
  <c r="AJ337" i="15"/>
  <c r="AJ338" i="15"/>
  <c r="AJ339" i="15"/>
  <c r="AJ340" i="15"/>
  <c r="AJ341" i="15"/>
  <c r="AJ342" i="15"/>
  <c r="AJ343" i="15"/>
  <c r="AJ344" i="15"/>
  <c r="AJ345" i="15"/>
  <c r="AJ346" i="15"/>
  <c r="AJ347" i="15"/>
  <c r="AJ348" i="15"/>
  <c r="AJ349" i="15"/>
  <c r="AJ350" i="15"/>
  <c r="AJ351" i="15"/>
  <c r="AJ352" i="15"/>
  <c r="AJ353" i="15"/>
  <c r="AJ354" i="15"/>
  <c r="AJ355" i="15"/>
  <c r="AJ356" i="15"/>
  <c r="AJ357" i="15"/>
  <c r="AJ358" i="15"/>
  <c r="AJ359" i="15"/>
  <c r="AJ360" i="15"/>
  <c r="AJ361" i="15"/>
  <c r="AJ362" i="15"/>
  <c r="AJ363" i="15"/>
  <c r="AJ364" i="15"/>
  <c r="AJ365" i="15"/>
  <c r="AJ366" i="15"/>
  <c r="AJ367" i="15"/>
  <c r="AJ368" i="15"/>
  <c r="AJ369" i="15"/>
  <c r="AJ370" i="15"/>
  <c r="AJ371" i="15"/>
  <c r="AJ372" i="15"/>
  <c r="AJ373" i="15"/>
  <c r="AJ374" i="15"/>
  <c r="AJ375" i="15"/>
  <c r="AJ376" i="15"/>
  <c r="AJ377" i="15"/>
  <c r="AJ378" i="15"/>
  <c r="AJ379" i="15"/>
  <c r="AJ380" i="15"/>
  <c r="AJ381" i="15"/>
  <c r="AJ382" i="15"/>
  <c r="AJ383" i="15"/>
  <c r="AJ384" i="15"/>
  <c r="AJ385" i="15"/>
  <c r="AJ386" i="15"/>
  <c r="AJ387" i="15"/>
  <c r="AJ388" i="15"/>
  <c r="AJ389" i="15"/>
  <c r="AJ390" i="15"/>
  <c r="AJ391" i="15"/>
  <c r="AJ392" i="15"/>
  <c r="AJ393" i="15"/>
  <c r="AJ394" i="15"/>
  <c r="AJ395" i="15"/>
  <c r="AJ396" i="15"/>
  <c r="AJ397" i="15"/>
  <c r="AJ398" i="15"/>
  <c r="AJ399" i="15"/>
  <c r="AJ400" i="15"/>
  <c r="AJ401" i="15"/>
  <c r="AJ402" i="15"/>
  <c r="AJ403" i="15"/>
  <c r="AJ404" i="15"/>
  <c r="AJ405" i="15"/>
  <c r="AJ406" i="15"/>
  <c r="AJ407" i="15"/>
  <c r="AJ408" i="15"/>
  <c r="AJ409" i="15"/>
  <c r="AJ410" i="15"/>
  <c r="AJ411" i="15"/>
  <c r="AJ412" i="15"/>
  <c r="AJ413" i="15"/>
  <c r="AJ414" i="15"/>
  <c r="AJ415" i="15"/>
  <c r="AJ416" i="15"/>
  <c r="AJ417" i="15"/>
  <c r="AJ418" i="15"/>
  <c r="AJ419" i="15"/>
  <c r="AJ420" i="15"/>
  <c r="AJ421" i="15"/>
  <c r="AJ422" i="15"/>
  <c r="AJ423" i="15"/>
  <c r="AJ424" i="15"/>
  <c r="AJ425" i="15"/>
  <c r="AJ426" i="15"/>
  <c r="AJ427" i="15"/>
  <c r="AJ428" i="15"/>
  <c r="AJ429" i="15"/>
  <c r="AJ430" i="15"/>
  <c r="AJ431" i="15"/>
  <c r="AJ432" i="15"/>
  <c r="AJ433" i="15"/>
  <c r="AJ434" i="15"/>
  <c r="AJ435" i="15"/>
  <c r="AJ436" i="15"/>
  <c r="AJ437" i="15"/>
  <c r="AJ438" i="15"/>
  <c r="AJ439" i="15"/>
  <c r="AJ440" i="15"/>
  <c r="AJ441" i="15"/>
  <c r="AJ442" i="15"/>
  <c r="AJ443" i="15"/>
  <c r="AJ444" i="15"/>
  <c r="AJ445" i="15"/>
  <c r="AJ446" i="15"/>
  <c r="AJ447" i="15"/>
  <c r="AJ448" i="15"/>
  <c r="AJ449" i="15"/>
  <c r="AJ450" i="15"/>
  <c r="AJ451" i="15"/>
  <c r="AJ452" i="15"/>
  <c r="AJ453" i="15"/>
  <c r="AJ454" i="15"/>
  <c r="AJ455" i="15"/>
  <c r="AJ456" i="15"/>
  <c r="AJ457" i="15"/>
  <c r="AJ458" i="15"/>
  <c r="AJ459" i="15"/>
  <c r="AJ460" i="15"/>
  <c r="AJ461" i="15"/>
  <c r="AJ462" i="15"/>
  <c r="AJ463" i="15"/>
  <c r="AJ464" i="15"/>
  <c r="AJ465" i="15"/>
  <c r="AJ466" i="15"/>
  <c r="AJ467" i="15"/>
  <c r="AJ468" i="15"/>
  <c r="AJ469" i="15"/>
  <c r="AJ470" i="15"/>
  <c r="AJ471" i="15"/>
  <c r="AJ472" i="15"/>
  <c r="AJ473" i="15"/>
  <c r="AJ474" i="15"/>
  <c r="AJ475" i="15"/>
  <c r="AJ476" i="15"/>
  <c r="AJ477" i="15"/>
  <c r="AJ478" i="15"/>
  <c r="AJ479" i="15"/>
  <c r="AJ480" i="15"/>
  <c r="AJ481" i="15"/>
  <c r="AJ482" i="15"/>
  <c r="AJ483" i="15"/>
  <c r="AJ484" i="15"/>
  <c r="AJ485" i="15"/>
  <c r="AJ486" i="15"/>
  <c r="AJ487" i="15"/>
  <c r="AJ488" i="15"/>
  <c r="AJ489" i="15"/>
  <c r="AJ490" i="15"/>
  <c r="AJ491" i="15"/>
  <c r="AJ492" i="15"/>
  <c r="AJ493" i="15"/>
  <c r="AJ494" i="15"/>
  <c r="AJ495" i="15"/>
  <c r="AJ496" i="15"/>
  <c r="AJ497" i="15"/>
  <c r="AJ498" i="15"/>
  <c r="AJ499" i="15"/>
  <c r="AJ500" i="15"/>
  <c r="AJ501" i="15"/>
  <c r="AJ502" i="15"/>
  <c r="AJ503" i="15"/>
  <c r="AJ504" i="15"/>
  <c r="AJ505" i="15"/>
  <c r="AJ506" i="15"/>
  <c r="AJ507" i="15"/>
  <c r="AJ508" i="15"/>
  <c r="AJ509" i="15"/>
  <c r="AJ510" i="15"/>
  <c r="AJ511" i="15"/>
  <c r="AJ512" i="15"/>
  <c r="AJ513" i="15"/>
  <c r="AJ514" i="15"/>
  <c r="AJ515" i="15"/>
  <c r="AJ516" i="15"/>
  <c r="AJ517" i="15"/>
  <c r="AJ518" i="15"/>
  <c r="AJ519" i="15"/>
  <c r="AJ520" i="15"/>
  <c r="AJ521" i="15"/>
  <c r="AJ522" i="15"/>
  <c r="AJ523" i="15"/>
  <c r="AJ524" i="15"/>
  <c r="AJ525" i="15"/>
  <c r="AJ526" i="15"/>
  <c r="AJ527" i="15"/>
  <c r="AJ528" i="15"/>
  <c r="AJ529" i="15"/>
  <c r="AJ530" i="15"/>
  <c r="AJ531" i="15"/>
  <c r="AJ532" i="15"/>
  <c r="AJ533" i="15"/>
  <c r="AJ534" i="15"/>
  <c r="AJ535" i="15"/>
  <c r="AJ536" i="15"/>
  <c r="AJ537" i="15"/>
  <c r="AJ538" i="15"/>
  <c r="AJ539" i="15"/>
  <c r="AJ540" i="15"/>
  <c r="AJ541" i="15"/>
  <c r="AJ542" i="15"/>
  <c r="AJ543" i="15"/>
  <c r="AJ544" i="15"/>
  <c r="AJ545" i="15"/>
  <c r="AJ546" i="15"/>
  <c r="AJ547" i="15"/>
  <c r="AJ548" i="15"/>
  <c r="AJ549" i="15"/>
  <c r="AJ550" i="15"/>
  <c r="AJ551" i="15"/>
  <c r="AJ552" i="15"/>
  <c r="AJ553" i="15"/>
  <c r="AJ554" i="15"/>
  <c r="AJ555" i="15"/>
  <c r="AJ556" i="15"/>
  <c r="AJ557" i="15"/>
  <c r="AJ558" i="15"/>
  <c r="AJ559" i="15"/>
  <c r="AJ560" i="15"/>
  <c r="AJ561" i="15"/>
  <c r="AJ562" i="15"/>
  <c r="AJ563" i="15"/>
  <c r="AJ564" i="15"/>
  <c r="AJ565" i="15"/>
  <c r="AJ566" i="15"/>
  <c r="AJ567" i="15"/>
  <c r="AJ568" i="15"/>
  <c r="AJ569" i="15"/>
  <c r="AJ570" i="15"/>
  <c r="AJ571" i="15"/>
  <c r="AJ572" i="15"/>
  <c r="AJ573" i="15"/>
  <c r="AJ574" i="15"/>
  <c r="AJ575" i="15"/>
  <c r="AJ576" i="15"/>
  <c r="AJ577" i="15"/>
  <c r="AJ578" i="15"/>
  <c r="AJ579" i="15"/>
  <c r="AJ580" i="15"/>
  <c r="AJ581" i="15"/>
  <c r="AJ582" i="15"/>
  <c r="AJ583" i="15"/>
  <c r="AJ584" i="15"/>
  <c r="AJ585" i="15"/>
  <c r="AJ586" i="15"/>
  <c r="AJ587" i="15"/>
  <c r="AJ588" i="15"/>
  <c r="AJ589" i="15"/>
  <c r="AJ590" i="15"/>
  <c r="AJ591" i="15"/>
  <c r="AJ592" i="15"/>
  <c r="AJ593" i="15"/>
  <c r="AJ594" i="15"/>
  <c r="AJ595" i="15"/>
  <c r="AJ596" i="15"/>
  <c r="AJ597" i="15"/>
  <c r="AJ598" i="15"/>
  <c r="AJ599" i="15"/>
  <c r="AJ600" i="15"/>
  <c r="AJ601" i="15"/>
  <c r="AJ602" i="15"/>
  <c r="AJ603" i="15"/>
  <c r="AJ604" i="15"/>
  <c r="AJ605" i="15"/>
  <c r="AJ606" i="15"/>
  <c r="AJ607" i="15"/>
  <c r="AJ608" i="15"/>
  <c r="AJ609" i="15"/>
  <c r="AJ610" i="15"/>
  <c r="AJ611" i="15"/>
  <c r="AJ612" i="15"/>
  <c r="AJ613" i="15"/>
  <c r="AJ614" i="15"/>
  <c r="AJ615" i="15"/>
  <c r="AJ616" i="15"/>
  <c r="AJ617" i="15"/>
  <c r="AJ618" i="15"/>
  <c r="AJ619" i="15"/>
  <c r="AJ620" i="15"/>
  <c r="AJ621" i="15"/>
  <c r="AJ622" i="15"/>
  <c r="AJ623" i="15"/>
  <c r="AJ624" i="15"/>
  <c r="AJ625" i="15"/>
  <c r="AJ626" i="15"/>
  <c r="AJ627" i="15"/>
  <c r="AJ628" i="15"/>
  <c r="AJ629" i="15"/>
  <c r="AJ630" i="15"/>
  <c r="AJ631" i="15"/>
  <c r="AJ632" i="15"/>
  <c r="AJ633" i="15"/>
  <c r="AJ634" i="15"/>
  <c r="AJ635" i="15"/>
  <c r="AJ636" i="15"/>
  <c r="AJ637" i="15"/>
  <c r="AJ638" i="15"/>
  <c r="AJ639" i="15"/>
  <c r="AJ640" i="15"/>
  <c r="AJ641" i="15"/>
  <c r="AJ642" i="15"/>
  <c r="AJ643" i="15"/>
  <c r="AJ644" i="15"/>
  <c r="AJ645" i="15"/>
  <c r="AJ646" i="15"/>
  <c r="AJ647" i="15"/>
  <c r="AJ648" i="15"/>
  <c r="AJ649" i="15"/>
  <c r="AJ650" i="15"/>
  <c r="AJ651" i="15"/>
  <c r="AJ652" i="15"/>
  <c r="AJ653" i="15"/>
  <c r="AJ654" i="15"/>
  <c r="AJ655" i="15"/>
  <c r="AJ656" i="15"/>
  <c r="AJ657" i="15"/>
  <c r="AJ658" i="15"/>
  <c r="AJ659" i="15"/>
  <c r="AJ660" i="15"/>
  <c r="AJ661" i="15"/>
  <c r="AJ662" i="15"/>
  <c r="AJ663" i="15"/>
  <c r="AJ664" i="15"/>
  <c r="AJ665" i="15"/>
  <c r="AJ666" i="15"/>
  <c r="AJ667" i="15"/>
  <c r="AJ668" i="15"/>
  <c r="AJ669" i="15"/>
  <c r="AJ670" i="15"/>
  <c r="AJ671" i="15"/>
  <c r="AJ672" i="15"/>
  <c r="AJ673" i="15"/>
  <c r="AJ674" i="15"/>
  <c r="AJ675" i="15"/>
  <c r="AJ676" i="15"/>
  <c r="AJ677" i="15"/>
  <c r="AJ678" i="15"/>
  <c r="AJ679" i="15"/>
  <c r="AJ680" i="15"/>
  <c r="AJ681" i="15"/>
  <c r="AJ682" i="15"/>
  <c r="AJ683" i="15"/>
  <c r="AJ684" i="15"/>
  <c r="AJ685" i="15"/>
  <c r="AJ686" i="15"/>
  <c r="AJ687" i="15"/>
  <c r="AJ688" i="15"/>
  <c r="AJ689" i="15"/>
  <c r="AJ690" i="15"/>
  <c r="AJ691" i="15"/>
  <c r="AJ692" i="15"/>
  <c r="AJ693" i="15"/>
  <c r="AJ694" i="15"/>
  <c r="AJ695" i="15"/>
  <c r="AJ696" i="15"/>
  <c r="AJ697" i="15"/>
  <c r="AJ698" i="15"/>
  <c r="AJ699" i="15"/>
  <c r="AJ700" i="15"/>
  <c r="AJ701" i="15"/>
  <c r="AJ702" i="15"/>
  <c r="AJ703" i="15"/>
  <c r="AJ704" i="15"/>
  <c r="AJ705" i="15"/>
  <c r="AJ706" i="15"/>
  <c r="AJ707" i="15"/>
  <c r="AJ708" i="15"/>
  <c r="AJ709" i="15"/>
  <c r="AJ710" i="15"/>
  <c r="AJ711" i="15"/>
  <c r="AJ712" i="15"/>
  <c r="AJ713" i="15"/>
  <c r="AJ714" i="15"/>
  <c r="AJ715" i="15"/>
  <c r="AJ716" i="15"/>
  <c r="AJ717" i="15"/>
  <c r="AJ718" i="15"/>
  <c r="AJ719" i="15"/>
  <c r="AJ720" i="15"/>
  <c r="AJ721" i="15"/>
  <c r="AJ722" i="15"/>
  <c r="AJ723" i="15"/>
  <c r="AJ724" i="15"/>
  <c r="AJ725" i="15"/>
  <c r="AJ726" i="15"/>
  <c r="AJ727" i="15"/>
  <c r="AJ728" i="15"/>
  <c r="AJ729" i="15"/>
  <c r="AJ730" i="15"/>
  <c r="AJ731" i="15"/>
  <c r="AJ732" i="15"/>
  <c r="AJ733" i="15"/>
  <c r="AJ734" i="15"/>
  <c r="AJ735" i="15"/>
  <c r="AJ736" i="15"/>
  <c r="AJ737" i="15"/>
  <c r="AJ738" i="15"/>
  <c r="AJ739" i="15"/>
  <c r="AJ740" i="15"/>
  <c r="AJ741" i="15"/>
  <c r="AJ742" i="15"/>
  <c r="AJ743" i="15"/>
  <c r="AJ744" i="15"/>
  <c r="AJ745" i="15"/>
  <c r="AJ746" i="15"/>
  <c r="AJ747" i="15"/>
  <c r="AJ748" i="15"/>
  <c r="AJ749" i="15"/>
  <c r="AJ750" i="15"/>
  <c r="AJ751" i="15"/>
  <c r="AJ752" i="15"/>
  <c r="AJ753" i="15"/>
  <c r="AJ754" i="15"/>
  <c r="AJ755" i="15"/>
  <c r="AJ756" i="15"/>
  <c r="AJ757" i="15"/>
  <c r="AJ758" i="15"/>
  <c r="AJ759" i="15"/>
  <c r="AJ760" i="15"/>
  <c r="AJ761" i="15"/>
  <c r="AJ762" i="15"/>
  <c r="AJ763" i="15"/>
  <c r="AJ764" i="15"/>
  <c r="AJ765" i="15"/>
  <c r="AJ766" i="15"/>
  <c r="AJ767" i="15"/>
  <c r="AJ768" i="15"/>
  <c r="AJ769" i="15"/>
  <c r="AJ770" i="15"/>
  <c r="AJ771" i="15"/>
  <c r="AJ772" i="15"/>
  <c r="AJ773" i="15"/>
  <c r="AJ774" i="15"/>
  <c r="AJ775" i="15"/>
  <c r="AJ776" i="15"/>
  <c r="AJ777" i="15"/>
  <c r="AJ778" i="15"/>
  <c r="AJ779" i="15"/>
  <c r="AJ780" i="15"/>
  <c r="AJ781" i="15"/>
  <c r="AJ782" i="15"/>
  <c r="AJ783" i="15"/>
  <c r="AJ784" i="15"/>
  <c r="AJ785" i="15"/>
  <c r="AJ786" i="15"/>
  <c r="AJ787" i="15"/>
  <c r="AJ788" i="15"/>
  <c r="AJ789" i="15"/>
  <c r="AJ790" i="15"/>
  <c r="AJ791" i="15"/>
  <c r="AJ792" i="15"/>
  <c r="AJ793" i="15"/>
  <c r="AJ794" i="15"/>
  <c r="AJ795" i="15"/>
  <c r="AJ796" i="15"/>
  <c r="AJ797" i="15"/>
  <c r="AJ798" i="15"/>
  <c r="AJ799" i="15"/>
  <c r="AJ800" i="15"/>
  <c r="AJ801" i="15"/>
  <c r="AJ802" i="15"/>
  <c r="AJ803" i="15"/>
  <c r="AJ804" i="15"/>
  <c r="AJ805" i="15"/>
  <c r="AJ806" i="15"/>
  <c r="AJ807" i="15"/>
  <c r="AJ808" i="15"/>
  <c r="AJ809" i="15"/>
  <c r="AJ810" i="15"/>
  <c r="AJ811" i="15"/>
  <c r="AJ812" i="15"/>
  <c r="AJ813" i="15"/>
  <c r="AJ814" i="15"/>
  <c r="AJ815" i="15"/>
  <c r="AJ816" i="15"/>
  <c r="AJ817" i="15"/>
  <c r="AJ818" i="15"/>
  <c r="AJ819" i="15"/>
  <c r="AJ820" i="15"/>
  <c r="AJ821" i="15"/>
  <c r="AJ822" i="15"/>
  <c r="AJ823" i="15"/>
  <c r="AJ824" i="15"/>
  <c r="AJ825" i="15"/>
  <c r="AJ826" i="15"/>
  <c r="AJ827" i="15"/>
  <c r="AJ828" i="15"/>
  <c r="AJ829" i="15"/>
  <c r="AJ830" i="15"/>
  <c r="AJ831" i="15"/>
  <c r="AJ832" i="15"/>
  <c r="AJ833" i="15"/>
  <c r="AJ834" i="15"/>
  <c r="AJ835" i="15"/>
  <c r="AJ836" i="15"/>
  <c r="AJ837" i="15"/>
  <c r="AJ838" i="15"/>
  <c r="AJ839" i="15"/>
  <c r="AJ840" i="15"/>
  <c r="AJ841" i="15"/>
  <c r="AJ842" i="15"/>
  <c r="AJ843" i="15"/>
  <c r="AJ844" i="15"/>
  <c r="AJ845" i="15"/>
  <c r="AJ846" i="15"/>
  <c r="AJ847" i="15"/>
  <c r="AJ848" i="15"/>
  <c r="AJ849" i="15"/>
  <c r="AJ850" i="15"/>
  <c r="AJ851" i="15"/>
  <c r="AJ852" i="15"/>
  <c r="AJ853" i="15"/>
  <c r="AJ854" i="15"/>
  <c r="AJ855" i="15"/>
  <c r="AJ856" i="15"/>
  <c r="AJ857" i="15"/>
  <c r="AJ858" i="15"/>
  <c r="AJ859" i="15"/>
  <c r="AJ860" i="15"/>
  <c r="AJ861" i="15"/>
  <c r="AJ862" i="15"/>
  <c r="AJ863" i="15"/>
  <c r="AJ864" i="15"/>
  <c r="AJ865" i="15"/>
  <c r="AJ866" i="15"/>
  <c r="AJ867" i="15"/>
  <c r="AJ868" i="15"/>
  <c r="AJ869" i="15"/>
  <c r="AJ870" i="15"/>
  <c r="AJ871" i="15"/>
  <c r="AJ872" i="15"/>
  <c r="AJ873" i="15"/>
  <c r="AJ874" i="15"/>
  <c r="AJ875" i="15"/>
  <c r="AJ876" i="15"/>
  <c r="AJ877" i="15"/>
  <c r="AJ878" i="15"/>
  <c r="AJ879" i="15"/>
  <c r="AJ880" i="15"/>
  <c r="AJ881" i="15"/>
  <c r="AJ882" i="15"/>
  <c r="AJ883" i="15"/>
  <c r="AJ884" i="15"/>
  <c r="AJ885" i="15"/>
  <c r="AJ886" i="15"/>
  <c r="AJ887" i="15"/>
  <c r="AJ888" i="15"/>
  <c r="AJ889" i="15"/>
  <c r="AJ890" i="15"/>
  <c r="AJ891" i="15"/>
  <c r="AJ892" i="15"/>
  <c r="AJ893" i="15"/>
  <c r="AJ894" i="15"/>
  <c r="AJ895" i="15"/>
  <c r="AJ896" i="15"/>
  <c r="AJ897" i="15"/>
  <c r="AJ898" i="15"/>
  <c r="AJ899" i="15"/>
  <c r="AJ900" i="15"/>
  <c r="AJ901" i="15"/>
  <c r="AJ902" i="15"/>
  <c r="AJ903" i="15"/>
  <c r="AJ904" i="15"/>
  <c r="AJ905" i="15"/>
  <c r="AJ906" i="15"/>
  <c r="AJ907" i="15"/>
  <c r="AJ908" i="15"/>
  <c r="AJ909" i="15"/>
  <c r="AJ910" i="15"/>
  <c r="AJ911" i="15"/>
  <c r="AJ912" i="15"/>
  <c r="AJ913" i="15"/>
  <c r="AJ914" i="15"/>
  <c r="AJ915" i="15"/>
  <c r="AJ916" i="15"/>
  <c r="AJ917" i="15"/>
  <c r="AJ918" i="15"/>
  <c r="AJ919" i="15"/>
  <c r="AJ920" i="15"/>
  <c r="AJ921" i="15"/>
  <c r="AJ922" i="15"/>
  <c r="AJ923" i="15"/>
  <c r="AJ924" i="15"/>
  <c r="AJ925" i="15"/>
  <c r="AJ926" i="15"/>
  <c r="AJ927" i="15"/>
  <c r="AJ928" i="15"/>
  <c r="AJ929" i="15"/>
  <c r="AJ930" i="15"/>
  <c r="AJ931" i="15"/>
  <c r="AJ932" i="15"/>
  <c r="AJ933" i="15"/>
  <c r="AJ934" i="15"/>
  <c r="AJ935" i="15"/>
  <c r="AJ936" i="15"/>
  <c r="AJ937" i="15"/>
  <c r="AJ938" i="15"/>
  <c r="AJ939" i="15"/>
  <c r="AJ940" i="15"/>
  <c r="AJ941" i="15"/>
  <c r="AJ942" i="15"/>
  <c r="AJ943" i="15"/>
  <c r="AJ944" i="15"/>
  <c r="AJ945" i="15"/>
  <c r="AJ946" i="15"/>
  <c r="AJ947" i="15"/>
  <c r="AJ948" i="15"/>
  <c r="AJ949" i="15"/>
  <c r="AJ950" i="15"/>
  <c r="AJ951" i="15"/>
  <c r="AJ952" i="15"/>
  <c r="AJ953" i="15"/>
  <c r="AJ954" i="15"/>
  <c r="AJ955" i="15"/>
  <c r="AJ956" i="15"/>
  <c r="AJ957" i="15"/>
  <c r="AJ958" i="15"/>
  <c r="AJ959" i="15"/>
  <c r="AJ960" i="15"/>
  <c r="AJ961" i="15"/>
  <c r="AJ962" i="15"/>
  <c r="AJ963" i="15"/>
  <c r="AJ964" i="15"/>
  <c r="AJ965" i="15"/>
  <c r="AJ966" i="15"/>
  <c r="AJ967" i="15"/>
  <c r="AJ968" i="15"/>
  <c r="AJ969" i="15"/>
  <c r="AJ970" i="15"/>
  <c r="AJ971" i="15"/>
  <c r="AJ972" i="15"/>
  <c r="AJ973" i="15"/>
  <c r="AJ974" i="15"/>
  <c r="AJ975" i="15"/>
  <c r="AJ976" i="15"/>
  <c r="AJ977" i="15"/>
  <c r="AJ978" i="15"/>
  <c r="AJ979" i="15"/>
  <c r="AJ980" i="15"/>
  <c r="AJ981" i="15"/>
  <c r="AJ982" i="15"/>
  <c r="AJ983" i="15"/>
  <c r="AJ984" i="15"/>
  <c r="AJ985" i="15"/>
  <c r="AJ986" i="15"/>
  <c r="AJ987" i="15"/>
  <c r="AJ988" i="15"/>
  <c r="AJ989" i="15"/>
  <c r="AJ990" i="15"/>
  <c r="AJ991" i="15"/>
  <c r="AJ992" i="15"/>
  <c r="AJ993" i="15"/>
  <c r="AJ994" i="15"/>
  <c r="AJ995" i="15"/>
  <c r="AJ996" i="15"/>
  <c r="AJ997" i="15"/>
  <c r="AJ998" i="15"/>
  <c r="AJ999" i="15"/>
  <c r="AJ1000" i="15"/>
  <c r="AJ1001" i="15"/>
  <c r="AJ1002" i="15"/>
  <c r="AJ1003" i="15"/>
  <c r="AJ1004" i="15"/>
  <c r="AJ1005" i="15"/>
  <c r="AJ1006" i="15"/>
  <c r="AJ1007" i="15"/>
  <c r="AJ1008" i="15"/>
  <c r="AJ1009" i="15"/>
  <c r="AJ1010" i="15"/>
  <c r="AJ1011" i="15"/>
  <c r="AJ1012" i="15"/>
  <c r="AJ1013" i="15"/>
  <c r="AJ1014" i="15"/>
  <c r="AJ1015" i="15"/>
  <c r="AJ1016" i="15"/>
  <c r="AJ1017" i="15"/>
  <c r="AJ1018" i="15"/>
  <c r="AJ1019" i="15"/>
  <c r="AJ1020" i="15"/>
  <c r="AJ1021" i="15"/>
  <c r="AJ1022" i="15"/>
  <c r="AJ1023" i="15"/>
  <c r="AJ1024" i="15"/>
  <c r="AJ1025" i="15"/>
  <c r="AJ1026" i="15"/>
  <c r="AJ1027" i="15"/>
  <c r="AJ1028" i="15"/>
  <c r="AJ1029" i="15"/>
  <c r="AJ1030" i="15"/>
  <c r="AJ1031" i="15"/>
  <c r="AJ1032" i="15"/>
  <c r="AJ1033" i="15"/>
  <c r="AJ1034" i="15"/>
  <c r="AJ1035" i="15"/>
  <c r="AJ1036" i="15"/>
  <c r="AJ1037" i="15"/>
  <c r="AJ1038" i="15"/>
  <c r="AJ1039" i="15"/>
  <c r="AJ1040" i="15"/>
  <c r="AJ1041" i="15"/>
  <c r="AJ1042" i="15"/>
  <c r="AJ1043" i="15"/>
  <c r="AJ1044" i="15"/>
  <c r="AJ1045" i="15"/>
  <c r="AJ1046" i="15"/>
  <c r="AJ1047" i="15"/>
  <c r="AJ1048" i="15"/>
  <c r="AJ1049" i="15"/>
  <c r="AJ1050" i="15"/>
  <c r="AJ1051" i="15"/>
  <c r="AJ1052" i="15"/>
  <c r="AJ1053" i="15"/>
  <c r="AJ1054" i="15"/>
  <c r="AJ1055" i="15"/>
  <c r="AJ1056" i="15"/>
  <c r="AJ1057" i="15"/>
  <c r="AJ1058" i="15"/>
  <c r="AJ1059" i="15"/>
  <c r="AJ1060" i="15"/>
  <c r="AJ1061" i="15"/>
  <c r="AJ1062" i="15"/>
  <c r="AJ1063" i="15"/>
  <c r="AJ1064" i="15"/>
  <c r="AJ1065" i="15"/>
  <c r="AJ1066" i="15"/>
  <c r="AJ1067" i="15"/>
  <c r="U27" i="9"/>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K1013" i="15"/>
  <c r="AL1013" i="15"/>
  <c r="AN1013" i="15"/>
  <c r="AT1013" i="15"/>
  <c r="AU1013" i="15"/>
  <c r="AV1013" i="15"/>
  <c r="AX1013" i="15"/>
  <c r="AP1014" i="15"/>
  <c r="AK1014" i="15"/>
  <c r="AL1014" i="15"/>
  <c r="AN1014" i="15"/>
  <c r="AT1014" i="15"/>
  <c r="AU1014" i="15"/>
  <c r="AV1014" i="15"/>
  <c r="AX1014" i="15"/>
  <c r="AP1015" i="15"/>
  <c r="AK1015" i="15"/>
  <c r="AL1015" i="15"/>
  <c r="AN1015" i="15"/>
  <c r="AT1015" i="15"/>
  <c r="AU1015" i="15"/>
  <c r="AV1015" i="15"/>
  <c r="AX1015" i="15"/>
  <c r="AQ1016" i="15"/>
  <c r="AK1016" i="15"/>
  <c r="AL1016" i="15"/>
  <c r="AN1016" i="15"/>
  <c r="AT1016" i="15"/>
  <c r="AU1016" i="15"/>
  <c r="AV1016" i="15"/>
  <c r="AX1016" i="15"/>
  <c r="AZ1017" i="15"/>
  <c r="AK1017" i="15"/>
  <c r="AL1017" i="15"/>
  <c r="AN1017" i="15"/>
  <c r="AT1017" i="15"/>
  <c r="AU1017" i="15"/>
  <c r="AV1017" i="15"/>
  <c r="AX1017" i="15"/>
  <c r="AP1018" i="15"/>
  <c r="AK1018" i="15"/>
  <c r="AL1018" i="15"/>
  <c r="AN1018" i="15"/>
  <c r="AT1018" i="15"/>
  <c r="AU1018" i="15"/>
  <c r="AV1018" i="15"/>
  <c r="AX1018" i="15"/>
  <c r="AP1019" i="15"/>
  <c r="AK1019" i="15"/>
  <c r="AL1019" i="15"/>
  <c r="AN1019" i="15"/>
  <c r="AT1019" i="15"/>
  <c r="AU1019" i="15"/>
  <c r="AV1019" i="15"/>
  <c r="AX1019" i="15"/>
  <c r="AQ1020" i="15"/>
  <c r="AK1020" i="15"/>
  <c r="AL1020" i="15"/>
  <c r="AN1020" i="15"/>
  <c r="AT1020" i="15"/>
  <c r="AU1020" i="15"/>
  <c r="AV1020" i="15"/>
  <c r="AX1020" i="15"/>
  <c r="AZ1021" i="15"/>
  <c r="AK1021" i="15"/>
  <c r="AL1021" i="15"/>
  <c r="AN1021" i="15"/>
  <c r="AT1021" i="15"/>
  <c r="AU1021" i="15"/>
  <c r="AV1021" i="15"/>
  <c r="AX1021" i="15"/>
  <c r="AP1022" i="15"/>
  <c r="AK1022" i="15"/>
  <c r="AL1022" i="15"/>
  <c r="AN1022" i="15"/>
  <c r="AT1022" i="15"/>
  <c r="AU1022" i="15"/>
  <c r="AV1022" i="15"/>
  <c r="AX1022" i="15"/>
  <c r="AP1023" i="15"/>
  <c r="AK1023" i="15"/>
  <c r="AL1023" i="15"/>
  <c r="AN1023" i="15"/>
  <c r="AT1023" i="15"/>
  <c r="AU1023" i="15"/>
  <c r="AV1023" i="15"/>
  <c r="AX1023" i="15"/>
  <c r="AQ1024" i="15"/>
  <c r="AK1024" i="15"/>
  <c r="AL1024" i="15"/>
  <c r="AN1024" i="15"/>
  <c r="AT1024" i="15"/>
  <c r="AU1024" i="15"/>
  <c r="AV1024" i="15"/>
  <c r="AX1024" i="15"/>
  <c r="AO1025" i="15"/>
  <c r="AK1025" i="15"/>
  <c r="AL1025" i="15"/>
  <c r="AN1025" i="15"/>
  <c r="AT1025" i="15"/>
  <c r="AU1025" i="15"/>
  <c r="AV1025" i="15"/>
  <c r="AX1025" i="15"/>
  <c r="AP1026" i="15"/>
  <c r="AK1026" i="15"/>
  <c r="AL1026" i="15"/>
  <c r="AN1026" i="15"/>
  <c r="AT1026" i="15"/>
  <c r="AU1026" i="15"/>
  <c r="AV1026" i="15"/>
  <c r="AX1026" i="15"/>
  <c r="AP1027" i="15"/>
  <c r="AK1027" i="15"/>
  <c r="AL1027" i="15"/>
  <c r="AN1027" i="15"/>
  <c r="AT1027" i="15"/>
  <c r="AU1027" i="15"/>
  <c r="AV1027" i="15"/>
  <c r="AX1027" i="15"/>
  <c r="AQ1028" i="15"/>
  <c r="AK1028" i="15"/>
  <c r="AL1028" i="15"/>
  <c r="AN1028" i="15"/>
  <c r="AT1028" i="15"/>
  <c r="AU1028" i="15"/>
  <c r="AV1028" i="15"/>
  <c r="AX1028" i="15"/>
  <c r="AZ1029" i="15"/>
  <c r="AK1029" i="15"/>
  <c r="AL1029" i="15"/>
  <c r="AN1029" i="15"/>
  <c r="AT1029" i="15"/>
  <c r="AU1029" i="15"/>
  <c r="AV1029" i="15"/>
  <c r="AX1029" i="15"/>
  <c r="AP1030" i="15"/>
  <c r="AK1030" i="15"/>
  <c r="AL1030" i="15"/>
  <c r="AN1030" i="15"/>
  <c r="AT1030" i="15"/>
  <c r="AU1030" i="15"/>
  <c r="AV1030" i="15"/>
  <c r="AX1030" i="15"/>
  <c r="AP1031" i="15"/>
  <c r="AK1031" i="15"/>
  <c r="AL1031" i="15"/>
  <c r="AN1031" i="15"/>
  <c r="AT1031" i="15"/>
  <c r="AU1031" i="15"/>
  <c r="AV1031" i="15"/>
  <c r="AX1031" i="15"/>
  <c r="AQ1032" i="15"/>
  <c r="AK1032" i="15"/>
  <c r="AL1032" i="15"/>
  <c r="AN1032" i="15"/>
  <c r="AT1032" i="15"/>
  <c r="AU1032" i="15"/>
  <c r="AV1032" i="15"/>
  <c r="AX1032" i="15"/>
  <c r="AZ1033" i="15"/>
  <c r="AK1033" i="15"/>
  <c r="AL1033" i="15"/>
  <c r="AN1033" i="15"/>
  <c r="AT1033" i="15"/>
  <c r="AU1033" i="15"/>
  <c r="AV1033" i="15"/>
  <c r="AX1033" i="15"/>
  <c r="AP1034" i="15"/>
  <c r="AK1034" i="15"/>
  <c r="AL1034" i="15"/>
  <c r="AN1034" i="15"/>
  <c r="AT1034" i="15"/>
  <c r="AU1034" i="15"/>
  <c r="AV1034" i="15"/>
  <c r="AX1034" i="15"/>
  <c r="AP1035" i="15"/>
  <c r="AK1035" i="15"/>
  <c r="AL1035" i="15"/>
  <c r="AN1035" i="15"/>
  <c r="AT1035" i="15"/>
  <c r="AU1035" i="15"/>
  <c r="AV1035" i="15"/>
  <c r="AX1035" i="15"/>
  <c r="AQ1036" i="15"/>
  <c r="AK1036" i="15"/>
  <c r="AL1036" i="15"/>
  <c r="AN1036" i="15"/>
  <c r="AT1036" i="15"/>
  <c r="AU1036" i="15"/>
  <c r="AV1036" i="15"/>
  <c r="AX1036" i="15"/>
  <c r="AP1037" i="15"/>
  <c r="AK1037" i="15"/>
  <c r="AL1037" i="15"/>
  <c r="AN1037" i="15"/>
  <c r="AT1037" i="15"/>
  <c r="AU1037" i="15"/>
  <c r="AV1037" i="15"/>
  <c r="AX1037" i="15"/>
  <c r="AP1038" i="15"/>
  <c r="AK1038" i="15"/>
  <c r="AL1038" i="15"/>
  <c r="AN1038" i="15"/>
  <c r="AT1038" i="15"/>
  <c r="AU1038" i="15"/>
  <c r="AV1038" i="15"/>
  <c r="AX1038" i="15"/>
  <c r="AP1039" i="15"/>
  <c r="AK1039" i="15"/>
  <c r="AL1039" i="15"/>
  <c r="AN1039" i="15"/>
  <c r="AT1039" i="15"/>
  <c r="AU1039" i="15"/>
  <c r="AV1039" i="15"/>
  <c r="AX1039" i="15"/>
  <c r="AP1040" i="15"/>
  <c r="AK1040" i="15"/>
  <c r="AL1040" i="15"/>
  <c r="AN1040" i="15"/>
  <c r="AT1040" i="15"/>
  <c r="AU1040" i="15"/>
  <c r="AV1040" i="15"/>
  <c r="AX1040" i="15"/>
  <c r="AZ1041" i="15"/>
  <c r="AK1041" i="15"/>
  <c r="AL1041" i="15"/>
  <c r="AN1041" i="15"/>
  <c r="AT1041" i="15"/>
  <c r="AU1041" i="15"/>
  <c r="AV1041" i="15"/>
  <c r="AX1041" i="15"/>
  <c r="AP1042" i="15"/>
  <c r="AK1042" i="15"/>
  <c r="AL1042" i="15"/>
  <c r="AN1042" i="15"/>
  <c r="AT1042" i="15"/>
  <c r="AU1042" i="15"/>
  <c r="AV1042" i="15"/>
  <c r="AX1042" i="15"/>
  <c r="AP1043" i="15"/>
  <c r="AK1043" i="15"/>
  <c r="AL1043" i="15"/>
  <c r="AN1043" i="15"/>
  <c r="AT1043" i="15"/>
  <c r="AU1043" i="15"/>
  <c r="AV1043" i="15"/>
  <c r="AX1043" i="15"/>
  <c r="AQ1044" i="15"/>
  <c r="AK1044" i="15"/>
  <c r="AL1044" i="15"/>
  <c r="AN1044" i="15"/>
  <c r="AT1044" i="15"/>
  <c r="AU1044" i="15"/>
  <c r="AV1044" i="15"/>
  <c r="AX1044" i="15"/>
  <c r="AO1045" i="15"/>
  <c r="AK1045" i="15"/>
  <c r="AL1045" i="15"/>
  <c r="AN1045" i="15"/>
  <c r="AT1045" i="15"/>
  <c r="AU1045" i="15"/>
  <c r="AV1045" i="15"/>
  <c r="AX1045" i="15"/>
  <c r="AP1046" i="15"/>
  <c r="AK1046" i="15"/>
  <c r="AL1046" i="15"/>
  <c r="AN1046" i="15"/>
  <c r="AT1046" i="15"/>
  <c r="AU1046" i="15"/>
  <c r="AV1046" i="15"/>
  <c r="AX1046" i="15"/>
  <c r="AP1047" i="15"/>
  <c r="AK1047" i="15"/>
  <c r="AL1047" i="15"/>
  <c r="AN1047" i="15"/>
  <c r="AT1047" i="15"/>
  <c r="AU1047" i="15"/>
  <c r="AV1047" i="15"/>
  <c r="AX1047" i="15"/>
  <c r="AO1048" i="15"/>
  <c r="AK1048" i="15"/>
  <c r="AL1048" i="15"/>
  <c r="AN1048" i="15"/>
  <c r="AT1048" i="15"/>
  <c r="AU1048" i="15"/>
  <c r="AV1048" i="15"/>
  <c r="AX1048" i="15"/>
  <c r="AP1049" i="15"/>
  <c r="AK1049" i="15"/>
  <c r="AL1049" i="15"/>
  <c r="AN1049" i="15"/>
  <c r="AT1049" i="15"/>
  <c r="AU1049" i="15"/>
  <c r="AV1049" i="15"/>
  <c r="AX1049" i="15"/>
  <c r="AP1050" i="15"/>
  <c r="AK1050" i="15"/>
  <c r="AL1050" i="15"/>
  <c r="AN1050" i="15"/>
  <c r="AT1050" i="15"/>
  <c r="AU1050" i="15"/>
  <c r="AV1050" i="15"/>
  <c r="AX1050" i="15"/>
  <c r="AP1051" i="15"/>
  <c r="AK1051" i="15"/>
  <c r="AL1051" i="15"/>
  <c r="AN1051" i="15"/>
  <c r="AT1051" i="15"/>
  <c r="AU1051" i="15"/>
  <c r="AV1051" i="15"/>
  <c r="AX1051" i="15"/>
  <c r="AO1052" i="15"/>
  <c r="AK1052" i="15"/>
  <c r="AL1052" i="15"/>
  <c r="AN1052" i="15"/>
  <c r="AT1052" i="15"/>
  <c r="AU1052" i="15"/>
  <c r="AV1052" i="15"/>
  <c r="AX1052" i="15"/>
  <c r="AZ1053" i="15"/>
  <c r="AK1053" i="15"/>
  <c r="AL1053" i="15"/>
  <c r="AN1053" i="15"/>
  <c r="AT1053" i="15"/>
  <c r="AU1053" i="15"/>
  <c r="AV1053" i="15"/>
  <c r="AX1053" i="15"/>
  <c r="AP1054" i="15"/>
  <c r="AK1054" i="15"/>
  <c r="AL1054" i="15"/>
  <c r="AN1054" i="15"/>
  <c r="AT1054" i="15"/>
  <c r="AU1054" i="15"/>
  <c r="AV1054" i="15"/>
  <c r="AX1054" i="15"/>
  <c r="AP1055" i="15"/>
  <c r="AK1055" i="15"/>
  <c r="AL1055" i="15"/>
  <c r="AN1055" i="15"/>
  <c r="AT1055" i="15"/>
  <c r="AU1055" i="15"/>
  <c r="AV1055" i="15"/>
  <c r="AX1055" i="15"/>
  <c r="AP1056" i="15"/>
  <c r="AK1056" i="15"/>
  <c r="AL1056" i="15"/>
  <c r="AN1056" i="15"/>
  <c r="AT1056" i="15"/>
  <c r="AU1056" i="15"/>
  <c r="AV1056" i="15"/>
  <c r="AX1056" i="15"/>
  <c r="AZ1057" i="15"/>
  <c r="AK1057" i="15"/>
  <c r="AL1057" i="15"/>
  <c r="AN1057" i="15"/>
  <c r="AT1057" i="15"/>
  <c r="AU1057" i="15"/>
  <c r="AV1057" i="15"/>
  <c r="AX1057" i="15"/>
  <c r="AP1058" i="15"/>
  <c r="AK1058" i="15"/>
  <c r="AL1058" i="15"/>
  <c r="AN1058" i="15"/>
  <c r="AT1058" i="15"/>
  <c r="AU1058" i="15"/>
  <c r="AV1058" i="15"/>
  <c r="AX1058" i="15"/>
  <c r="AP1059" i="15"/>
  <c r="AK1059" i="15"/>
  <c r="AL1059" i="15"/>
  <c r="AN1059" i="15"/>
  <c r="AT1059" i="15"/>
  <c r="AU1059" i="15"/>
  <c r="AV1059" i="15"/>
  <c r="AX1059" i="15"/>
  <c r="AS1060" i="15"/>
  <c r="AK1060" i="15"/>
  <c r="AL1060" i="15"/>
  <c r="AN1060" i="15"/>
  <c r="AT1060" i="15"/>
  <c r="AU1060" i="15"/>
  <c r="AV1060" i="15"/>
  <c r="AX1060" i="15"/>
  <c r="AP1061" i="15"/>
  <c r="AK1061" i="15"/>
  <c r="AL1061" i="15"/>
  <c r="AN1061" i="15"/>
  <c r="AT1061" i="15"/>
  <c r="AU1061" i="15"/>
  <c r="AV1061" i="15"/>
  <c r="AX1061" i="15"/>
  <c r="AP1062" i="15"/>
  <c r="AK1062" i="15"/>
  <c r="AL1062" i="15"/>
  <c r="AN1062" i="15"/>
  <c r="AT1062" i="15"/>
  <c r="AU1062" i="15"/>
  <c r="AV1062" i="15"/>
  <c r="AX1062" i="15"/>
  <c r="AP1063" i="15"/>
  <c r="AK1063" i="15"/>
  <c r="AL1063" i="15"/>
  <c r="AN1063" i="15"/>
  <c r="AT1063" i="15"/>
  <c r="AU1063" i="15"/>
  <c r="AV1063" i="15"/>
  <c r="AX1063" i="15"/>
  <c r="AP1064" i="15"/>
  <c r="AK1064" i="15"/>
  <c r="AL1064" i="15"/>
  <c r="AN1064" i="15"/>
  <c r="AT1064" i="15"/>
  <c r="AU1064" i="15"/>
  <c r="AV1064" i="15"/>
  <c r="AX1064" i="15"/>
  <c r="AQ1065" i="15"/>
  <c r="AK1065" i="15"/>
  <c r="AL1065" i="15"/>
  <c r="AN1065" i="15"/>
  <c r="AT1065" i="15"/>
  <c r="AU1065" i="15"/>
  <c r="AV1065" i="15"/>
  <c r="AX1065" i="15"/>
  <c r="AP1066" i="15"/>
  <c r="AK1066" i="15"/>
  <c r="AL1066" i="15"/>
  <c r="AN1066" i="15"/>
  <c r="AT1066" i="15"/>
  <c r="AU1066" i="15"/>
  <c r="AV1066" i="15"/>
  <c r="AX1066" i="15"/>
  <c r="AP1067" i="15"/>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Q990" i="15"/>
  <c r="AK990" i="15"/>
  <c r="AL990" i="15"/>
  <c r="AN990" i="15"/>
  <c r="AT990" i="15"/>
  <c r="AU990" i="15"/>
  <c r="AV990" i="15"/>
  <c r="AX990" i="15"/>
  <c r="AQ991" i="15"/>
  <c r="AK991" i="15"/>
  <c r="AL991" i="15"/>
  <c r="AN991" i="15"/>
  <c r="AT991" i="15"/>
  <c r="AU991" i="15"/>
  <c r="AV991" i="15"/>
  <c r="AX991" i="15"/>
  <c r="AP992" i="15"/>
  <c r="AK992" i="15"/>
  <c r="AL992" i="15"/>
  <c r="AN992" i="15"/>
  <c r="AT992" i="15"/>
  <c r="AU992" i="15"/>
  <c r="AV992" i="15"/>
  <c r="AX992" i="15"/>
  <c r="AO993" i="15"/>
  <c r="AK993" i="15"/>
  <c r="AL993" i="15"/>
  <c r="AN993" i="15"/>
  <c r="AT993" i="15"/>
  <c r="AU993" i="15"/>
  <c r="AV993" i="15"/>
  <c r="AX993" i="15"/>
  <c r="AO994" i="15"/>
  <c r="AK994" i="15"/>
  <c r="AL994" i="15"/>
  <c r="AN994" i="15"/>
  <c r="AT994" i="15"/>
  <c r="AU994" i="15"/>
  <c r="AV994" i="15"/>
  <c r="AX994" i="15"/>
  <c r="AS995" i="15"/>
  <c r="AK995" i="15"/>
  <c r="AL995" i="15"/>
  <c r="AN995" i="15"/>
  <c r="AT995" i="15"/>
  <c r="AU995" i="15"/>
  <c r="AV995" i="15"/>
  <c r="AX995" i="15"/>
  <c r="AP996" i="15"/>
  <c r="AK996" i="15"/>
  <c r="AL996" i="15"/>
  <c r="AN996" i="15"/>
  <c r="AT996" i="15"/>
  <c r="AU996" i="15"/>
  <c r="AV996" i="15"/>
  <c r="AX996" i="15"/>
  <c r="AO997" i="15"/>
  <c r="AK997" i="15"/>
  <c r="AL997" i="15"/>
  <c r="AN997" i="15"/>
  <c r="AT997" i="15"/>
  <c r="AU997" i="15"/>
  <c r="AV997" i="15"/>
  <c r="AX997" i="15"/>
  <c r="AO998" i="15"/>
  <c r="AK998" i="15"/>
  <c r="AL998" i="15"/>
  <c r="AN998" i="15"/>
  <c r="AT998" i="15"/>
  <c r="AU998" i="15"/>
  <c r="AV998" i="15"/>
  <c r="AX998" i="15"/>
  <c r="AS999" i="15"/>
  <c r="AK999" i="15"/>
  <c r="AL999" i="15"/>
  <c r="AN999" i="15"/>
  <c r="AT999" i="15"/>
  <c r="AU999" i="15"/>
  <c r="AV999" i="15"/>
  <c r="AX999" i="15"/>
  <c r="AP1000" i="15"/>
  <c r="AK1000" i="15"/>
  <c r="AL1000" i="15"/>
  <c r="AN1000" i="15"/>
  <c r="AT1000" i="15"/>
  <c r="AU1000" i="15"/>
  <c r="AV1000" i="15"/>
  <c r="AX1000" i="15"/>
  <c r="AO1001" i="15"/>
  <c r="AK1001" i="15"/>
  <c r="AL1001" i="15"/>
  <c r="AN1001" i="15"/>
  <c r="AT1001" i="15"/>
  <c r="AU1001" i="15"/>
  <c r="AV1001" i="15"/>
  <c r="AX1001" i="15"/>
  <c r="AO1002" i="15"/>
  <c r="AK1002" i="15"/>
  <c r="AL1002" i="15"/>
  <c r="AN1002" i="15"/>
  <c r="AT1002" i="15"/>
  <c r="AU1002" i="15"/>
  <c r="AV1002" i="15"/>
  <c r="AX1002" i="15"/>
  <c r="AP1003" i="15"/>
  <c r="AK1003" i="15"/>
  <c r="AL1003" i="15"/>
  <c r="AN1003" i="15"/>
  <c r="AT1003" i="15"/>
  <c r="AU1003" i="15"/>
  <c r="AV1003" i="15"/>
  <c r="AX1003" i="15"/>
  <c r="AP1004" i="15"/>
  <c r="AK1004" i="15"/>
  <c r="AL1004" i="15"/>
  <c r="AN1004" i="15"/>
  <c r="AT1004" i="15"/>
  <c r="AU1004" i="15"/>
  <c r="AV1004" i="15"/>
  <c r="AX1004" i="15"/>
  <c r="AO1005" i="15"/>
  <c r="AK1005" i="15"/>
  <c r="AL1005" i="15"/>
  <c r="AN1005" i="15"/>
  <c r="AT1005" i="15"/>
  <c r="AU1005" i="15"/>
  <c r="AV1005" i="15"/>
  <c r="AX1005" i="15"/>
  <c r="AO1006" i="15"/>
  <c r="AK1006" i="15"/>
  <c r="AL1006" i="15"/>
  <c r="AN1006" i="15"/>
  <c r="AT1006" i="15"/>
  <c r="AU1006" i="15"/>
  <c r="AV1006" i="15"/>
  <c r="AX1006" i="15"/>
  <c r="AO1007" i="15"/>
  <c r="AK1007" i="15"/>
  <c r="AL1007" i="15"/>
  <c r="AN1007" i="15"/>
  <c r="AT1007" i="15"/>
  <c r="AU1007" i="15"/>
  <c r="AV1007" i="15"/>
  <c r="AX1007" i="15"/>
  <c r="AP1008" i="15"/>
  <c r="AK1008" i="15"/>
  <c r="AL1008" i="15"/>
  <c r="AN1008" i="15"/>
  <c r="AT1008" i="15"/>
  <c r="AU1008" i="15"/>
  <c r="AV1008" i="15"/>
  <c r="AX1008" i="15"/>
  <c r="AO1009" i="15"/>
  <c r="AK1009" i="15"/>
  <c r="AL1009" i="15"/>
  <c r="AN1009" i="15"/>
  <c r="AT1009" i="15"/>
  <c r="AU1009" i="15"/>
  <c r="AV1009" i="15"/>
  <c r="AX1009" i="15"/>
  <c r="AP1010" i="15"/>
  <c r="AK1010" i="15"/>
  <c r="AL1010" i="15"/>
  <c r="AN1010" i="15"/>
  <c r="AT1010" i="15"/>
  <c r="AU1010" i="15"/>
  <c r="AV1010" i="15"/>
  <c r="AX1010" i="15"/>
  <c r="AO1011" i="15"/>
  <c r="AK1011" i="15"/>
  <c r="AL1011" i="15"/>
  <c r="AN1011" i="15"/>
  <c r="AT1011" i="15"/>
  <c r="AU1011" i="15"/>
  <c r="AV1011" i="15"/>
  <c r="AX1011" i="15"/>
  <c r="AP1012" i="15"/>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K795" i="15"/>
  <c r="AL795" i="15"/>
  <c r="AN795" i="15"/>
  <c r="AT795" i="15"/>
  <c r="AU795" i="15"/>
  <c r="AV795" i="15"/>
  <c r="AX795" i="15"/>
  <c r="AZ796" i="15"/>
  <c r="AK796" i="15"/>
  <c r="AL796" i="15"/>
  <c r="AN796" i="15"/>
  <c r="AT796" i="15"/>
  <c r="AU796" i="15"/>
  <c r="AV796" i="15"/>
  <c r="AX796" i="15"/>
  <c r="AS797" i="15"/>
  <c r="AK797" i="15"/>
  <c r="AL797" i="15"/>
  <c r="AN797" i="15"/>
  <c r="AT797" i="15"/>
  <c r="AU797" i="15"/>
  <c r="AV797" i="15"/>
  <c r="AX797" i="15"/>
  <c r="AP798" i="15"/>
  <c r="AK798" i="15"/>
  <c r="AL798" i="15"/>
  <c r="AN798" i="15"/>
  <c r="AT798" i="15"/>
  <c r="AU798" i="15"/>
  <c r="AV798" i="15"/>
  <c r="AX798" i="15"/>
  <c r="AZ799" i="15"/>
  <c r="AK799" i="15"/>
  <c r="AL799" i="15"/>
  <c r="AN799" i="15"/>
  <c r="AT799" i="15"/>
  <c r="AU799" i="15"/>
  <c r="AV799" i="15"/>
  <c r="AX799" i="15"/>
  <c r="AK800" i="15"/>
  <c r="AL800" i="15"/>
  <c r="AN800" i="15"/>
  <c r="AT800" i="15"/>
  <c r="AU800" i="15"/>
  <c r="AV800" i="15"/>
  <c r="AX800" i="15"/>
  <c r="AZ801" i="15"/>
  <c r="AK801" i="15"/>
  <c r="AL801" i="15"/>
  <c r="AN801" i="15"/>
  <c r="AT801" i="15"/>
  <c r="AU801" i="15"/>
  <c r="AV801" i="15"/>
  <c r="AX801" i="15"/>
  <c r="AZ802" i="15"/>
  <c r="AK802" i="15"/>
  <c r="AL802" i="15"/>
  <c r="AN802" i="15"/>
  <c r="AT802" i="15"/>
  <c r="AU802" i="15"/>
  <c r="AV802" i="15"/>
  <c r="AX802" i="15"/>
  <c r="AZ803" i="15"/>
  <c r="AK803" i="15"/>
  <c r="AL803" i="15"/>
  <c r="AN803" i="15"/>
  <c r="AT803" i="15"/>
  <c r="AU803" i="15"/>
  <c r="AV803" i="15"/>
  <c r="AX803" i="15"/>
  <c r="AO804" i="15"/>
  <c r="AK804" i="15"/>
  <c r="AL804" i="15"/>
  <c r="AN804" i="15"/>
  <c r="AT804" i="15"/>
  <c r="AU804" i="15"/>
  <c r="AV804" i="15"/>
  <c r="AX804" i="15"/>
  <c r="AO805" i="15"/>
  <c r="AK805" i="15"/>
  <c r="AL805" i="15"/>
  <c r="AN805" i="15"/>
  <c r="AT805" i="15"/>
  <c r="AU805" i="15"/>
  <c r="AV805" i="15"/>
  <c r="AX805" i="15"/>
  <c r="AO806" i="15"/>
  <c r="AK806" i="15"/>
  <c r="AL806" i="15"/>
  <c r="AN806" i="15"/>
  <c r="AT806" i="15"/>
  <c r="AU806" i="15"/>
  <c r="AV806" i="15"/>
  <c r="AX806" i="15"/>
  <c r="AK807" i="15"/>
  <c r="AL807" i="15"/>
  <c r="AN807" i="15"/>
  <c r="AT807" i="15"/>
  <c r="AU807" i="15"/>
  <c r="AV807" i="15"/>
  <c r="AX807" i="15"/>
  <c r="AS808" i="15"/>
  <c r="AK808" i="15"/>
  <c r="AL808" i="15"/>
  <c r="AN808" i="15"/>
  <c r="AT808" i="15"/>
  <c r="AU808" i="15"/>
  <c r="AV808" i="15"/>
  <c r="AX808" i="15"/>
  <c r="AZ809" i="15"/>
  <c r="AK809" i="15"/>
  <c r="AL809" i="15"/>
  <c r="AN809" i="15"/>
  <c r="AT809" i="15"/>
  <c r="AU809" i="15"/>
  <c r="AV809" i="15"/>
  <c r="AX809" i="15"/>
  <c r="AO810" i="15"/>
  <c r="AK810" i="15"/>
  <c r="AL810" i="15"/>
  <c r="AN810" i="15"/>
  <c r="AT810" i="15"/>
  <c r="AU810" i="15"/>
  <c r="AV810" i="15"/>
  <c r="AX810" i="15"/>
  <c r="AS811" i="15"/>
  <c r="AK811" i="15"/>
  <c r="AL811" i="15"/>
  <c r="AN811" i="15"/>
  <c r="AT811" i="15"/>
  <c r="AU811" i="15"/>
  <c r="AV811" i="15"/>
  <c r="AX811" i="15"/>
  <c r="AZ812" i="15"/>
  <c r="AK812" i="15"/>
  <c r="AL812" i="15"/>
  <c r="AN812" i="15"/>
  <c r="AT812" i="15"/>
  <c r="AU812" i="15"/>
  <c r="AV812" i="15"/>
  <c r="AX812" i="15"/>
  <c r="AO813" i="15"/>
  <c r="AK813" i="15"/>
  <c r="AL813" i="15"/>
  <c r="AN813" i="15"/>
  <c r="AT813" i="15"/>
  <c r="AU813" i="15"/>
  <c r="AV813" i="15"/>
  <c r="AX813" i="15"/>
  <c r="AK814" i="15"/>
  <c r="AL814" i="15"/>
  <c r="AN814" i="15"/>
  <c r="AT814" i="15"/>
  <c r="AU814" i="15"/>
  <c r="AV814" i="15"/>
  <c r="AX814" i="15"/>
  <c r="AP815" i="15"/>
  <c r="AK815" i="15"/>
  <c r="AL815" i="15"/>
  <c r="AN815" i="15"/>
  <c r="AT815" i="15"/>
  <c r="AU815" i="15"/>
  <c r="AV815" i="15"/>
  <c r="AX815" i="15"/>
  <c r="AO816" i="15"/>
  <c r="AK816" i="15"/>
  <c r="AL816" i="15"/>
  <c r="AN816" i="15"/>
  <c r="AT816" i="15"/>
  <c r="AU816" i="15"/>
  <c r="AV816" i="15"/>
  <c r="AX816" i="15"/>
  <c r="AZ817" i="15"/>
  <c r="AK817" i="15"/>
  <c r="AL817" i="15"/>
  <c r="AN817" i="15"/>
  <c r="AT817" i="15"/>
  <c r="AU817" i="15"/>
  <c r="AV817" i="15"/>
  <c r="AX817" i="15"/>
  <c r="AK818" i="15"/>
  <c r="AL818" i="15"/>
  <c r="AN818" i="15"/>
  <c r="AT818" i="15"/>
  <c r="AU818" i="15"/>
  <c r="AV818" i="15"/>
  <c r="AX818" i="15"/>
  <c r="AK819" i="15"/>
  <c r="AL819" i="15"/>
  <c r="AN819" i="15"/>
  <c r="AT819" i="15"/>
  <c r="AU819" i="15"/>
  <c r="AV819" i="15"/>
  <c r="AX819" i="15"/>
  <c r="AK820" i="15"/>
  <c r="AL820" i="15"/>
  <c r="AN820" i="15"/>
  <c r="AT820" i="15"/>
  <c r="AU820" i="15"/>
  <c r="AV820" i="15"/>
  <c r="AX820" i="15"/>
  <c r="AK821" i="15"/>
  <c r="AL821" i="15"/>
  <c r="AN821" i="15"/>
  <c r="AT821" i="15"/>
  <c r="AU821" i="15"/>
  <c r="AV821" i="15"/>
  <c r="AX821" i="15"/>
  <c r="AO822" i="15"/>
  <c r="AK822" i="15"/>
  <c r="AL822" i="15"/>
  <c r="AN822" i="15"/>
  <c r="AT822" i="15"/>
  <c r="AU822" i="15"/>
  <c r="AV822" i="15"/>
  <c r="AX822" i="15"/>
  <c r="AQ823" i="15"/>
  <c r="AK823" i="15"/>
  <c r="AL823" i="15"/>
  <c r="AN823" i="15"/>
  <c r="AT823" i="15"/>
  <c r="AU823" i="15"/>
  <c r="AV823" i="15"/>
  <c r="AX823" i="15"/>
  <c r="AZ824" i="15"/>
  <c r="AK824" i="15"/>
  <c r="AL824" i="15"/>
  <c r="AN824" i="15"/>
  <c r="AT824" i="15"/>
  <c r="AU824" i="15"/>
  <c r="AV824" i="15"/>
  <c r="AX824" i="15"/>
  <c r="AZ825" i="15"/>
  <c r="AK825" i="15"/>
  <c r="AL825" i="15"/>
  <c r="AN825" i="15"/>
  <c r="AT825" i="15"/>
  <c r="AU825" i="15"/>
  <c r="AV825" i="15"/>
  <c r="AX825" i="15"/>
  <c r="AK826" i="15"/>
  <c r="AL826" i="15"/>
  <c r="AN826" i="15"/>
  <c r="AT826" i="15"/>
  <c r="AU826" i="15"/>
  <c r="AV826" i="15"/>
  <c r="AX826" i="15"/>
  <c r="AP827" i="15"/>
  <c r="AK827" i="15"/>
  <c r="AL827" i="15"/>
  <c r="AN827" i="15"/>
  <c r="AT827" i="15"/>
  <c r="AU827" i="15"/>
  <c r="AV827" i="15"/>
  <c r="AX827" i="15"/>
  <c r="AS828" i="15"/>
  <c r="AK828" i="15"/>
  <c r="AL828" i="15"/>
  <c r="AN828" i="15"/>
  <c r="AT828" i="15"/>
  <c r="AU828" i="15"/>
  <c r="AV828" i="15"/>
  <c r="AX828" i="15"/>
  <c r="AZ829" i="15"/>
  <c r="AK829" i="15"/>
  <c r="AL829" i="15"/>
  <c r="AN829" i="15"/>
  <c r="AT829" i="15"/>
  <c r="AU829" i="15"/>
  <c r="AV829" i="15"/>
  <c r="AX829" i="15"/>
  <c r="AK830" i="15"/>
  <c r="AL830" i="15"/>
  <c r="AN830" i="15"/>
  <c r="AT830" i="15"/>
  <c r="AU830" i="15"/>
  <c r="AV830" i="15"/>
  <c r="AX830" i="15"/>
  <c r="AS831" i="15"/>
  <c r="AK831" i="15"/>
  <c r="AL831" i="15"/>
  <c r="AN831" i="15"/>
  <c r="AT831" i="15"/>
  <c r="AU831" i="15"/>
  <c r="AV831" i="15"/>
  <c r="AX831" i="15"/>
  <c r="AO832" i="15"/>
  <c r="AK832" i="15"/>
  <c r="AL832" i="15"/>
  <c r="AN832" i="15"/>
  <c r="AT832" i="15"/>
  <c r="AU832" i="15"/>
  <c r="AV832" i="15"/>
  <c r="AX832" i="15"/>
  <c r="AS833" i="15"/>
  <c r="AK833" i="15"/>
  <c r="AL833" i="15"/>
  <c r="AN833" i="15"/>
  <c r="AT833" i="15"/>
  <c r="AU833" i="15"/>
  <c r="AV833" i="15"/>
  <c r="AX833" i="15"/>
  <c r="AO834" i="15"/>
  <c r="AK834" i="15"/>
  <c r="AL834" i="15"/>
  <c r="AN834" i="15"/>
  <c r="AT834" i="15"/>
  <c r="AU834" i="15"/>
  <c r="AV834" i="15"/>
  <c r="AX834" i="15"/>
  <c r="AZ835" i="15"/>
  <c r="AK835" i="15"/>
  <c r="AL835" i="15"/>
  <c r="AN835" i="15"/>
  <c r="AT835" i="15"/>
  <c r="AU835" i="15"/>
  <c r="AV835" i="15"/>
  <c r="AX835" i="15"/>
  <c r="AO836" i="15"/>
  <c r="AK836" i="15"/>
  <c r="AL836" i="15"/>
  <c r="AN836" i="15"/>
  <c r="AT836" i="15"/>
  <c r="AU836" i="15"/>
  <c r="AV836" i="15"/>
  <c r="AX836" i="15"/>
  <c r="AK837" i="15"/>
  <c r="AL837" i="15"/>
  <c r="AN837" i="15"/>
  <c r="AT837" i="15"/>
  <c r="AU837" i="15"/>
  <c r="AV837" i="15"/>
  <c r="AX837" i="15"/>
  <c r="AO838" i="15"/>
  <c r="AK838" i="15"/>
  <c r="AL838" i="15"/>
  <c r="AN838" i="15"/>
  <c r="AT838" i="15"/>
  <c r="AU838" i="15"/>
  <c r="AV838" i="15"/>
  <c r="AX838" i="15"/>
  <c r="AZ839" i="15"/>
  <c r="AK839" i="15"/>
  <c r="AL839" i="15"/>
  <c r="AN839" i="15"/>
  <c r="AT839" i="15"/>
  <c r="AU839" i="15"/>
  <c r="AV839" i="15"/>
  <c r="AX839" i="15"/>
  <c r="AQ840" i="15"/>
  <c r="AK840" i="15"/>
  <c r="AL840" i="15"/>
  <c r="AN840" i="15"/>
  <c r="AT840" i="15"/>
  <c r="AU840" i="15"/>
  <c r="AV840" i="15"/>
  <c r="AX840" i="15"/>
  <c r="AS841" i="15"/>
  <c r="AK841" i="15"/>
  <c r="AL841" i="15"/>
  <c r="AN841" i="15"/>
  <c r="AT841" i="15"/>
  <c r="AU841" i="15"/>
  <c r="AV841" i="15"/>
  <c r="AX841" i="15"/>
  <c r="AZ842" i="15"/>
  <c r="AK842" i="15"/>
  <c r="AL842" i="15"/>
  <c r="AN842" i="15"/>
  <c r="AT842" i="15"/>
  <c r="AU842" i="15"/>
  <c r="AV842" i="15"/>
  <c r="AX842" i="15"/>
  <c r="AS843" i="15"/>
  <c r="AK843" i="15"/>
  <c r="AL843" i="15"/>
  <c r="AN843" i="15"/>
  <c r="AT843" i="15"/>
  <c r="AU843" i="15"/>
  <c r="AV843" i="15"/>
  <c r="AX843" i="15"/>
  <c r="AK844" i="15"/>
  <c r="AL844" i="15"/>
  <c r="AN844" i="15"/>
  <c r="AT844" i="15"/>
  <c r="AU844" i="15"/>
  <c r="AV844" i="15"/>
  <c r="AX844" i="15"/>
  <c r="AS845" i="15"/>
  <c r="AK845" i="15"/>
  <c r="AL845" i="15"/>
  <c r="AN845" i="15"/>
  <c r="AT845" i="15"/>
  <c r="AU845" i="15"/>
  <c r="AV845" i="15"/>
  <c r="AX845" i="15"/>
  <c r="AK846" i="15"/>
  <c r="AL846" i="15"/>
  <c r="AN846" i="15"/>
  <c r="AT846" i="15"/>
  <c r="AU846" i="15"/>
  <c r="AV846" i="15"/>
  <c r="AX846" i="15"/>
  <c r="AS847" i="15"/>
  <c r="AK847" i="15"/>
  <c r="AL847" i="15"/>
  <c r="AN847" i="15"/>
  <c r="AT847" i="15"/>
  <c r="AU847" i="15"/>
  <c r="AV847" i="15"/>
  <c r="AX847" i="15"/>
  <c r="AO848" i="15"/>
  <c r="AK848" i="15"/>
  <c r="AL848" i="15"/>
  <c r="AN848" i="15"/>
  <c r="AT848" i="15"/>
  <c r="AU848" i="15"/>
  <c r="AV848" i="15"/>
  <c r="AX848" i="15"/>
  <c r="AO849" i="15"/>
  <c r="AK849" i="15"/>
  <c r="AL849" i="15"/>
  <c r="AN849" i="15"/>
  <c r="AT849" i="15"/>
  <c r="AU849" i="15"/>
  <c r="AV849" i="15"/>
  <c r="AX849" i="15"/>
  <c r="AS850" i="15"/>
  <c r="AK850" i="15"/>
  <c r="AL850" i="15"/>
  <c r="AN850" i="15"/>
  <c r="AT850" i="15"/>
  <c r="AU850" i="15"/>
  <c r="AV850" i="15"/>
  <c r="AX850" i="15"/>
  <c r="AK851" i="15"/>
  <c r="AL851" i="15"/>
  <c r="AN851" i="15"/>
  <c r="AT851" i="15"/>
  <c r="AU851" i="15"/>
  <c r="AV851" i="15"/>
  <c r="AX851" i="15"/>
  <c r="AP852" i="15"/>
  <c r="AK852" i="15"/>
  <c r="AL852" i="15"/>
  <c r="AN852" i="15"/>
  <c r="AT852" i="15"/>
  <c r="AU852" i="15"/>
  <c r="AV852" i="15"/>
  <c r="AX852" i="15"/>
  <c r="AP853" i="15"/>
  <c r="AK853" i="15"/>
  <c r="AL853" i="15"/>
  <c r="AN853" i="15"/>
  <c r="AT853" i="15"/>
  <c r="AU853" i="15"/>
  <c r="AV853" i="15"/>
  <c r="AX853" i="15"/>
  <c r="AS854" i="15"/>
  <c r="AK854" i="15"/>
  <c r="AL854" i="15"/>
  <c r="AN854" i="15"/>
  <c r="AT854" i="15"/>
  <c r="AU854" i="15"/>
  <c r="AV854" i="15"/>
  <c r="AX854" i="15"/>
  <c r="AQ855" i="15"/>
  <c r="AK855" i="15"/>
  <c r="AL855" i="15"/>
  <c r="AN855" i="15"/>
  <c r="AT855" i="15"/>
  <c r="AU855" i="15"/>
  <c r="AV855" i="15"/>
  <c r="AX855" i="15"/>
  <c r="AP856" i="15"/>
  <c r="AK856" i="15"/>
  <c r="AL856" i="15"/>
  <c r="AN856" i="15"/>
  <c r="AT856" i="15"/>
  <c r="AU856" i="15"/>
  <c r="AV856" i="15"/>
  <c r="AX856" i="15"/>
  <c r="AP857" i="15"/>
  <c r="AK857" i="15"/>
  <c r="AL857" i="15"/>
  <c r="AN857" i="15"/>
  <c r="AT857" i="15"/>
  <c r="AU857" i="15"/>
  <c r="AV857" i="15"/>
  <c r="AX857" i="15"/>
  <c r="AS858" i="15"/>
  <c r="AK858" i="15"/>
  <c r="AL858" i="15"/>
  <c r="AN858" i="15"/>
  <c r="AT858" i="15"/>
  <c r="AU858" i="15"/>
  <c r="AV858" i="15"/>
  <c r="AX858" i="15"/>
  <c r="AK859" i="15"/>
  <c r="AL859" i="15"/>
  <c r="AN859" i="15"/>
  <c r="AT859" i="15"/>
  <c r="AU859" i="15"/>
  <c r="AV859" i="15"/>
  <c r="AX859" i="15"/>
  <c r="AK860" i="15"/>
  <c r="AL860" i="15"/>
  <c r="AN860" i="15"/>
  <c r="AT860" i="15"/>
  <c r="AU860" i="15"/>
  <c r="AV860" i="15"/>
  <c r="AX860" i="15"/>
  <c r="AO861" i="15"/>
  <c r="AK861" i="15"/>
  <c r="AL861" i="15"/>
  <c r="AN861" i="15"/>
  <c r="AT861" i="15"/>
  <c r="AU861" i="15"/>
  <c r="AV861" i="15"/>
  <c r="AX861" i="15"/>
  <c r="AO862" i="15"/>
  <c r="AK862" i="15"/>
  <c r="AL862" i="15"/>
  <c r="AN862" i="15"/>
  <c r="AT862" i="15"/>
  <c r="AU862" i="15"/>
  <c r="AV862" i="15"/>
  <c r="AX862" i="15"/>
  <c r="AP863" i="15"/>
  <c r="AK863" i="15"/>
  <c r="AL863" i="15"/>
  <c r="AN863" i="15"/>
  <c r="AT863" i="15"/>
  <c r="AU863" i="15"/>
  <c r="AV863" i="15"/>
  <c r="AX863" i="15"/>
  <c r="AS864" i="15"/>
  <c r="AK864" i="15"/>
  <c r="AL864" i="15"/>
  <c r="AN864" i="15"/>
  <c r="AT864" i="15"/>
  <c r="AU864" i="15"/>
  <c r="AV864" i="15"/>
  <c r="AX864" i="15"/>
  <c r="AK865" i="15"/>
  <c r="AL865" i="15"/>
  <c r="AN865" i="15"/>
  <c r="AT865" i="15"/>
  <c r="AU865" i="15"/>
  <c r="AV865" i="15"/>
  <c r="AX865" i="15"/>
  <c r="AK866" i="15"/>
  <c r="AL866" i="15"/>
  <c r="AN866" i="15"/>
  <c r="AT866" i="15"/>
  <c r="AU866" i="15"/>
  <c r="AV866" i="15"/>
  <c r="AX866" i="15"/>
  <c r="AP867" i="15"/>
  <c r="AK867" i="15"/>
  <c r="AL867" i="15"/>
  <c r="AN867" i="15"/>
  <c r="AT867" i="15"/>
  <c r="AU867" i="15"/>
  <c r="AV867" i="15"/>
  <c r="AX867" i="15"/>
  <c r="AZ868" i="15"/>
  <c r="AK868" i="15"/>
  <c r="AL868" i="15"/>
  <c r="AN868" i="15"/>
  <c r="AT868" i="15"/>
  <c r="AU868" i="15"/>
  <c r="AV868" i="15"/>
  <c r="AX868" i="15"/>
  <c r="AO869" i="15"/>
  <c r="AK869" i="15"/>
  <c r="AL869" i="15"/>
  <c r="AN869" i="15"/>
  <c r="AT869" i="15"/>
  <c r="AU869" i="15"/>
  <c r="AV869" i="15"/>
  <c r="AX869" i="15"/>
  <c r="AK870" i="15"/>
  <c r="AL870" i="15"/>
  <c r="AN870" i="15"/>
  <c r="AT870" i="15"/>
  <c r="AU870" i="15"/>
  <c r="AV870" i="15"/>
  <c r="AX870" i="15"/>
  <c r="AZ871" i="15"/>
  <c r="AK871" i="15"/>
  <c r="AL871" i="15"/>
  <c r="AN871" i="15"/>
  <c r="AT871" i="15"/>
  <c r="AU871" i="15"/>
  <c r="AV871" i="15"/>
  <c r="AX871" i="15"/>
  <c r="AZ872" i="15"/>
  <c r="AK872" i="15"/>
  <c r="AL872" i="15"/>
  <c r="AN872" i="15"/>
  <c r="AT872" i="15"/>
  <c r="AU872" i="15"/>
  <c r="AV872" i="15"/>
  <c r="AX872" i="15"/>
  <c r="AK873" i="15"/>
  <c r="AL873" i="15"/>
  <c r="AN873" i="15"/>
  <c r="AT873" i="15"/>
  <c r="AU873" i="15"/>
  <c r="AV873" i="15"/>
  <c r="AX873" i="15"/>
  <c r="AS874" i="15"/>
  <c r="AK874" i="15"/>
  <c r="AL874" i="15"/>
  <c r="AN874" i="15"/>
  <c r="AT874" i="15"/>
  <c r="AU874" i="15"/>
  <c r="AV874" i="15"/>
  <c r="AX874" i="15"/>
  <c r="AK875" i="15"/>
  <c r="AL875" i="15"/>
  <c r="AN875" i="15"/>
  <c r="AT875" i="15"/>
  <c r="AU875" i="15"/>
  <c r="AV875" i="15"/>
  <c r="AX875" i="15"/>
  <c r="AK876" i="15"/>
  <c r="AL876" i="15"/>
  <c r="AN876" i="15"/>
  <c r="AT876" i="15"/>
  <c r="AU876" i="15"/>
  <c r="AV876" i="15"/>
  <c r="AX876" i="15"/>
  <c r="AP877" i="15"/>
  <c r="AK877" i="15"/>
  <c r="AL877" i="15"/>
  <c r="AN877" i="15"/>
  <c r="AT877" i="15"/>
  <c r="AU877" i="15"/>
  <c r="AV877" i="15"/>
  <c r="AX877" i="15"/>
  <c r="AS878" i="15"/>
  <c r="AK878" i="15"/>
  <c r="AL878" i="15"/>
  <c r="AN878" i="15"/>
  <c r="AT878" i="15"/>
  <c r="AU878" i="15"/>
  <c r="AV878" i="15"/>
  <c r="AX878" i="15"/>
  <c r="AS879" i="15"/>
  <c r="AK879" i="15"/>
  <c r="AL879" i="15"/>
  <c r="AN879" i="15"/>
  <c r="AT879" i="15"/>
  <c r="AU879" i="15"/>
  <c r="AV879" i="15"/>
  <c r="AX879" i="15"/>
  <c r="AK880" i="15"/>
  <c r="AL880" i="15"/>
  <c r="AN880" i="15"/>
  <c r="AT880" i="15"/>
  <c r="AU880" i="15"/>
  <c r="AV880" i="15"/>
  <c r="AX880" i="15"/>
  <c r="AO881" i="15"/>
  <c r="AK881" i="15"/>
  <c r="AL881" i="15"/>
  <c r="AN881" i="15"/>
  <c r="AT881" i="15"/>
  <c r="AU881" i="15"/>
  <c r="AV881" i="15"/>
  <c r="AX881" i="15"/>
  <c r="AO882" i="15"/>
  <c r="AK882" i="15"/>
  <c r="AL882" i="15"/>
  <c r="AN882" i="15"/>
  <c r="AT882" i="15"/>
  <c r="AU882" i="15"/>
  <c r="AV882" i="15"/>
  <c r="AX882" i="15"/>
  <c r="AO883" i="15"/>
  <c r="AK883" i="15"/>
  <c r="AL883" i="15"/>
  <c r="AN883" i="15"/>
  <c r="AT883" i="15"/>
  <c r="AU883" i="15"/>
  <c r="AV883" i="15"/>
  <c r="AX883" i="15"/>
  <c r="AO884" i="15"/>
  <c r="AK884" i="15"/>
  <c r="AL884" i="15"/>
  <c r="AN884" i="15"/>
  <c r="AT884" i="15"/>
  <c r="AU884" i="15"/>
  <c r="AV884" i="15"/>
  <c r="AX884" i="15"/>
  <c r="AP885" i="15"/>
  <c r="AK885" i="15"/>
  <c r="AL885" i="15"/>
  <c r="AN885" i="15"/>
  <c r="AT885" i="15"/>
  <c r="AU885" i="15"/>
  <c r="AV885" i="15"/>
  <c r="AX885" i="15"/>
  <c r="AK886" i="15"/>
  <c r="AL886" i="15"/>
  <c r="AN886" i="15"/>
  <c r="AT886" i="15"/>
  <c r="AU886" i="15"/>
  <c r="AV886" i="15"/>
  <c r="AX886" i="15"/>
  <c r="AK887" i="15"/>
  <c r="AL887" i="15"/>
  <c r="AN887" i="15"/>
  <c r="AT887" i="15"/>
  <c r="AU887" i="15"/>
  <c r="AV887" i="15"/>
  <c r="AX887" i="15"/>
  <c r="AK888" i="15"/>
  <c r="AL888" i="15"/>
  <c r="AN888" i="15"/>
  <c r="AT888" i="15"/>
  <c r="AU888" i="15"/>
  <c r="AV888" i="15"/>
  <c r="AX888" i="15"/>
  <c r="AK889" i="15"/>
  <c r="AL889" i="15"/>
  <c r="AN889" i="15"/>
  <c r="AT889" i="15"/>
  <c r="AU889" i="15"/>
  <c r="AV889" i="15"/>
  <c r="AX889" i="15"/>
  <c r="AS890" i="15"/>
  <c r="AK890" i="15"/>
  <c r="AL890" i="15"/>
  <c r="AN890" i="15"/>
  <c r="AT890" i="15"/>
  <c r="AU890" i="15"/>
  <c r="AV890" i="15"/>
  <c r="AX890" i="15"/>
  <c r="AK891" i="15"/>
  <c r="AL891" i="15"/>
  <c r="AN891" i="15"/>
  <c r="AT891" i="15"/>
  <c r="AU891" i="15"/>
  <c r="AV891" i="15"/>
  <c r="AX891" i="15"/>
  <c r="AO892" i="15"/>
  <c r="AK892" i="15"/>
  <c r="AL892" i="15"/>
  <c r="AN892" i="15"/>
  <c r="AT892" i="15"/>
  <c r="AU892" i="15"/>
  <c r="AV892" i="15"/>
  <c r="AX892" i="15"/>
  <c r="AO893" i="15"/>
  <c r="AK893" i="15"/>
  <c r="AL893" i="15"/>
  <c r="AN893" i="15"/>
  <c r="AT893" i="15"/>
  <c r="AU893" i="15"/>
  <c r="AV893" i="15"/>
  <c r="AX893" i="15"/>
  <c r="AK894" i="15"/>
  <c r="AL894" i="15"/>
  <c r="AN894" i="15"/>
  <c r="AT894" i="15"/>
  <c r="AU894" i="15"/>
  <c r="AV894" i="15"/>
  <c r="AX894" i="15"/>
  <c r="AP895" i="15"/>
  <c r="AK895" i="15"/>
  <c r="AL895" i="15"/>
  <c r="AN895" i="15"/>
  <c r="AT895" i="15"/>
  <c r="AU895" i="15"/>
  <c r="AV895" i="15"/>
  <c r="AX895" i="15"/>
  <c r="AZ896" i="15"/>
  <c r="AK896" i="15"/>
  <c r="AL896" i="15"/>
  <c r="AN896" i="15"/>
  <c r="AT896" i="15"/>
  <c r="AU896" i="15"/>
  <c r="AV896" i="15"/>
  <c r="AX896" i="15"/>
  <c r="AP897" i="15"/>
  <c r="AK897" i="15"/>
  <c r="AL897" i="15"/>
  <c r="AN897" i="15"/>
  <c r="AT897" i="15"/>
  <c r="AU897" i="15"/>
  <c r="AV897" i="15"/>
  <c r="AX897" i="15"/>
  <c r="AK898" i="15"/>
  <c r="AL898" i="15"/>
  <c r="AN898" i="15"/>
  <c r="AT898" i="15"/>
  <c r="AU898" i="15"/>
  <c r="AV898" i="15"/>
  <c r="AX898" i="15"/>
  <c r="AZ899" i="15"/>
  <c r="AK899" i="15"/>
  <c r="AL899" i="15"/>
  <c r="AN899" i="15"/>
  <c r="AT899" i="15"/>
  <c r="AU899" i="15"/>
  <c r="AV899" i="15"/>
  <c r="AX899" i="15"/>
  <c r="AO900" i="15"/>
  <c r="AK900" i="15"/>
  <c r="AL900" i="15"/>
  <c r="AN900" i="15"/>
  <c r="AT900" i="15"/>
  <c r="AU900" i="15"/>
  <c r="AV900" i="15"/>
  <c r="AX900" i="15"/>
  <c r="AP901" i="15"/>
  <c r="AK901" i="15"/>
  <c r="AL901" i="15"/>
  <c r="AN901" i="15"/>
  <c r="AT901" i="15"/>
  <c r="AU901" i="15"/>
  <c r="AV901" i="15"/>
  <c r="AX901" i="15"/>
  <c r="AK902" i="15"/>
  <c r="AL902" i="15"/>
  <c r="AN902" i="15"/>
  <c r="AT902" i="15"/>
  <c r="AU902" i="15"/>
  <c r="AV902" i="15"/>
  <c r="AX902" i="15"/>
  <c r="AK903" i="15"/>
  <c r="AL903" i="15"/>
  <c r="AN903" i="15"/>
  <c r="AT903" i="15"/>
  <c r="AU903" i="15"/>
  <c r="AV903" i="15"/>
  <c r="AX903" i="15"/>
  <c r="AQ904" i="15"/>
  <c r="AK904" i="15"/>
  <c r="AL904" i="15"/>
  <c r="AN904" i="15"/>
  <c r="AT904" i="15"/>
  <c r="AU904" i="15"/>
  <c r="AV904" i="15"/>
  <c r="AX904" i="15"/>
  <c r="AK905" i="15"/>
  <c r="AL905" i="15"/>
  <c r="AN905" i="15"/>
  <c r="AT905" i="15"/>
  <c r="AU905" i="15"/>
  <c r="AV905" i="15"/>
  <c r="AX905" i="15"/>
  <c r="AO906" i="15"/>
  <c r="AK906" i="15"/>
  <c r="AL906" i="15"/>
  <c r="AN906" i="15"/>
  <c r="AT906" i="15"/>
  <c r="AU906" i="15"/>
  <c r="AV906" i="15"/>
  <c r="AX906" i="15"/>
  <c r="AZ907" i="15"/>
  <c r="AK907" i="15"/>
  <c r="AL907" i="15"/>
  <c r="AN907" i="15"/>
  <c r="AT907" i="15"/>
  <c r="AU907" i="15"/>
  <c r="AV907" i="15"/>
  <c r="AX907" i="15"/>
  <c r="AK908" i="15"/>
  <c r="AL908" i="15"/>
  <c r="AN908" i="15"/>
  <c r="AT908" i="15"/>
  <c r="AU908" i="15"/>
  <c r="AV908" i="15"/>
  <c r="AX908" i="15"/>
  <c r="AK909" i="15"/>
  <c r="AL909" i="15"/>
  <c r="AN909" i="15"/>
  <c r="AT909" i="15"/>
  <c r="AU909" i="15"/>
  <c r="AV909" i="15"/>
  <c r="AX909" i="15"/>
  <c r="AQ910" i="15"/>
  <c r="AK910" i="15"/>
  <c r="AL910" i="15"/>
  <c r="AN910" i="15"/>
  <c r="AT910" i="15"/>
  <c r="AU910" i="15"/>
  <c r="AV910" i="15"/>
  <c r="AX910" i="15"/>
  <c r="AZ911" i="15"/>
  <c r="AK911" i="15"/>
  <c r="AL911" i="15"/>
  <c r="AN911" i="15"/>
  <c r="AT911" i="15"/>
  <c r="AU911" i="15"/>
  <c r="AV911" i="15"/>
  <c r="AX911" i="15"/>
  <c r="AS912" i="15"/>
  <c r="AK912" i="15"/>
  <c r="AL912" i="15"/>
  <c r="AN912" i="15"/>
  <c r="AT912" i="15"/>
  <c r="AU912" i="15"/>
  <c r="AV912" i="15"/>
  <c r="AX912" i="15"/>
  <c r="AS913" i="15"/>
  <c r="AK913" i="15"/>
  <c r="AL913" i="15"/>
  <c r="AN913" i="15"/>
  <c r="AT913" i="15"/>
  <c r="AU913" i="15"/>
  <c r="AV913" i="15"/>
  <c r="AX913" i="15"/>
  <c r="AK914" i="15"/>
  <c r="AL914" i="15"/>
  <c r="AN914" i="15"/>
  <c r="AT914" i="15"/>
  <c r="AU914" i="15"/>
  <c r="AV914" i="15"/>
  <c r="AX914" i="15"/>
  <c r="AZ915" i="15"/>
  <c r="AK915" i="15"/>
  <c r="AL915" i="15"/>
  <c r="AN915" i="15"/>
  <c r="AT915" i="15"/>
  <c r="AU915" i="15"/>
  <c r="AV915" i="15"/>
  <c r="AX915" i="15"/>
  <c r="AO916" i="15"/>
  <c r="AK916" i="15"/>
  <c r="AL916" i="15"/>
  <c r="AN916" i="15"/>
  <c r="AT916" i="15"/>
  <c r="AU916" i="15"/>
  <c r="AV916" i="15"/>
  <c r="AX916" i="15"/>
  <c r="AK917" i="15"/>
  <c r="AL917" i="15"/>
  <c r="AN917" i="15"/>
  <c r="AT917" i="15"/>
  <c r="AU917" i="15"/>
  <c r="AV917" i="15"/>
  <c r="AX917" i="15"/>
  <c r="AQ918" i="15"/>
  <c r="AK918" i="15"/>
  <c r="AL918" i="15"/>
  <c r="AN918" i="15"/>
  <c r="AT918" i="15"/>
  <c r="AU918" i="15"/>
  <c r="AV918" i="15"/>
  <c r="AX918" i="15"/>
  <c r="AZ919" i="15"/>
  <c r="AK919" i="15"/>
  <c r="AL919" i="15"/>
  <c r="AN919" i="15"/>
  <c r="AT919" i="15"/>
  <c r="AU919" i="15"/>
  <c r="AV919" i="15"/>
  <c r="AX919" i="15"/>
  <c r="AO920" i="15"/>
  <c r="AK920" i="15"/>
  <c r="AL920" i="15"/>
  <c r="AN920" i="15"/>
  <c r="AT920" i="15"/>
  <c r="AU920" i="15"/>
  <c r="AV920" i="15"/>
  <c r="AX920" i="15"/>
  <c r="AS921" i="15"/>
  <c r="AK921" i="15"/>
  <c r="AL921" i="15"/>
  <c r="AN921" i="15"/>
  <c r="AT921" i="15"/>
  <c r="AU921" i="15"/>
  <c r="AV921" i="15"/>
  <c r="AX921" i="15"/>
  <c r="AK922" i="15"/>
  <c r="AL922" i="15"/>
  <c r="AN922" i="15"/>
  <c r="AT922" i="15"/>
  <c r="AU922" i="15"/>
  <c r="AV922" i="15"/>
  <c r="AX922" i="15"/>
  <c r="AK923" i="15"/>
  <c r="AL923" i="15"/>
  <c r="AN923" i="15"/>
  <c r="AT923" i="15"/>
  <c r="AU923" i="15"/>
  <c r="AV923" i="15"/>
  <c r="AX923" i="15"/>
  <c r="AK924" i="15"/>
  <c r="AL924" i="15"/>
  <c r="AN924" i="15"/>
  <c r="AT924" i="15"/>
  <c r="AU924" i="15"/>
  <c r="AV924" i="15"/>
  <c r="AX924" i="15"/>
  <c r="AS925" i="15"/>
  <c r="AK925" i="15"/>
  <c r="AL925" i="15"/>
  <c r="AN925" i="15"/>
  <c r="AT925" i="15"/>
  <c r="AU925" i="15"/>
  <c r="AV925" i="15"/>
  <c r="AX925" i="15"/>
  <c r="AK926" i="15"/>
  <c r="AL926" i="15"/>
  <c r="AN926" i="15"/>
  <c r="AT926" i="15"/>
  <c r="AU926" i="15"/>
  <c r="AV926" i="15"/>
  <c r="AX926" i="15"/>
  <c r="AZ927" i="15"/>
  <c r="AK927" i="15"/>
  <c r="AL927" i="15"/>
  <c r="AN927" i="15"/>
  <c r="AT927" i="15"/>
  <c r="AU927" i="15"/>
  <c r="AV927" i="15"/>
  <c r="AX927" i="15"/>
  <c r="AK928" i="15"/>
  <c r="AL928" i="15"/>
  <c r="AN928" i="15"/>
  <c r="AT928" i="15"/>
  <c r="AU928" i="15"/>
  <c r="AV928" i="15"/>
  <c r="AX928" i="15"/>
  <c r="AS929" i="15"/>
  <c r="AK929" i="15"/>
  <c r="AL929" i="15"/>
  <c r="AN929" i="15"/>
  <c r="AT929" i="15"/>
  <c r="AU929" i="15"/>
  <c r="AV929" i="15"/>
  <c r="AX929" i="15"/>
  <c r="AK930" i="15"/>
  <c r="AL930" i="15"/>
  <c r="AN930" i="15"/>
  <c r="AT930" i="15"/>
  <c r="AU930" i="15"/>
  <c r="AV930" i="15"/>
  <c r="AX930" i="15"/>
  <c r="AS931" i="15"/>
  <c r="AK931" i="15"/>
  <c r="AL931" i="15"/>
  <c r="AN931" i="15"/>
  <c r="AT931" i="15"/>
  <c r="AU931" i="15"/>
  <c r="AV931" i="15"/>
  <c r="AX931" i="15"/>
  <c r="AQ932" i="15"/>
  <c r="AK932" i="15"/>
  <c r="AL932" i="15"/>
  <c r="AN932" i="15"/>
  <c r="AT932" i="15"/>
  <c r="AU932" i="15"/>
  <c r="AV932" i="15"/>
  <c r="AX932" i="15"/>
  <c r="AK933" i="15"/>
  <c r="AL933" i="15"/>
  <c r="AN933" i="15"/>
  <c r="AT933" i="15"/>
  <c r="AU933" i="15"/>
  <c r="AV933" i="15"/>
  <c r="AX933" i="15"/>
  <c r="AZ934" i="15"/>
  <c r="AK934" i="15"/>
  <c r="AL934" i="15"/>
  <c r="AN934" i="15"/>
  <c r="AT934" i="15"/>
  <c r="AU934" i="15"/>
  <c r="AV934" i="15"/>
  <c r="AX934" i="15"/>
  <c r="AZ935" i="15"/>
  <c r="AK935" i="15"/>
  <c r="AL935" i="15"/>
  <c r="AN935" i="15"/>
  <c r="AT935" i="15"/>
  <c r="AU935" i="15"/>
  <c r="AV935" i="15"/>
  <c r="AX935" i="15"/>
  <c r="AK936" i="15"/>
  <c r="AL936" i="15"/>
  <c r="AN936" i="15"/>
  <c r="AT936" i="15"/>
  <c r="AU936" i="15"/>
  <c r="AV936" i="15"/>
  <c r="AX936" i="15"/>
  <c r="AS937" i="15"/>
  <c r="AK937" i="15"/>
  <c r="AL937" i="15"/>
  <c r="AN937" i="15"/>
  <c r="AT937" i="15"/>
  <c r="AU937" i="15"/>
  <c r="AV937" i="15"/>
  <c r="AX937" i="15"/>
  <c r="AK938" i="15"/>
  <c r="AL938" i="15"/>
  <c r="AN938" i="15"/>
  <c r="AT938" i="15"/>
  <c r="AU938" i="15"/>
  <c r="AV938" i="15"/>
  <c r="AX938" i="15"/>
  <c r="AK939" i="15"/>
  <c r="AL939" i="15"/>
  <c r="AN939" i="15"/>
  <c r="AT939" i="15"/>
  <c r="AU939" i="15"/>
  <c r="AV939" i="15"/>
  <c r="AX939" i="15"/>
  <c r="AO940" i="15"/>
  <c r="AK940" i="15"/>
  <c r="AL940" i="15"/>
  <c r="AN940" i="15"/>
  <c r="AT940" i="15"/>
  <c r="AU940" i="15"/>
  <c r="AV940" i="15"/>
  <c r="AX940" i="15"/>
  <c r="AS941" i="15"/>
  <c r="AK941" i="15"/>
  <c r="AL941" i="15"/>
  <c r="AN941" i="15"/>
  <c r="AT941" i="15"/>
  <c r="AU941" i="15"/>
  <c r="AV941" i="15"/>
  <c r="AX941" i="15"/>
  <c r="AZ942" i="15"/>
  <c r="AK942" i="15"/>
  <c r="AL942" i="15"/>
  <c r="AN942" i="15"/>
  <c r="AT942" i="15"/>
  <c r="AU942" i="15"/>
  <c r="AV942" i="15"/>
  <c r="AX942" i="15"/>
  <c r="AZ943" i="15"/>
  <c r="AK943" i="15"/>
  <c r="AL943" i="15"/>
  <c r="AN943" i="15"/>
  <c r="AT943" i="15"/>
  <c r="AU943" i="15"/>
  <c r="AV943" i="15"/>
  <c r="AX943" i="15"/>
  <c r="AQ944" i="15"/>
  <c r="AK944" i="15"/>
  <c r="AL944" i="15"/>
  <c r="AN944" i="15"/>
  <c r="AT944" i="15"/>
  <c r="AU944" i="15"/>
  <c r="AV944" i="15"/>
  <c r="AX944" i="15"/>
  <c r="AS945" i="15"/>
  <c r="AK945" i="15"/>
  <c r="AL945" i="15"/>
  <c r="AN945" i="15"/>
  <c r="AT945" i="15"/>
  <c r="AU945" i="15"/>
  <c r="AV945" i="15"/>
  <c r="AX945" i="15"/>
  <c r="AQ946" i="15"/>
  <c r="AK946" i="15"/>
  <c r="AL946" i="15"/>
  <c r="AN946" i="15"/>
  <c r="AT946" i="15"/>
  <c r="AU946" i="15"/>
  <c r="AV946" i="15"/>
  <c r="AX946" i="15"/>
  <c r="AS947" i="15"/>
  <c r="AK947" i="15"/>
  <c r="AL947" i="15"/>
  <c r="AN947" i="15"/>
  <c r="AT947" i="15"/>
  <c r="AU947" i="15"/>
  <c r="AV947" i="15"/>
  <c r="AX947" i="15"/>
  <c r="AQ948" i="15"/>
  <c r="AK948" i="15"/>
  <c r="AL948" i="15"/>
  <c r="AN948" i="15"/>
  <c r="AT948" i="15"/>
  <c r="AU948" i="15"/>
  <c r="AV948" i="15"/>
  <c r="AX948" i="15"/>
  <c r="AK949" i="15"/>
  <c r="AL949" i="15"/>
  <c r="AN949" i="15"/>
  <c r="AT949" i="15"/>
  <c r="AU949" i="15"/>
  <c r="AV949" i="15"/>
  <c r="AX949" i="15"/>
  <c r="AZ950" i="15"/>
  <c r="AK950" i="15"/>
  <c r="AL950" i="15"/>
  <c r="AN950" i="15"/>
  <c r="AT950" i="15"/>
  <c r="AU950" i="15"/>
  <c r="AV950" i="15"/>
  <c r="AX950" i="15"/>
  <c r="AZ951" i="15"/>
  <c r="AK951" i="15"/>
  <c r="AL951" i="15"/>
  <c r="AN951" i="15"/>
  <c r="AT951" i="15"/>
  <c r="AU951" i="15"/>
  <c r="AV951" i="15"/>
  <c r="AX951" i="15"/>
  <c r="AK952" i="15"/>
  <c r="AL952" i="15"/>
  <c r="AN952" i="15"/>
  <c r="AT952" i="15"/>
  <c r="AU952" i="15"/>
  <c r="AV952" i="15"/>
  <c r="AX952" i="15"/>
  <c r="AS953" i="15"/>
  <c r="AK953" i="15"/>
  <c r="AL953" i="15"/>
  <c r="AN953" i="15"/>
  <c r="AT953" i="15"/>
  <c r="AU953" i="15"/>
  <c r="AV953" i="15"/>
  <c r="AX953" i="15"/>
  <c r="AK954" i="15"/>
  <c r="AL954" i="15"/>
  <c r="AN954" i="15"/>
  <c r="AT954" i="15"/>
  <c r="AU954" i="15"/>
  <c r="AV954" i="15"/>
  <c r="AX954" i="15"/>
  <c r="AK955" i="15"/>
  <c r="AL955" i="15"/>
  <c r="AN955" i="15"/>
  <c r="AT955" i="15"/>
  <c r="AU955" i="15"/>
  <c r="AV955" i="15"/>
  <c r="AX955" i="15"/>
  <c r="AQ956" i="15"/>
  <c r="AK956" i="15"/>
  <c r="AL956" i="15"/>
  <c r="AN956" i="15"/>
  <c r="AT956" i="15"/>
  <c r="AU956" i="15"/>
  <c r="AV956" i="15"/>
  <c r="AX956" i="15"/>
  <c r="AK957" i="15"/>
  <c r="AL957" i="15"/>
  <c r="AN957" i="15"/>
  <c r="AT957" i="15"/>
  <c r="AU957" i="15"/>
  <c r="AV957" i="15"/>
  <c r="AX957" i="15"/>
  <c r="AQ958" i="15"/>
  <c r="AK958" i="15"/>
  <c r="AL958" i="15"/>
  <c r="AN958" i="15"/>
  <c r="AT958" i="15"/>
  <c r="AU958" i="15"/>
  <c r="AV958" i="15"/>
  <c r="AX958" i="15"/>
  <c r="AZ959" i="15"/>
  <c r="AK959" i="15"/>
  <c r="AL959" i="15"/>
  <c r="AN959" i="15"/>
  <c r="AT959" i="15"/>
  <c r="AU959" i="15"/>
  <c r="AV959" i="15"/>
  <c r="AX959" i="15"/>
  <c r="AO960" i="15"/>
  <c r="AK960" i="15"/>
  <c r="AL960" i="15"/>
  <c r="AN960" i="15"/>
  <c r="AT960" i="15"/>
  <c r="AU960" i="15"/>
  <c r="AV960" i="15"/>
  <c r="AX960" i="15"/>
  <c r="AS961" i="15"/>
  <c r="AK961" i="15"/>
  <c r="AL961" i="15"/>
  <c r="AN961" i="15"/>
  <c r="AT961" i="15"/>
  <c r="AU961" i="15"/>
  <c r="AV961" i="15"/>
  <c r="AX961" i="15"/>
  <c r="AQ962" i="15"/>
  <c r="AK962" i="15"/>
  <c r="AL962" i="15"/>
  <c r="AN962" i="15"/>
  <c r="AT962" i="15"/>
  <c r="AU962" i="15"/>
  <c r="AV962" i="15"/>
  <c r="AX962" i="15"/>
  <c r="AO963" i="15"/>
  <c r="AK963" i="15"/>
  <c r="AL963" i="15"/>
  <c r="AN963" i="15"/>
  <c r="AT963" i="15"/>
  <c r="AU963" i="15"/>
  <c r="AV963" i="15"/>
  <c r="AX963" i="15"/>
  <c r="AO964" i="15"/>
  <c r="AK964" i="15"/>
  <c r="AL964" i="15"/>
  <c r="AN964" i="15"/>
  <c r="AT964" i="15"/>
  <c r="AU964" i="15"/>
  <c r="AV964" i="15"/>
  <c r="AX964" i="15"/>
  <c r="AS965" i="15"/>
  <c r="AK965" i="15"/>
  <c r="AL965" i="15"/>
  <c r="AN965" i="15"/>
  <c r="AT965" i="15"/>
  <c r="AU965" i="15"/>
  <c r="AV965" i="15"/>
  <c r="AX965" i="15"/>
  <c r="AK966" i="15"/>
  <c r="AL966" i="15"/>
  <c r="AN966" i="15"/>
  <c r="AT966" i="15"/>
  <c r="AU966" i="15"/>
  <c r="AV966" i="15"/>
  <c r="AX966" i="15"/>
  <c r="AZ967" i="15"/>
  <c r="AK967" i="15"/>
  <c r="AL967" i="15"/>
  <c r="AN967" i="15"/>
  <c r="AT967" i="15"/>
  <c r="AU967" i="15"/>
  <c r="AV967" i="15"/>
  <c r="AX967" i="15"/>
  <c r="AZ968" i="15"/>
  <c r="AK968" i="15"/>
  <c r="AL968" i="15"/>
  <c r="AN968" i="15"/>
  <c r="AT968" i="15"/>
  <c r="AU968" i="15"/>
  <c r="AV968" i="15"/>
  <c r="AX968" i="15"/>
  <c r="AS969" i="15"/>
  <c r="AK969" i="15"/>
  <c r="AL969" i="15"/>
  <c r="AN969" i="15"/>
  <c r="AT969" i="15"/>
  <c r="AU969" i="15"/>
  <c r="AV969" i="15"/>
  <c r="AX969" i="15"/>
  <c r="AQ970" i="15"/>
  <c r="AK970" i="15"/>
  <c r="AL970" i="15"/>
  <c r="AN970" i="15"/>
  <c r="AT970" i="15"/>
  <c r="AU970" i="15"/>
  <c r="AV970" i="15"/>
  <c r="AX970" i="15"/>
  <c r="AO971" i="15"/>
  <c r="AK971" i="15"/>
  <c r="AL971" i="15"/>
  <c r="AN971" i="15"/>
  <c r="AT971" i="15"/>
  <c r="AU971" i="15"/>
  <c r="AV971" i="15"/>
  <c r="AX971" i="15"/>
  <c r="AK972" i="15"/>
  <c r="AL972" i="15"/>
  <c r="AN972" i="15"/>
  <c r="AT972" i="15"/>
  <c r="AU972" i="15"/>
  <c r="AV972" i="15"/>
  <c r="AX972" i="15"/>
  <c r="AK973" i="15"/>
  <c r="AL973" i="15"/>
  <c r="AN973" i="15"/>
  <c r="AT973" i="15"/>
  <c r="AU973" i="15"/>
  <c r="AV973" i="15"/>
  <c r="AX973" i="15"/>
  <c r="AK974" i="15"/>
  <c r="AL974" i="15"/>
  <c r="AN974" i="15"/>
  <c r="AT974" i="15"/>
  <c r="AU974" i="15"/>
  <c r="AV974" i="15"/>
  <c r="AX974" i="15"/>
  <c r="AZ975" i="15"/>
  <c r="AK975" i="15"/>
  <c r="AL975" i="15"/>
  <c r="AN975" i="15"/>
  <c r="AT975" i="15"/>
  <c r="AU975" i="15"/>
  <c r="AV975" i="15"/>
  <c r="AX975" i="15"/>
  <c r="AZ976" i="15"/>
  <c r="AK976" i="15"/>
  <c r="AL976" i="15"/>
  <c r="AN976" i="15"/>
  <c r="AT976" i="15"/>
  <c r="AU976" i="15"/>
  <c r="AV976" i="15"/>
  <c r="AX976" i="15"/>
  <c r="AS977" i="15"/>
  <c r="AK977" i="15"/>
  <c r="AL977" i="15"/>
  <c r="AN977" i="15"/>
  <c r="AT977" i="15"/>
  <c r="AU977" i="15"/>
  <c r="AV977" i="15"/>
  <c r="AX977" i="15"/>
  <c r="AK978" i="15"/>
  <c r="AL978" i="15"/>
  <c r="AN978" i="15"/>
  <c r="AT978" i="15"/>
  <c r="AU978" i="15"/>
  <c r="AV978" i="15"/>
  <c r="AX978" i="15"/>
  <c r="AS979" i="15"/>
  <c r="AK979" i="15"/>
  <c r="AL979" i="15"/>
  <c r="AN979" i="15"/>
  <c r="AT979" i="15"/>
  <c r="AU979" i="15"/>
  <c r="AV979" i="15"/>
  <c r="AX979" i="15"/>
  <c r="AK980" i="15"/>
  <c r="AL980" i="15"/>
  <c r="AN980" i="15"/>
  <c r="AT980" i="15"/>
  <c r="AU980" i="15"/>
  <c r="AV980" i="15"/>
  <c r="AX980" i="15"/>
  <c r="AK981" i="15"/>
  <c r="AL981" i="15"/>
  <c r="AN981" i="15"/>
  <c r="AT981" i="15"/>
  <c r="AU981" i="15"/>
  <c r="AV981" i="15"/>
  <c r="AX981" i="15"/>
  <c r="AS982" i="15"/>
  <c r="AK982" i="15"/>
  <c r="AL982" i="15"/>
  <c r="AN982" i="15"/>
  <c r="AT982" i="15"/>
  <c r="AU982" i="15"/>
  <c r="AV982" i="15"/>
  <c r="AX982" i="15"/>
  <c r="AZ983" i="15"/>
  <c r="AK983" i="15"/>
  <c r="AL983" i="15"/>
  <c r="AN983" i="15"/>
  <c r="AT983" i="15"/>
  <c r="AU983" i="15"/>
  <c r="AV983" i="15"/>
  <c r="AX983" i="15"/>
  <c r="AQ984" i="15"/>
  <c r="AK984" i="15"/>
  <c r="AL984" i="15"/>
  <c r="AN984" i="15"/>
  <c r="AT984" i="15"/>
  <c r="AU984" i="15"/>
  <c r="AV984" i="15"/>
  <c r="AX984" i="15"/>
  <c r="AS985" i="15"/>
  <c r="AK985" i="15"/>
  <c r="AL985" i="15"/>
  <c r="AN985" i="15"/>
  <c r="AT985" i="15"/>
  <c r="AU985" i="15"/>
  <c r="AV985" i="15"/>
  <c r="AX985" i="15"/>
  <c r="AK986" i="15"/>
  <c r="AL986" i="15"/>
  <c r="AN986" i="15"/>
  <c r="AT986" i="15"/>
  <c r="AU986" i="15"/>
  <c r="AV986" i="15"/>
  <c r="AX986" i="15"/>
  <c r="AP987" i="15"/>
  <c r="AK987" i="15"/>
  <c r="AL987" i="15"/>
  <c r="AN987" i="15"/>
  <c r="AT987" i="15"/>
  <c r="AU987" i="15"/>
  <c r="AV987" i="15"/>
  <c r="AX987" i="15"/>
  <c r="AO988" i="15"/>
  <c r="AK988" i="15"/>
  <c r="AL988" i="15"/>
  <c r="AN988" i="15"/>
  <c r="AT988" i="15"/>
  <c r="AU988" i="15"/>
  <c r="AV988" i="15"/>
  <c r="AX988" i="15"/>
  <c r="AS989" i="15"/>
  <c r="AK989" i="15"/>
  <c r="AL989" i="15"/>
  <c r="AN989" i="15"/>
  <c r="AT989" i="15"/>
  <c r="AU989" i="15"/>
  <c r="AV989" i="15"/>
  <c r="AX989" i="15"/>
  <c r="AQ3" i="15"/>
  <c r="AK3" i="15"/>
  <c r="AL3" i="15"/>
  <c r="AN3" i="15"/>
  <c r="AT3" i="15"/>
  <c r="AU3" i="15"/>
  <c r="AV3" i="15"/>
  <c r="AX3" i="15"/>
  <c r="AQ4" i="15"/>
  <c r="AK4" i="15"/>
  <c r="AL4" i="15"/>
  <c r="AN4" i="15"/>
  <c r="AT4" i="15"/>
  <c r="AU4" i="15"/>
  <c r="AV4" i="15"/>
  <c r="AX4" i="15"/>
  <c r="AK5" i="15"/>
  <c r="AL5" i="15"/>
  <c r="AN5" i="15"/>
  <c r="AT5" i="15"/>
  <c r="AU5" i="15"/>
  <c r="AV5" i="15"/>
  <c r="AX5" i="15"/>
  <c r="AK6" i="15"/>
  <c r="AL6" i="15"/>
  <c r="AN6" i="15"/>
  <c r="AT6" i="15"/>
  <c r="AU6" i="15"/>
  <c r="AV6" i="15"/>
  <c r="AX6" i="15"/>
  <c r="AK7" i="15"/>
  <c r="AL7" i="15"/>
  <c r="AN7" i="15"/>
  <c r="AT7" i="15"/>
  <c r="AU7" i="15"/>
  <c r="AV7" i="15"/>
  <c r="AX7" i="15"/>
  <c r="AK8" i="15"/>
  <c r="AL8" i="15"/>
  <c r="AN8" i="15"/>
  <c r="AT8" i="15"/>
  <c r="AU8" i="15"/>
  <c r="AV8" i="15"/>
  <c r="AX8" i="15"/>
  <c r="AO9" i="15"/>
  <c r="AK9" i="15"/>
  <c r="AL9" i="15"/>
  <c r="AN9" i="15"/>
  <c r="AT9" i="15"/>
  <c r="AU9" i="15"/>
  <c r="AV9" i="15"/>
  <c r="AX9" i="15"/>
  <c r="AO10" i="15"/>
  <c r="AK10" i="15"/>
  <c r="AL10" i="15"/>
  <c r="AN10" i="15"/>
  <c r="AT10" i="15"/>
  <c r="AU10" i="15"/>
  <c r="AV10" i="15"/>
  <c r="AX10" i="15"/>
  <c r="AO11" i="15"/>
  <c r="AK11" i="15"/>
  <c r="AL11" i="15"/>
  <c r="AN11" i="15"/>
  <c r="AT11" i="15"/>
  <c r="AU11" i="15"/>
  <c r="AV11" i="15"/>
  <c r="AX11" i="15"/>
  <c r="AK12" i="15"/>
  <c r="AL12" i="15"/>
  <c r="AN12" i="15"/>
  <c r="AT12" i="15"/>
  <c r="AU12" i="15"/>
  <c r="AV12" i="15"/>
  <c r="AX12" i="15"/>
  <c r="AZ13" i="15"/>
  <c r="AK13" i="15"/>
  <c r="AL13" i="15"/>
  <c r="AN13" i="15"/>
  <c r="AT13" i="15"/>
  <c r="AU13" i="15"/>
  <c r="AV13" i="15"/>
  <c r="AX13" i="15"/>
  <c r="AO14" i="15"/>
  <c r="AK14" i="15"/>
  <c r="AL14" i="15"/>
  <c r="AN14" i="15"/>
  <c r="AT14" i="15"/>
  <c r="AU14" i="15"/>
  <c r="AV14" i="15"/>
  <c r="AX14" i="15"/>
  <c r="AK15" i="15"/>
  <c r="AL15" i="15"/>
  <c r="AN15" i="15"/>
  <c r="AT15" i="15"/>
  <c r="AU15" i="15"/>
  <c r="AV15" i="15"/>
  <c r="AX15" i="15"/>
  <c r="AK16" i="15"/>
  <c r="AL16" i="15"/>
  <c r="AN16" i="15"/>
  <c r="AT16" i="15"/>
  <c r="AU16" i="15"/>
  <c r="AV16" i="15"/>
  <c r="AX16" i="15"/>
  <c r="AO17" i="15"/>
  <c r="AK17" i="15"/>
  <c r="AL17" i="15"/>
  <c r="AN17" i="15"/>
  <c r="AT17" i="15"/>
  <c r="AU17" i="15"/>
  <c r="AV17" i="15"/>
  <c r="AX17" i="15"/>
  <c r="AO18" i="15"/>
  <c r="AK18" i="15"/>
  <c r="AL18" i="15"/>
  <c r="AN18" i="15"/>
  <c r="AT18" i="15"/>
  <c r="AU18" i="15"/>
  <c r="AV18" i="15"/>
  <c r="AX18" i="15"/>
  <c r="AP19" i="15"/>
  <c r="AK19" i="15"/>
  <c r="AL19" i="15"/>
  <c r="AN19" i="15"/>
  <c r="AT19" i="15"/>
  <c r="AU19" i="15"/>
  <c r="AV19" i="15"/>
  <c r="AX19" i="15"/>
  <c r="AK20" i="15"/>
  <c r="AL20" i="15"/>
  <c r="AN20" i="15"/>
  <c r="AT20" i="15"/>
  <c r="AU20" i="15"/>
  <c r="AV20" i="15"/>
  <c r="AX20" i="15"/>
  <c r="AO21" i="15"/>
  <c r="AK21" i="15"/>
  <c r="AL21" i="15"/>
  <c r="AN21" i="15"/>
  <c r="AT21" i="15"/>
  <c r="AU21" i="15"/>
  <c r="AV21" i="15"/>
  <c r="AX21" i="15"/>
  <c r="AK22" i="15"/>
  <c r="AL22" i="15"/>
  <c r="AN22" i="15"/>
  <c r="AT22" i="15"/>
  <c r="AU22" i="15"/>
  <c r="AV22" i="15"/>
  <c r="AX22" i="15"/>
  <c r="AK23" i="15"/>
  <c r="AL23" i="15"/>
  <c r="AN23" i="15"/>
  <c r="AT23" i="15"/>
  <c r="AU23" i="15"/>
  <c r="AV23" i="15"/>
  <c r="AX23" i="15"/>
  <c r="AK24" i="15"/>
  <c r="AL24" i="15"/>
  <c r="AN24" i="15"/>
  <c r="AT24" i="15"/>
  <c r="AU24" i="15"/>
  <c r="AV24" i="15"/>
  <c r="AX24" i="15"/>
  <c r="AK25" i="15"/>
  <c r="AL25" i="15"/>
  <c r="AN25" i="15"/>
  <c r="AT25" i="15"/>
  <c r="AU25" i="15"/>
  <c r="AV25" i="15"/>
  <c r="AX25" i="15"/>
  <c r="AZ26" i="15"/>
  <c r="AK26" i="15"/>
  <c r="AL26" i="15"/>
  <c r="AN26" i="15"/>
  <c r="AT26" i="15"/>
  <c r="AU26" i="15"/>
  <c r="AV26" i="15"/>
  <c r="AX26" i="15"/>
  <c r="AQ27" i="15"/>
  <c r="AK27" i="15"/>
  <c r="AL27" i="15"/>
  <c r="AN27" i="15"/>
  <c r="AT27" i="15"/>
  <c r="AU27" i="15"/>
  <c r="AV27" i="15"/>
  <c r="AX27" i="15"/>
  <c r="AS28" i="15"/>
  <c r="AK28" i="15"/>
  <c r="AL28" i="15"/>
  <c r="AN28" i="15"/>
  <c r="AT28" i="15"/>
  <c r="AU28" i="15"/>
  <c r="AV28" i="15"/>
  <c r="AX28" i="15"/>
  <c r="AK29" i="15"/>
  <c r="AL29" i="15"/>
  <c r="AN29" i="15"/>
  <c r="AT29" i="15"/>
  <c r="AU29" i="15"/>
  <c r="AV29" i="15"/>
  <c r="AX29" i="15"/>
  <c r="AK30" i="15"/>
  <c r="AL30" i="15"/>
  <c r="AN30" i="15"/>
  <c r="AT30" i="15"/>
  <c r="AU30" i="15"/>
  <c r="AV30" i="15"/>
  <c r="AX30" i="15"/>
  <c r="AZ31" i="15"/>
  <c r="AK31" i="15"/>
  <c r="AL31" i="15"/>
  <c r="AN31" i="15"/>
  <c r="AT31" i="15"/>
  <c r="AU31" i="15"/>
  <c r="AV31" i="15"/>
  <c r="AX31" i="15"/>
  <c r="AK32" i="15"/>
  <c r="AL32" i="15"/>
  <c r="AN32" i="15"/>
  <c r="AT32" i="15"/>
  <c r="AU32" i="15"/>
  <c r="AV32" i="15"/>
  <c r="AX32" i="15"/>
  <c r="AO33" i="15"/>
  <c r="AK33" i="15"/>
  <c r="AL33" i="15"/>
  <c r="AN33" i="15"/>
  <c r="AT33" i="15"/>
  <c r="AU33" i="15"/>
  <c r="AV33" i="15"/>
  <c r="AX33" i="15"/>
  <c r="AK34" i="15"/>
  <c r="AL34" i="15"/>
  <c r="AN34" i="15"/>
  <c r="AT34" i="15"/>
  <c r="AU34" i="15"/>
  <c r="AV34" i="15"/>
  <c r="AX34" i="15"/>
  <c r="AO35" i="15"/>
  <c r="AK35" i="15"/>
  <c r="AL35" i="15"/>
  <c r="AN35" i="15"/>
  <c r="AT35" i="15"/>
  <c r="AU35" i="15"/>
  <c r="AV35" i="15"/>
  <c r="AX35" i="15"/>
  <c r="AZ36" i="15"/>
  <c r="AK36" i="15"/>
  <c r="AL36" i="15"/>
  <c r="AN36" i="15"/>
  <c r="AT36" i="15"/>
  <c r="AU36" i="15"/>
  <c r="AV36" i="15"/>
  <c r="AX36" i="15"/>
  <c r="AK37" i="15"/>
  <c r="AL37" i="15"/>
  <c r="AN37" i="15"/>
  <c r="AT37" i="15"/>
  <c r="AU37" i="15"/>
  <c r="AV37" i="15"/>
  <c r="AX37" i="15"/>
  <c r="AK38" i="15"/>
  <c r="AL38" i="15"/>
  <c r="AN38" i="15"/>
  <c r="AT38" i="15"/>
  <c r="AU38" i="15"/>
  <c r="AV38" i="15"/>
  <c r="AX38" i="15"/>
  <c r="AO39" i="15"/>
  <c r="AK39" i="15"/>
  <c r="AL39" i="15"/>
  <c r="AN39" i="15"/>
  <c r="AT39" i="15"/>
  <c r="AU39" i="15"/>
  <c r="AV39" i="15"/>
  <c r="AX39" i="15"/>
  <c r="AK40" i="15"/>
  <c r="AL40" i="15"/>
  <c r="AN40" i="15"/>
  <c r="AT40" i="15"/>
  <c r="AU40" i="15"/>
  <c r="AV40" i="15"/>
  <c r="AX40" i="15"/>
  <c r="AP41" i="15"/>
  <c r="AK41" i="15"/>
  <c r="AL41" i="15"/>
  <c r="AN41" i="15"/>
  <c r="AT41" i="15"/>
  <c r="AU41" i="15"/>
  <c r="AV41" i="15"/>
  <c r="AX41" i="15"/>
  <c r="AP42" i="15"/>
  <c r="AK42" i="15"/>
  <c r="AL42" i="15"/>
  <c r="AN42" i="15"/>
  <c r="AT42" i="15"/>
  <c r="AU42" i="15"/>
  <c r="AV42" i="15"/>
  <c r="AX42" i="15"/>
  <c r="AK43" i="15"/>
  <c r="AL43" i="15"/>
  <c r="AN43" i="15"/>
  <c r="AT43" i="15"/>
  <c r="AU43" i="15"/>
  <c r="AV43" i="15"/>
  <c r="AX43" i="15"/>
  <c r="AK44" i="15"/>
  <c r="AL44" i="15"/>
  <c r="AN44" i="15"/>
  <c r="AT44" i="15"/>
  <c r="AU44" i="15"/>
  <c r="AV44" i="15"/>
  <c r="AX44" i="15"/>
  <c r="AK45" i="15"/>
  <c r="AL45" i="15"/>
  <c r="AN45" i="15"/>
  <c r="AT45" i="15"/>
  <c r="AU45" i="15"/>
  <c r="AV45" i="15"/>
  <c r="AX45" i="15"/>
  <c r="AP46" i="15"/>
  <c r="AK46" i="15"/>
  <c r="AL46" i="15"/>
  <c r="AN46" i="15"/>
  <c r="AT46" i="15"/>
  <c r="AU46" i="15"/>
  <c r="AV46" i="15"/>
  <c r="AX46" i="15"/>
  <c r="AZ47" i="15"/>
  <c r="AK47" i="15"/>
  <c r="AL47" i="15"/>
  <c r="AN47" i="15"/>
  <c r="AT47" i="15"/>
  <c r="AU47" i="15"/>
  <c r="AV47" i="15"/>
  <c r="AX47" i="15"/>
  <c r="AZ48" i="15"/>
  <c r="AK48" i="15"/>
  <c r="AL48" i="15"/>
  <c r="AN48" i="15"/>
  <c r="AT48" i="15"/>
  <c r="AU48" i="15"/>
  <c r="AV48" i="15"/>
  <c r="AX48" i="15"/>
  <c r="AK49" i="15"/>
  <c r="AL49" i="15"/>
  <c r="AN49" i="15"/>
  <c r="AT49" i="15"/>
  <c r="AU49" i="15"/>
  <c r="AV49" i="15"/>
  <c r="AX49" i="15"/>
  <c r="AK50" i="15"/>
  <c r="AL50" i="15"/>
  <c r="AN50" i="15"/>
  <c r="AT50" i="15"/>
  <c r="AU50" i="15"/>
  <c r="AV50" i="15"/>
  <c r="AX50" i="15"/>
  <c r="AZ51" i="15"/>
  <c r="AK51" i="15"/>
  <c r="AL51" i="15"/>
  <c r="AN51" i="15"/>
  <c r="AT51" i="15"/>
  <c r="AU51" i="15"/>
  <c r="AV51" i="15"/>
  <c r="AX51" i="15"/>
  <c r="AZ52" i="15"/>
  <c r="AK52" i="15"/>
  <c r="AL52" i="15"/>
  <c r="AN52" i="15"/>
  <c r="AT52" i="15"/>
  <c r="AU52" i="15"/>
  <c r="AV52" i="15"/>
  <c r="AX52" i="15"/>
  <c r="AK53" i="15"/>
  <c r="AL53" i="15"/>
  <c r="AN53" i="15"/>
  <c r="AT53" i="15"/>
  <c r="AU53" i="15"/>
  <c r="AV53" i="15"/>
  <c r="AX53" i="15"/>
  <c r="AS54" i="15"/>
  <c r="AK54" i="15"/>
  <c r="AL54" i="15"/>
  <c r="AN54" i="15"/>
  <c r="AT54" i="15"/>
  <c r="AU54" i="15"/>
  <c r="AV54" i="15"/>
  <c r="AX54" i="15"/>
  <c r="AO55" i="15"/>
  <c r="AK55" i="15"/>
  <c r="AL55" i="15"/>
  <c r="AN55" i="15"/>
  <c r="AT55" i="15"/>
  <c r="AU55" i="15"/>
  <c r="AV55" i="15"/>
  <c r="AX55" i="15"/>
  <c r="AK56" i="15"/>
  <c r="AL56" i="15"/>
  <c r="AN56" i="15"/>
  <c r="AT56" i="15"/>
  <c r="AU56" i="15"/>
  <c r="AV56" i="15"/>
  <c r="AX56" i="15"/>
  <c r="AP57" i="15"/>
  <c r="AK57" i="15"/>
  <c r="AL57" i="15"/>
  <c r="AN57" i="15"/>
  <c r="AT57" i="15"/>
  <c r="AU57" i="15"/>
  <c r="AV57" i="15"/>
  <c r="AX57" i="15"/>
  <c r="AK58" i="15"/>
  <c r="AL58" i="15"/>
  <c r="AN58" i="15"/>
  <c r="AT58" i="15"/>
  <c r="AU58" i="15"/>
  <c r="AV58" i="15"/>
  <c r="AX58" i="15"/>
  <c r="AZ59" i="15"/>
  <c r="AK59" i="15"/>
  <c r="AL59" i="15"/>
  <c r="AN59" i="15"/>
  <c r="AT59" i="15"/>
  <c r="AU59" i="15"/>
  <c r="AV59" i="15"/>
  <c r="AX59" i="15"/>
  <c r="AO60" i="15"/>
  <c r="AK60" i="15"/>
  <c r="AL60" i="15"/>
  <c r="AN60" i="15"/>
  <c r="AT60" i="15"/>
  <c r="AU60" i="15"/>
  <c r="AV60" i="15"/>
  <c r="AX60" i="15"/>
  <c r="AK61" i="15"/>
  <c r="AL61" i="15"/>
  <c r="AN61" i="15"/>
  <c r="AT61" i="15"/>
  <c r="AU61" i="15"/>
  <c r="AV61" i="15"/>
  <c r="AX61" i="15"/>
  <c r="AS62" i="15"/>
  <c r="AK62" i="15"/>
  <c r="AL62" i="15"/>
  <c r="AN62" i="15"/>
  <c r="AT62" i="15"/>
  <c r="AU62" i="15"/>
  <c r="AV62" i="15"/>
  <c r="AX62" i="15"/>
  <c r="AS63" i="15"/>
  <c r="AK63" i="15"/>
  <c r="AL63" i="15"/>
  <c r="AN63" i="15"/>
  <c r="AT63" i="15"/>
  <c r="AU63" i="15"/>
  <c r="AV63" i="15"/>
  <c r="AX63" i="15"/>
  <c r="AK64" i="15"/>
  <c r="AL64" i="15"/>
  <c r="AN64" i="15"/>
  <c r="AT64" i="15"/>
  <c r="AU64" i="15"/>
  <c r="AV64" i="15"/>
  <c r="AX64" i="15"/>
  <c r="AK65" i="15"/>
  <c r="AL65" i="15"/>
  <c r="AN65" i="15"/>
  <c r="AT65" i="15"/>
  <c r="AU65" i="15"/>
  <c r="AV65" i="15"/>
  <c r="AX65" i="15"/>
  <c r="AP66" i="15"/>
  <c r="AK66" i="15"/>
  <c r="AL66" i="15"/>
  <c r="AN66" i="15"/>
  <c r="AT66" i="15"/>
  <c r="AU66" i="15"/>
  <c r="AV66" i="15"/>
  <c r="AX66" i="15"/>
  <c r="AZ67" i="15"/>
  <c r="AK67" i="15"/>
  <c r="AL67" i="15"/>
  <c r="AN67" i="15"/>
  <c r="AT67" i="15"/>
  <c r="AU67" i="15"/>
  <c r="AV67" i="15"/>
  <c r="AX67" i="15"/>
  <c r="AK68" i="15"/>
  <c r="AL68" i="15"/>
  <c r="AN68" i="15"/>
  <c r="AT68" i="15"/>
  <c r="AU68" i="15"/>
  <c r="AV68" i="15"/>
  <c r="AX68" i="15"/>
  <c r="AK69" i="15"/>
  <c r="AL69" i="15"/>
  <c r="AN69" i="15"/>
  <c r="AT69" i="15"/>
  <c r="AU69" i="15"/>
  <c r="AV69" i="15"/>
  <c r="AX69" i="15"/>
  <c r="AZ70" i="15"/>
  <c r="AK70" i="15"/>
  <c r="AL70" i="15"/>
  <c r="AN70" i="15"/>
  <c r="AT70" i="15"/>
  <c r="AU70" i="15"/>
  <c r="AV70" i="15"/>
  <c r="AX70" i="15"/>
  <c r="AQ71" i="15"/>
  <c r="AK71" i="15"/>
  <c r="AL71" i="15"/>
  <c r="AN71" i="15"/>
  <c r="AT71" i="15"/>
  <c r="AU71" i="15"/>
  <c r="AV71" i="15"/>
  <c r="AX71" i="15"/>
  <c r="AK72" i="15"/>
  <c r="AL72" i="15"/>
  <c r="AN72" i="15"/>
  <c r="AT72" i="15"/>
  <c r="AU72" i="15"/>
  <c r="AV72" i="15"/>
  <c r="AX72" i="15"/>
  <c r="AP73" i="15"/>
  <c r="AK73" i="15"/>
  <c r="AL73" i="15"/>
  <c r="AN73" i="15"/>
  <c r="AT73" i="15"/>
  <c r="AU73" i="15"/>
  <c r="AV73" i="15"/>
  <c r="AX73" i="15"/>
  <c r="AK74" i="15"/>
  <c r="AL74" i="15"/>
  <c r="AN74" i="15"/>
  <c r="AT74" i="15"/>
  <c r="AU74" i="15"/>
  <c r="AV74" i="15"/>
  <c r="AX74" i="15"/>
  <c r="AK75" i="15"/>
  <c r="AL75" i="15"/>
  <c r="AN75" i="15"/>
  <c r="AT75" i="15"/>
  <c r="AU75" i="15"/>
  <c r="AV75" i="15"/>
  <c r="AX75" i="15"/>
  <c r="AO76" i="15"/>
  <c r="AK76" i="15"/>
  <c r="AL76" i="15"/>
  <c r="AN76" i="15"/>
  <c r="AT76" i="15"/>
  <c r="AU76" i="15"/>
  <c r="AV76" i="15"/>
  <c r="AX76" i="15"/>
  <c r="AK77" i="15"/>
  <c r="AL77" i="15"/>
  <c r="AN77" i="15"/>
  <c r="AT77" i="15"/>
  <c r="AU77" i="15"/>
  <c r="AV77" i="15"/>
  <c r="AX77" i="15"/>
  <c r="AK78" i="15"/>
  <c r="AL78" i="15"/>
  <c r="AN78" i="15"/>
  <c r="AT78" i="15"/>
  <c r="AU78" i="15"/>
  <c r="AV78" i="15"/>
  <c r="AX78" i="15"/>
  <c r="AK79" i="15"/>
  <c r="AL79" i="15"/>
  <c r="AN79" i="15"/>
  <c r="AT79" i="15"/>
  <c r="AU79" i="15"/>
  <c r="AV79" i="15"/>
  <c r="AX79" i="15"/>
  <c r="AQ80" i="15"/>
  <c r="AK80" i="15"/>
  <c r="AL80" i="15"/>
  <c r="AN80" i="15"/>
  <c r="AT80" i="15"/>
  <c r="AU80" i="15"/>
  <c r="AV80" i="15"/>
  <c r="AX80" i="15"/>
  <c r="AS81" i="15"/>
  <c r="AK81" i="15"/>
  <c r="AL81" i="15"/>
  <c r="AN81" i="15"/>
  <c r="AT81" i="15"/>
  <c r="AU81" i="15"/>
  <c r="AV81" i="15"/>
  <c r="AX81" i="15"/>
  <c r="AK82" i="15"/>
  <c r="AL82" i="15"/>
  <c r="AN82" i="15"/>
  <c r="AT82" i="15"/>
  <c r="AU82" i="15"/>
  <c r="AV82" i="15"/>
  <c r="AX82" i="15"/>
  <c r="AK83" i="15"/>
  <c r="AL83" i="15"/>
  <c r="AN83" i="15"/>
  <c r="AT83" i="15"/>
  <c r="AU83" i="15"/>
  <c r="AV83" i="15"/>
  <c r="AX83" i="15"/>
  <c r="AS84" i="15"/>
  <c r="AK84" i="15"/>
  <c r="AL84" i="15"/>
  <c r="AN84" i="15"/>
  <c r="AT84" i="15"/>
  <c r="AU84" i="15"/>
  <c r="AV84" i="15"/>
  <c r="AX84" i="15"/>
  <c r="AZ85" i="15"/>
  <c r="AK85" i="15"/>
  <c r="AL85" i="15"/>
  <c r="AN85" i="15"/>
  <c r="AT85" i="15"/>
  <c r="AU85" i="15"/>
  <c r="AV85" i="15"/>
  <c r="AX85" i="15"/>
  <c r="AZ86" i="15"/>
  <c r="AK86" i="15"/>
  <c r="AL86" i="15"/>
  <c r="AN86" i="15"/>
  <c r="AT86" i="15"/>
  <c r="AU86" i="15"/>
  <c r="AV86" i="15"/>
  <c r="AX86" i="15"/>
  <c r="AK87" i="15"/>
  <c r="AL87" i="15"/>
  <c r="AN87" i="15"/>
  <c r="AT87" i="15"/>
  <c r="AU87" i="15"/>
  <c r="AV87" i="15"/>
  <c r="AX87" i="15"/>
  <c r="AK88" i="15"/>
  <c r="AL88" i="15"/>
  <c r="AN88" i="15"/>
  <c r="AT88" i="15"/>
  <c r="AU88" i="15"/>
  <c r="AV88" i="15"/>
  <c r="AX88" i="15"/>
  <c r="AK89" i="15"/>
  <c r="AL89" i="15"/>
  <c r="AN89" i="15"/>
  <c r="AT89" i="15"/>
  <c r="AU89" i="15"/>
  <c r="AV89" i="15"/>
  <c r="AX89" i="15"/>
  <c r="AK90" i="15"/>
  <c r="AL90" i="15"/>
  <c r="AN90" i="15"/>
  <c r="AT90" i="15"/>
  <c r="AU90" i="15"/>
  <c r="AV90" i="15"/>
  <c r="AX90" i="15"/>
  <c r="AP91" i="15"/>
  <c r="AK91" i="15"/>
  <c r="AL91" i="15"/>
  <c r="AN91" i="15"/>
  <c r="AT91" i="15"/>
  <c r="AU91" i="15"/>
  <c r="AV91" i="15"/>
  <c r="AX91" i="15"/>
  <c r="AK92" i="15"/>
  <c r="AL92" i="15"/>
  <c r="AN92" i="15"/>
  <c r="AT92" i="15"/>
  <c r="AU92" i="15"/>
  <c r="AV92" i="15"/>
  <c r="AX92" i="15"/>
  <c r="AO93" i="15"/>
  <c r="AK93" i="15"/>
  <c r="AL93" i="15"/>
  <c r="AN93" i="15"/>
  <c r="AT93" i="15"/>
  <c r="AU93" i="15"/>
  <c r="AV93" i="15"/>
  <c r="AX93" i="15"/>
  <c r="AS94" i="15"/>
  <c r="AK94" i="15"/>
  <c r="AL94" i="15"/>
  <c r="AN94" i="15"/>
  <c r="AT94" i="15"/>
  <c r="AU94" i="15"/>
  <c r="AV94" i="15"/>
  <c r="AX94" i="15"/>
  <c r="AK95" i="15"/>
  <c r="AL95" i="15"/>
  <c r="AN95" i="15"/>
  <c r="AT95" i="15"/>
  <c r="AU95" i="15"/>
  <c r="AV95" i="15"/>
  <c r="AX95" i="15"/>
  <c r="AO96" i="15"/>
  <c r="AK96" i="15"/>
  <c r="AL96" i="15"/>
  <c r="AN96" i="15"/>
  <c r="AT96" i="15"/>
  <c r="AU96" i="15"/>
  <c r="AV96" i="15"/>
  <c r="AX96" i="15"/>
  <c r="AO97" i="15"/>
  <c r="AK97" i="15"/>
  <c r="AL97" i="15"/>
  <c r="AN97" i="15"/>
  <c r="AT97" i="15"/>
  <c r="AU97" i="15"/>
  <c r="AV97" i="15"/>
  <c r="AX97" i="15"/>
  <c r="AK98" i="15"/>
  <c r="AL98" i="15"/>
  <c r="AN98" i="15"/>
  <c r="AT98" i="15"/>
  <c r="AU98" i="15"/>
  <c r="AV98" i="15"/>
  <c r="AX98" i="15"/>
  <c r="AO99" i="15"/>
  <c r="AK99" i="15"/>
  <c r="AL99" i="15"/>
  <c r="AN99" i="15"/>
  <c r="AT99" i="15"/>
  <c r="AU99" i="15"/>
  <c r="AV99" i="15"/>
  <c r="AX99" i="15"/>
  <c r="AO100" i="15"/>
  <c r="AK100" i="15"/>
  <c r="AL100" i="15"/>
  <c r="AN100" i="15"/>
  <c r="AT100" i="15"/>
  <c r="AU100" i="15"/>
  <c r="AV100" i="15"/>
  <c r="AX100" i="15"/>
  <c r="AZ101" i="15"/>
  <c r="AK101" i="15"/>
  <c r="AL101" i="15"/>
  <c r="AN101" i="15"/>
  <c r="AT101" i="15"/>
  <c r="AU101" i="15"/>
  <c r="AV101" i="15"/>
  <c r="AX101" i="15"/>
  <c r="AZ102" i="15"/>
  <c r="AK102" i="15"/>
  <c r="AL102" i="15"/>
  <c r="AN102" i="15"/>
  <c r="AT102" i="15"/>
  <c r="AU102" i="15"/>
  <c r="AV102" i="15"/>
  <c r="AX102" i="15"/>
  <c r="AZ103" i="15"/>
  <c r="AK103" i="15"/>
  <c r="AL103" i="15"/>
  <c r="AN103" i="15"/>
  <c r="AT103" i="15"/>
  <c r="AU103" i="15"/>
  <c r="AV103" i="15"/>
  <c r="AX103" i="15"/>
  <c r="AZ104" i="15"/>
  <c r="AK104" i="15"/>
  <c r="AL104" i="15"/>
  <c r="AN104" i="15"/>
  <c r="AT104" i="15"/>
  <c r="AU104" i="15"/>
  <c r="AV104" i="15"/>
  <c r="AX104" i="15"/>
  <c r="AS105" i="15"/>
  <c r="AK105" i="15"/>
  <c r="AL105" i="15"/>
  <c r="AN105" i="15"/>
  <c r="AT105" i="15"/>
  <c r="AU105" i="15"/>
  <c r="AV105" i="15"/>
  <c r="AX105" i="15"/>
  <c r="AZ106" i="15"/>
  <c r="AK106" i="15"/>
  <c r="AL106" i="15"/>
  <c r="AN106" i="15"/>
  <c r="AT106" i="15"/>
  <c r="AU106" i="15"/>
  <c r="AV106" i="15"/>
  <c r="AX106" i="15"/>
  <c r="AS107" i="15"/>
  <c r="AK107" i="15"/>
  <c r="AL107" i="15"/>
  <c r="AN107" i="15"/>
  <c r="AT107" i="15"/>
  <c r="AU107" i="15"/>
  <c r="AV107" i="15"/>
  <c r="AX107" i="15"/>
  <c r="AK108" i="15"/>
  <c r="AL108" i="15"/>
  <c r="AN108" i="15"/>
  <c r="AT108" i="15"/>
  <c r="AU108" i="15"/>
  <c r="AV108" i="15"/>
  <c r="AX108" i="15"/>
  <c r="AZ109" i="15"/>
  <c r="AK109" i="15"/>
  <c r="AL109" i="15"/>
  <c r="AN109" i="15"/>
  <c r="AT109" i="15"/>
  <c r="AU109" i="15"/>
  <c r="AV109" i="15"/>
  <c r="AX109" i="15"/>
  <c r="AZ110" i="15"/>
  <c r="AK110" i="15"/>
  <c r="AL110" i="15"/>
  <c r="AN110" i="15"/>
  <c r="AT110" i="15"/>
  <c r="AU110" i="15"/>
  <c r="AV110" i="15"/>
  <c r="AX110" i="15"/>
  <c r="AO111" i="15"/>
  <c r="AK111" i="15"/>
  <c r="AL111" i="15"/>
  <c r="AN111" i="15"/>
  <c r="AT111" i="15"/>
  <c r="AU111" i="15"/>
  <c r="AV111" i="15"/>
  <c r="AX111" i="15"/>
  <c r="AZ112" i="15"/>
  <c r="AK112" i="15"/>
  <c r="AL112" i="15"/>
  <c r="AN112" i="15"/>
  <c r="AT112" i="15"/>
  <c r="AU112" i="15"/>
  <c r="AV112" i="15"/>
  <c r="AX112" i="15"/>
  <c r="AK113" i="15"/>
  <c r="AL113" i="15"/>
  <c r="AN113" i="15"/>
  <c r="AT113" i="15"/>
  <c r="AU113" i="15"/>
  <c r="AV113" i="15"/>
  <c r="AX113" i="15"/>
  <c r="AK114" i="15"/>
  <c r="AL114" i="15"/>
  <c r="AN114" i="15"/>
  <c r="AT114" i="15"/>
  <c r="AU114" i="15"/>
  <c r="AV114" i="15"/>
  <c r="AX114" i="15"/>
  <c r="AQ115" i="15"/>
  <c r="AK115" i="15"/>
  <c r="AL115" i="15"/>
  <c r="AN115" i="15"/>
  <c r="AT115" i="15"/>
  <c r="AU115" i="15"/>
  <c r="AV115" i="15"/>
  <c r="AX115" i="15"/>
  <c r="AZ116" i="15"/>
  <c r="AK116" i="15"/>
  <c r="AL116" i="15"/>
  <c r="AN116" i="15"/>
  <c r="AT116" i="15"/>
  <c r="AU116" i="15"/>
  <c r="AV116" i="15"/>
  <c r="AX116" i="15"/>
  <c r="AQ117" i="15"/>
  <c r="AK117" i="15"/>
  <c r="AL117" i="15"/>
  <c r="AN117" i="15"/>
  <c r="AT117" i="15"/>
  <c r="AU117" i="15"/>
  <c r="AV117" i="15"/>
  <c r="AX117" i="15"/>
  <c r="AP118" i="15"/>
  <c r="AK118" i="15"/>
  <c r="AL118" i="15"/>
  <c r="AN118" i="15"/>
  <c r="AT118" i="15"/>
  <c r="AU118" i="15"/>
  <c r="AV118" i="15"/>
  <c r="AX118" i="15"/>
  <c r="AK119" i="15"/>
  <c r="AL119" i="15"/>
  <c r="AN119" i="15"/>
  <c r="AT119" i="15"/>
  <c r="AU119" i="15"/>
  <c r="AV119" i="15"/>
  <c r="AX119" i="15"/>
  <c r="AK120" i="15"/>
  <c r="AL120" i="15"/>
  <c r="AN120" i="15"/>
  <c r="AT120" i="15"/>
  <c r="AU120" i="15"/>
  <c r="AV120" i="15"/>
  <c r="AX120" i="15"/>
  <c r="AK121" i="15"/>
  <c r="AL121" i="15"/>
  <c r="AN121" i="15"/>
  <c r="AT121" i="15"/>
  <c r="AU121" i="15"/>
  <c r="AV121" i="15"/>
  <c r="AX121" i="15"/>
  <c r="AK122" i="15"/>
  <c r="AL122" i="15"/>
  <c r="AN122" i="15"/>
  <c r="AT122" i="15"/>
  <c r="AU122" i="15"/>
  <c r="AV122" i="15"/>
  <c r="AX122" i="15"/>
  <c r="AO123" i="15"/>
  <c r="AK123" i="15"/>
  <c r="AL123" i="15"/>
  <c r="AN123" i="15"/>
  <c r="AT123" i="15"/>
  <c r="AU123" i="15"/>
  <c r="AV123" i="15"/>
  <c r="AX123" i="15"/>
  <c r="AO124" i="15"/>
  <c r="AK124" i="15"/>
  <c r="AL124" i="15"/>
  <c r="AN124" i="15"/>
  <c r="AT124" i="15"/>
  <c r="AU124" i="15"/>
  <c r="AV124" i="15"/>
  <c r="AX124" i="15"/>
  <c r="AK125" i="15"/>
  <c r="AL125" i="15"/>
  <c r="AN125" i="15"/>
  <c r="AT125" i="15"/>
  <c r="AU125" i="15"/>
  <c r="AV125" i="15"/>
  <c r="AX125" i="15"/>
  <c r="AK126" i="15"/>
  <c r="AL126" i="15"/>
  <c r="AN126" i="15"/>
  <c r="AT126" i="15"/>
  <c r="AU126" i="15"/>
  <c r="AV126" i="15"/>
  <c r="AX126" i="15"/>
  <c r="AZ127" i="15"/>
  <c r="AK127" i="15"/>
  <c r="AL127" i="15"/>
  <c r="AN127" i="15"/>
  <c r="AT127" i="15"/>
  <c r="AU127" i="15"/>
  <c r="AV127" i="15"/>
  <c r="AX127" i="15"/>
  <c r="AQ128" i="15"/>
  <c r="AK128" i="15"/>
  <c r="AL128" i="15"/>
  <c r="AN128" i="15"/>
  <c r="AT128" i="15"/>
  <c r="AU128" i="15"/>
  <c r="AV128" i="15"/>
  <c r="AX128" i="15"/>
  <c r="AP129" i="15"/>
  <c r="AK129" i="15"/>
  <c r="AL129" i="15"/>
  <c r="AN129" i="15"/>
  <c r="AT129" i="15"/>
  <c r="AU129" i="15"/>
  <c r="AV129" i="15"/>
  <c r="AX129" i="15"/>
  <c r="AK130" i="15"/>
  <c r="AL130" i="15"/>
  <c r="AN130" i="15"/>
  <c r="AT130" i="15"/>
  <c r="AU130" i="15"/>
  <c r="AV130" i="15"/>
  <c r="AX130" i="15"/>
  <c r="AS131" i="15"/>
  <c r="AK131" i="15"/>
  <c r="AL131" i="15"/>
  <c r="AN131" i="15"/>
  <c r="AT131" i="15"/>
  <c r="AU131" i="15"/>
  <c r="AV131" i="15"/>
  <c r="AX131" i="15"/>
  <c r="AO132" i="15"/>
  <c r="AK132" i="15"/>
  <c r="AL132" i="15"/>
  <c r="AN132" i="15"/>
  <c r="AT132" i="15"/>
  <c r="AU132" i="15"/>
  <c r="AV132" i="15"/>
  <c r="AX132" i="15"/>
  <c r="AK133" i="15"/>
  <c r="AL133" i="15"/>
  <c r="AN133" i="15"/>
  <c r="AT133" i="15"/>
  <c r="AU133" i="15"/>
  <c r="AV133" i="15"/>
  <c r="AX133" i="15"/>
  <c r="AZ134" i="15"/>
  <c r="AK134" i="15"/>
  <c r="AL134" i="15"/>
  <c r="AN134" i="15"/>
  <c r="AT134" i="15"/>
  <c r="AU134" i="15"/>
  <c r="AV134" i="15"/>
  <c r="AX134" i="15"/>
  <c r="AK135" i="15"/>
  <c r="AL135" i="15"/>
  <c r="AN135" i="15"/>
  <c r="AT135" i="15"/>
  <c r="AU135" i="15"/>
  <c r="AV135" i="15"/>
  <c r="AX135" i="15"/>
  <c r="AK136" i="15"/>
  <c r="AL136" i="15"/>
  <c r="AN136" i="15"/>
  <c r="AT136" i="15"/>
  <c r="AU136" i="15"/>
  <c r="AV136" i="15"/>
  <c r="AX136" i="15"/>
  <c r="AS137" i="15"/>
  <c r="AK137" i="15"/>
  <c r="AL137" i="15"/>
  <c r="AN137" i="15"/>
  <c r="AT137" i="15"/>
  <c r="AU137" i="15"/>
  <c r="AV137" i="15"/>
  <c r="AX137" i="15"/>
  <c r="AK138" i="15"/>
  <c r="AL138" i="15"/>
  <c r="AN138" i="15"/>
  <c r="AT138" i="15"/>
  <c r="AU138" i="15"/>
  <c r="AV138" i="15"/>
  <c r="AX138" i="15"/>
  <c r="AO139" i="15"/>
  <c r="AK139" i="15"/>
  <c r="AL139" i="15"/>
  <c r="AN139" i="15"/>
  <c r="AT139" i="15"/>
  <c r="AU139" i="15"/>
  <c r="AV139" i="15"/>
  <c r="AX139" i="15"/>
  <c r="AO140" i="15"/>
  <c r="AK140" i="15"/>
  <c r="AL140" i="15"/>
  <c r="AN140" i="15"/>
  <c r="AT140" i="15"/>
  <c r="AU140" i="15"/>
  <c r="AV140" i="15"/>
  <c r="AX140" i="15"/>
  <c r="AK141" i="15"/>
  <c r="AL141" i="15"/>
  <c r="AN141" i="15"/>
  <c r="AT141" i="15"/>
  <c r="AU141" i="15"/>
  <c r="AV141" i="15"/>
  <c r="AX141" i="15"/>
  <c r="AK142" i="15"/>
  <c r="AL142" i="15"/>
  <c r="AN142" i="15"/>
  <c r="AT142" i="15"/>
  <c r="AU142" i="15"/>
  <c r="AV142" i="15"/>
  <c r="AX142" i="15"/>
  <c r="AZ143" i="15"/>
  <c r="AK143" i="15"/>
  <c r="AL143" i="15"/>
  <c r="AN143" i="15"/>
  <c r="AT143" i="15"/>
  <c r="AU143" i="15"/>
  <c r="AV143" i="15"/>
  <c r="AX143" i="15"/>
  <c r="AK144" i="15"/>
  <c r="AL144" i="15"/>
  <c r="AN144" i="15"/>
  <c r="AT144" i="15"/>
  <c r="AU144" i="15"/>
  <c r="AV144" i="15"/>
  <c r="AX144" i="15"/>
  <c r="AK145" i="15"/>
  <c r="AL145" i="15"/>
  <c r="AN145" i="15"/>
  <c r="AT145" i="15"/>
  <c r="AU145" i="15"/>
  <c r="AV145" i="15"/>
  <c r="AX145" i="15"/>
  <c r="AO146" i="15"/>
  <c r="AK146" i="15"/>
  <c r="AL146" i="15"/>
  <c r="AN146" i="15"/>
  <c r="AT146" i="15"/>
  <c r="AU146" i="15"/>
  <c r="AV146" i="15"/>
  <c r="AX146" i="15"/>
  <c r="AP147" i="15"/>
  <c r="AK147" i="15"/>
  <c r="AL147" i="15"/>
  <c r="AN147" i="15"/>
  <c r="AT147" i="15"/>
  <c r="AU147" i="15"/>
  <c r="AV147" i="15"/>
  <c r="AX147" i="15"/>
  <c r="AZ148" i="15"/>
  <c r="AK148" i="15"/>
  <c r="AL148" i="15"/>
  <c r="AN148" i="15"/>
  <c r="AT148" i="15"/>
  <c r="AU148" i="15"/>
  <c r="AV148" i="15"/>
  <c r="AX148" i="15"/>
  <c r="AK149" i="15"/>
  <c r="AL149" i="15"/>
  <c r="AN149" i="15"/>
  <c r="AT149" i="15"/>
  <c r="AU149" i="15"/>
  <c r="AV149" i="15"/>
  <c r="AX149" i="15"/>
  <c r="AK150" i="15"/>
  <c r="AL150" i="15"/>
  <c r="AN150" i="15"/>
  <c r="AT150" i="15"/>
  <c r="AU150" i="15"/>
  <c r="AV150" i="15"/>
  <c r="AX150" i="15"/>
  <c r="AZ151" i="15"/>
  <c r="AK151" i="15"/>
  <c r="AL151" i="15"/>
  <c r="AN151" i="15"/>
  <c r="AT151" i="15"/>
  <c r="AU151" i="15"/>
  <c r="AV151" i="15"/>
  <c r="AX151" i="15"/>
  <c r="AK152" i="15"/>
  <c r="AL152" i="15"/>
  <c r="AN152" i="15"/>
  <c r="AT152" i="15"/>
  <c r="AU152" i="15"/>
  <c r="AV152" i="15"/>
  <c r="AX152" i="15"/>
  <c r="AO153" i="15"/>
  <c r="AK153" i="15"/>
  <c r="AL153" i="15"/>
  <c r="AN153" i="15"/>
  <c r="AT153" i="15"/>
  <c r="AU153" i="15"/>
  <c r="AV153" i="15"/>
  <c r="AX153" i="15"/>
  <c r="AK154" i="15"/>
  <c r="AL154" i="15"/>
  <c r="AN154" i="15"/>
  <c r="AT154" i="15"/>
  <c r="AU154" i="15"/>
  <c r="AV154" i="15"/>
  <c r="AX154" i="15"/>
  <c r="AK155" i="15"/>
  <c r="AL155" i="15"/>
  <c r="AN155" i="15"/>
  <c r="AT155" i="15"/>
  <c r="AU155" i="15"/>
  <c r="AV155" i="15"/>
  <c r="AX155" i="15"/>
  <c r="AK156" i="15"/>
  <c r="AL156" i="15"/>
  <c r="AN156" i="15"/>
  <c r="AT156" i="15"/>
  <c r="AU156" i="15"/>
  <c r="AV156" i="15"/>
  <c r="AX156" i="15"/>
  <c r="AK157" i="15"/>
  <c r="AL157" i="15"/>
  <c r="AN157" i="15"/>
  <c r="AT157" i="15"/>
  <c r="AU157" i="15"/>
  <c r="AV157" i="15"/>
  <c r="AX157" i="15"/>
  <c r="AS158" i="15"/>
  <c r="AK158" i="15"/>
  <c r="AL158" i="15"/>
  <c r="AN158" i="15"/>
  <c r="AT158" i="15"/>
  <c r="AU158" i="15"/>
  <c r="AV158" i="15"/>
  <c r="AX158" i="15"/>
  <c r="AK159" i="15"/>
  <c r="AL159" i="15"/>
  <c r="AN159" i="15"/>
  <c r="AT159" i="15"/>
  <c r="AU159" i="15"/>
  <c r="AV159" i="15"/>
  <c r="AX159" i="15"/>
  <c r="AQ160" i="15"/>
  <c r="AK160" i="15"/>
  <c r="AL160" i="15"/>
  <c r="AN160" i="15"/>
  <c r="AT160" i="15"/>
  <c r="AU160" i="15"/>
  <c r="AV160" i="15"/>
  <c r="AX160" i="15"/>
  <c r="AK161" i="15"/>
  <c r="AL161" i="15"/>
  <c r="AN161" i="15"/>
  <c r="AT161" i="15"/>
  <c r="AU161" i="15"/>
  <c r="AV161" i="15"/>
  <c r="AX161" i="15"/>
  <c r="AK162" i="15"/>
  <c r="AL162" i="15"/>
  <c r="AN162" i="15"/>
  <c r="AT162" i="15"/>
  <c r="AU162" i="15"/>
  <c r="AV162" i="15"/>
  <c r="AX162" i="15"/>
  <c r="AS163" i="15"/>
  <c r="AK163" i="15"/>
  <c r="AL163" i="15"/>
  <c r="AN163" i="15"/>
  <c r="AT163" i="15"/>
  <c r="AU163" i="15"/>
  <c r="AV163" i="15"/>
  <c r="AX163" i="15"/>
  <c r="AK164" i="15"/>
  <c r="AL164" i="15"/>
  <c r="AN164" i="15"/>
  <c r="AT164" i="15"/>
  <c r="AU164" i="15"/>
  <c r="AV164" i="15"/>
  <c r="AX164" i="15"/>
  <c r="AK165" i="15"/>
  <c r="AL165" i="15"/>
  <c r="AN165" i="15"/>
  <c r="AT165" i="15"/>
  <c r="AU165" i="15"/>
  <c r="AV165" i="15"/>
  <c r="AX165" i="15"/>
  <c r="AK166" i="15"/>
  <c r="AL166" i="15"/>
  <c r="AN166" i="15"/>
  <c r="AT166" i="15"/>
  <c r="AU166" i="15"/>
  <c r="AV166" i="15"/>
  <c r="AX166" i="15"/>
  <c r="AZ167" i="15"/>
  <c r="AK167" i="15"/>
  <c r="AL167" i="15"/>
  <c r="AN167" i="15"/>
  <c r="AT167" i="15"/>
  <c r="AU167" i="15"/>
  <c r="AV167" i="15"/>
  <c r="AX167" i="15"/>
  <c r="AK168" i="15"/>
  <c r="AL168" i="15"/>
  <c r="AN168" i="15"/>
  <c r="AT168" i="15"/>
  <c r="AU168" i="15"/>
  <c r="AV168" i="15"/>
  <c r="AX168" i="15"/>
  <c r="AZ169" i="15"/>
  <c r="AK169" i="15"/>
  <c r="AL169" i="15"/>
  <c r="AN169" i="15"/>
  <c r="AT169" i="15"/>
  <c r="AU169" i="15"/>
  <c r="AV169" i="15"/>
  <c r="AX169" i="15"/>
  <c r="AK170" i="15"/>
  <c r="AL170" i="15"/>
  <c r="AN170" i="15"/>
  <c r="AT170" i="15"/>
  <c r="AU170" i="15"/>
  <c r="AV170" i="15"/>
  <c r="AX170" i="15"/>
  <c r="AQ171" i="15"/>
  <c r="AK171" i="15"/>
  <c r="AL171" i="15"/>
  <c r="AN171" i="15"/>
  <c r="AT171" i="15"/>
  <c r="AU171" i="15"/>
  <c r="AV171" i="15"/>
  <c r="AX171" i="15"/>
  <c r="AP172" i="15"/>
  <c r="AK172" i="15"/>
  <c r="AL172" i="15"/>
  <c r="AN172" i="15"/>
  <c r="AT172" i="15"/>
  <c r="AU172" i="15"/>
  <c r="AV172" i="15"/>
  <c r="AX172" i="15"/>
  <c r="AZ173" i="15"/>
  <c r="AK173" i="15"/>
  <c r="AL173" i="15"/>
  <c r="AN173" i="15"/>
  <c r="AT173" i="15"/>
  <c r="AU173" i="15"/>
  <c r="AV173" i="15"/>
  <c r="AX173" i="15"/>
  <c r="AK174" i="15"/>
  <c r="AL174" i="15"/>
  <c r="AN174" i="15"/>
  <c r="AT174" i="15"/>
  <c r="AU174" i="15"/>
  <c r="AV174" i="15"/>
  <c r="AX174" i="15"/>
  <c r="AK175" i="15"/>
  <c r="AL175" i="15"/>
  <c r="AN175" i="15"/>
  <c r="AT175" i="15"/>
  <c r="AU175" i="15"/>
  <c r="AV175" i="15"/>
  <c r="AX175" i="15"/>
  <c r="AO176" i="15"/>
  <c r="AK176" i="15"/>
  <c r="AL176" i="15"/>
  <c r="AN176" i="15"/>
  <c r="AT176" i="15"/>
  <c r="AU176" i="15"/>
  <c r="AV176" i="15"/>
  <c r="AX176" i="15"/>
  <c r="AZ177" i="15"/>
  <c r="AK177" i="15"/>
  <c r="AL177" i="15"/>
  <c r="AN177" i="15"/>
  <c r="AT177" i="15"/>
  <c r="AU177" i="15"/>
  <c r="AV177" i="15"/>
  <c r="AX177" i="15"/>
  <c r="AK178" i="15"/>
  <c r="AL178" i="15"/>
  <c r="AN178" i="15"/>
  <c r="AT178" i="15"/>
  <c r="AU178" i="15"/>
  <c r="AV178" i="15"/>
  <c r="AX178" i="15"/>
  <c r="AK179" i="15"/>
  <c r="AL179" i="15"/>
  <c r="AN179" i="15"/>
  <c r="AT179" i="15"/>
  <c r="AU179" i="15"/>
  <c r="AV179" i="15"/>
  <c r="AX179" i="15"/>
  <c r="AZ180" i="15"/>
  <c r="AK180" i="15"/>
  <c r="AL180" i="15"/>
  <c r="AN180" i="15"/>
  <c r="AT180" i="15"/>
  <c r="AU180" i="15"/>
  <c r="AV180" i="15"/>
  <c r="AX180" i="15"/>
  <c r="AS181" i="15"/>
  <c r="AK181" i="15"/>
  <c r="AL181" i="15"/>
  <c r="AN181" i="15"/>
  <c r="AT181" i="15"/>
  <c r="AU181" i="15"/>
  <c r="AV181" i="15"/>
  <c r="AX181" i="15"/>
  <c r="AO182" i="15"/>
  <c r="AK182" i="15"/>
  <c r="AL182" i="15"/>
  <c r="AN182" i="15"/>
  <c r="AT182" i="15"/>
  <c r="AU182" i="15"/>
  <c r="AV182" i="15"/>
  <c r="AX182" i="15"/>
  <c r="AZ183" i="15"/>
  <c r="AK183" i="15"/>
  <c r="AL183" i="15"/>
  <c r="AN183" i="15"/>
  <c r="AT183" i="15"/>
  <c r="AU183" i="15"/>
  <c r="AV183" i="15"/>
  <c r="AX183" i="15"/>
  <c r="AS184" i="15"/>
  <c r="AK184" i="15"/>
  <c r="AL184" i="15"/>
  <c r="AN184" i="15"/>
  <c r="AT184" i="15"/>
  <c r="AU184" i="15"/>
  <c r="AV184" i="15"/>
  <c r="AX184" i="15"/>
  <c r="AO185" i="15"/>
  <c r="AK185" i="15"/>
  <c r="AL185" i="15"/>
  <c r="AN185" i="15"/>
  <c r="AT185" i="15"/>
  <c r="AU185" i="15"/>
  <c r="AV185" i="15"/>
  <c r="AX185" i="15"/>
  <c r="AO186" i="15"/>
  <c r="AK186" i="15"/>
  <c r="AL186" i="15"/>
  <c r="AN186" i="15"/>
  <c r="AT186" i="15"/>
  <c r="AU186" i="15"/>
  <c r="AV186" i="15"/>
  <c r="AX186" i="15"/>
  <c r="AO187" i="15"/>
  <c r="AK187" i="15"/>
  <c r="AL187" i="15"/>
  <c r="AN187" i="15"/>
  <c r="AT187" i="15"/>
  <c r="AU187" i="15"/>
  <c r="AV187" i="15"/>
  <c r="AX187" i="15"/>
  <c r="AS188" i="15"/>
  <c r="AK188" i="15"/>
  <c r="AL188" i="15"/>
  <c r="AN188" i="15"/>
  <c r="AT188" i="15"/>
  <c r="AU188" i="15"/>
  <c r="AV188" i="15"/>
  <c r="AX188" i="15"/>
  <c r="AZ189" i="15"/>
  <c r="AK189" i="15"/>
  <c r="AL189" i="15"/>
  <c r="AN189" i="15"/>
  <c r="AT189" i="15"/>
  <c r="AU189" i="15"/>
  <c r="AV189" i="15"/>
  <c r="AX189" i="15"/>
  <c r="AK190" i="15"/>
  <c r="AL190" i="15"/>
  <c r="AN190" i="15"/>
  <c r="AT190" i="15"/>
  <c r="AU190" i="15"/>
  <c r="AV190" i="15"/>
  <c r="AX190" i="15"/>
  <c r="AZ191" i="15"/>
  <c r="AK191" i="15"/>
  <c r="AL191" i="15"/>
  <c r="AN191" i="15"/>
  <c r="AT191" i="15"/>
  <c r="AU191" i="15"/>
  <c r="AV191" i="15"/>
  <c r="AX191" i="15"/>
  <c r="AQ192" i="15"/>
  <c r="AK192" i="15"/>
  <c r="AL192" i="15"/>
  <c r="AN192" i="15"/>
  <c r="AT192" i="15"/>
  <c r="AU192" i="15"/>
  <c r="AV192" i="15"/>
  <c r="AX192" i="15"/>
  <c r="AZ193" i="15"/>
  <c r="AK193" i="15"/>
  <c r="AL193" i="15"/>
  <c r="AN193" i="15"/>
  <c r="AT193" i="15"/>
  <c r="AU193" i="15"/>
  <c r="AV193" i="15"/>
  <c r="AX193" i="15"/>
  <c r="AK194" i="15"/>
  <c r="AL194" i="15"/>
  <c r="AN194" i="15"/>
  <c r="AT194" i="15"/>
  <c r="AU194" i="15"/>
  <c r="AV194" i="15"/>
  <c r="AX194" i="15"/>
  <c r="AQ195" i="15"/>
  <c r="AK195" i="15"/>
  <c r="AL195" i="15"/>
  <c r="AN195" i="15"/>
  <c r="AT195" i="15"/>
  <c r="AU195" i="15"/>
  <c r="AV195" i="15"/>
  <c r="AX195" i="15"/>
  <c r="AP196" i="15"/>
  <c r="AK196" i="15"/>
  <c r="AL196" i="15"/>
  <c r="AN196" i="15"/>
  <c r="AT196" i="15"/>
  <c r="AU196" i="15"/>
  <c r="AV196" i="15"/>
  <c r="AX196" i="15"/>
  <c r="AO197" i="15"/>
  <c r="AK197" i="15"/>
  <c r="AL197" i="15"/>
  <c r="AN197" i="15"/>
  <c r="AT197" i="15"/>
  <c r="AU197" i="15"/>
  <c r="AV197" i="15"/>
  <c r="AX197" i="15"/>
  <c r="AP198" i="15"/>
  <c r="AK198" i="15"/>
  <c r="AL198" i="15"/>
  <c r="AN198" i="15"/>
  <c r="AT198" i="15"/>
  <c r="AU198" i="15"/>
  <c r="AV198" i="15"/>
  <c r="AX198" i="15"/>
  <c r="AK199" i="15"/>
  <c r="AL199" i="15"/>
  <c r="AN199" i="15"/>
  <c r="AT199" i="15"/>
  <c r="AU199" i="15"/>
  <c r="AV199" i="15"/>
  <c r="AX199" i="15"/>
  <c r="AQ200" i="15"/>
  <c r="AK200" i="15"/>
  <c r="AL200" i="15"/>
  <c r="AN200" i="15"/>
  <c r="AT200" i="15"/>
  <c r="AU200" i="15"/>
  <c r="AV200" i="15"/>
  <c r="AX200" i="15"/>
  <c r="AP201" i="15"/>
  <c r="AK201" i="15"/>
  <c r="AL201" i="15"/>
  <c r="AN201" i="15"/>
  <c r="AT201" i="15"/>
  <c r="AU201" i="15"/>
  <c r="AV201" i="15"/>
  <c r="AX201" i="15"/>
  <c r="AK202" i="15"/>
  <c r="AL202" i="15"/>
  <c r="AN202" i="15"/>
  <c r="AT202" i="15"/>
  <c r="AU202" i="15"/>
  <c r="AV202" i="15"/>
  <c r="AX202" i="15"/>
  <c r="AQ203" i="15"/>
  <c r="AK203" i="15"/>
  <c r="AL203" i="15"/>
  <c r="AN203" i="15"/>
  <c r="AT203" i="15"/>
  <c r="AU203" i="15"/>
  <c r="AV203" i="15"/>
  <c r="AX203" i="15"/>
  <c r="AK204" i="15"/>
  <c r="AL204" i="15"/>
  <c r="AN204" i="15"/>
  <c r="AT204" i="15"/>
  <c r="AU204" i="15"/>
  <c r="AV204" i="15"/>
  <c r="AX204" i="15"/>
  <c r="AQ205" i="15"/>
  <c r="AK205" i="15"/>
  <c r="AL205" i="15"/>
  <c r="AN205" i="15"/>
  <c r="AT205" i="15"/>
  <c r="AU205" i="15"/>
  <c r="AV205" i="15"/>
  <c r="AX205" i="15"/>
  <c r="AP206" i="15"/>
  <c r="AK206" i="15"/>
  <c r="AL206" i="15"/>
  <c r="AN206" i="15"/>
  <c r="AT206" i="15"/>
  <c r="AU206" i="15"/>
  <c r="AV206" i="15"/>
  <c r="AX206" i="15"/>
  <c r="AK207" i="15"/>
  <c r="AL207" i="15"/>
  <c r="AN207" i="15"/>
  <c r="AT207" i="15"/>
  <c r="AU207" i="15"/>
  <c r="AV207" i="15"/>
  <c r="AX207" i="15"/>
  <c r="AZ208" i="15"/>
  <c r="AK208" i="15"/>
  <c r="AL208" i="15"/>
  <c r="AN208" i="15"/>
  <c r="AT208" i="15"/>
  <c r="AU208" i="15"/>
  <c r="AV208" i="15"/>
  <c r="AX208" i="15"/>
  <c r="AP209" i="15"/>
  <c r="AK209" i="15"/>
  <c r="AL209" i="15"/>
  <c r="AN209" i="15"/>
  <c r="AT209" i="15"/>
  <c r="AU209" i="15"/>
  <c r="AV209" i="15"/>
  <c r="AX209" i="15"/>
  <c r="AP210" i="15"/>
  <c r="AK210" i="15"/>
  <c r="AL210" i="15"/>
  <c r="AN210" i="15"/>
  <c r="AT210" i="15"/>
  <c r="AU210" i="15"/>
  <c r="AV210" i="15"/>
  <c r="AX210" i="15"/>
  <c r="AS211" i="15"/>
  <c r="AK211" i="15"/>
  <c r="AL211" i="15"/>
  <c r="AN211" i="15"/>
  <c r="AT211" i="15"/>
  <c r="AU211" i="15"/>
  <c r="AV211" i="15"/>
  <c r="AX211" i="15"/>
  <c r="AO212" i="15"/>
  <c r="AK212" i="15"/>
  <c r="AL212" i="15"/>
  <c r="AN212" i="15"/>
  <c r="AT212" i="15"/>
  <c r="AU212" i="15"/>
  <c r="AV212" i="15"/>
  <c r="AX212" i="15"/>
  <c r="AO213" i="15"/>
  <c r="AK213" i="15"/>
  <c r="AL213" i="15"/>
  <c r="AN213" i="15"/>
  <c r="AT213" i="15"/>
  <c r="AU213" i="15"/>
  <c r="AV213" i="15"/>
  <c r="AX213" i="15"/>
  <c r="AK214" i="15"/>
  <c r="AL214" i="15"/>
  <c r="AN214" i="15"/>
  <c r="AT214" i="15"/>
  <c r="AU214" i="15"/>
  <c r="AV214" i="15"/>
  <c r="AX214" i="15"/>
  <c r="AK215" i="15"/>
  <c r="AL215" i="15"/>
  <c r="AN215" i="15"/>
  <c r="AT215" i="15"/>
  <c r="AU215" i="15"/>
  <c r="AV215" i="15"/>
  <c r="AX215" i="15"/>
  <c r="AK216" i="15"/>
  <c r="AL216" i="15"/>
  <c r="AN216" i="15"/>
  <c r="AT216" i="15"/>
  <c r="AU216" i="15"/>
  <c r="AV216" i="15"/>
  <c r="AX216" i="15"/>
  <c r="AP217" i="15"/>
  <c r="AK217" i="15"/>
  <c r="AL217" i="15"/>
  <c r="AN217" i="15"/>
  <c r="AT217" i="15"/>
  <c r="AU217" i="15"/>
  <c r="AV217" i="15"/>
  <c r="AX217" i="15"/>
  <c r="AO218" i="15"/>
  <c r="AK218" i="15"/>
  <c r="AL218" i="15"/>
  <c r="AN218" i="15"/>
  <c r="AT218" i="15"/>
  <c r="AU218" i="15"/>
  <c r="AV218" i="15"/>
  <c r="AX218" i="15"/>
  <c r="AS219" i="15"/>
  <c r="AK219" i="15"/>
  <c r="AL219" i="15"/>
  <c r="AN219" i="15"/>
  <c r="AT219" i="15"/>
  <c r="AU219" i="15"/>
  <c r="AV219" i="15"/>
  <c r="AX219" i="15"/>
  <c r="AQ220" i="15"/>
  <c r="AK220" i="15"/>
  <c r="AL220" i="15"/>
  <c r="AN220" i="15"/>
  <c r="AT220" i="15"/>
  <c r="AU220" i="15"/>
  <c r="AV220" i="15"/>
  <c r="AX220" i="15"/>
  <c r="AO221" i="15"/>
  <c r="AK221" i="15"/>
  <c r="AL221" i="15"/>
  <c r="AN221" i="15"/>
  <c r="AT221" i="15"/>
  <c r="AU221" i="15"/>
  <c r="AV221" i="15"/>
  <c r="AX221" i="15"/>
  <c r="AP222" i="15"/>
  <c r="AK222" i="15"/>
  <c r="AL222" i="15"/>
  <c r="AN222" i="15"/>
  <c r="AT222" i="15"/>
  <c r="AU222" i="15"/>
  <c r="AV222" i="15"/>
  <c r="AX222" i="15"/>
  <c r="AO223" i="15"/>
  <c r="AK223" i="15"/>
  <c r="AL223" i="15"/>
  <c r="AN223" i="15"/>
  <c r="AT223" i="15"/>
  <c r="AU223" i="15"/>
  <c r="AV223" i="15"/>
  <c r="AX223" i="15"/>
  <c r="AK224" i="15"/>
  <c r="AL224" i="15"/>
  <c r="AN224" i="15"/>
  <c r="AT224" i="15"/>
  <c r="AU224" i="15"/>
  <c r="AV224" i="15"/>
  <c r="AX224" i="15"/>
  <c r="AP225" i="15"/>
  <c r="AK225" i="15"/>
  <c r="AL225" i="15"/>
  <c r="AN225" i="15"/>
  <c r="AT225" i="15"/>
  <c r="AU225" i="15"/>
  <c r="AV225" i="15"/>
  <c r="AX225" i="15"/>
  <c r="AK226" i="15"/>
  <c r="AL226" i="15"/>
  <c r="AN226" i="15"/>
  <c r="AT226" i="15"/>
  <c r="AU226" i="15"/>
  <c r="AV226" i="15"/>
  <c r="AX226" i="15"/>
  <c r="AK227" i="15"/>
  <c r="AL227" i="15"/>
  <c r="AN227" i="15"/>
  <c r="AT227" i="15"/>
  <c r="AU227" i="15"/>
  <c r="AV227" i="15"/>
  <c r="AX227" i="15"/>
  <c r="AO228" i="15"/>
  <c r="AK228" i="15"/>
  <c r="AL228" i="15"/>
  <c r="AN228" i="15"/>
  <c r="AT228" i="15"/>
  <c r="AU228" i="15"/>
  <c r="AV228" i="15"/>
  <c r="AX228" i="15"/>
  <c r="AS229" i="15"/>
  <c r="AK229" i="15"/>
  <c r="AL229" i="15"/>
  <c r="AN229" i="15"/>
  <c r="AT229" i="15"/>
  <c r="AU229" i="15"/>
  <c r="AV229" i="15"/>
  <c r="AX229" i="15"/>
  <c r="AK230" i="15"/>
  <c r="AL230" i="15"/>
  <c r="AN230" i="15"/>
  <c r="AT230" i="15"/>
  <c r="AU230" i="15"/>
  <c r="AV230" i="15"/>
  <c r="AX230" i="15"/>
  <c r="AQ231" i="15"/>
  <c r="AK231" i="15"/>
  <c r="AL231" i="15"/>
  <c r="AN231" i="15"/>
  <c r="AT231" i="15"/>
  <c r="AU231" i="15"/>
  <c r="AV231" i="15"/>
  <c r="AX231" i="15"/>
  <c r="AK232" i="15"/>
  <c r="AL232" i="15"/>
  <c r="AN232" i="15"/>
  <c r="AT232" i="15"/>
  <c r="AU232" i="15"/>
  <c r="AV232" i="15"/>
  <c r="AX232" i="15"/>
  <c r="AO233" i="15"/>
  <c r="AK233" i="15"/>
  <c r="AL233" i="15"/>
  <c r="AN233" i="15"/>
  <c r="AT233" i="15"/>
  <c r="AU233" i="15"/>
  <c r="AV233" i="15"/>
  <c r="AX233" i="15"/>
  <c r="AO234" i="15"/>
  <c r="AK234" i="15"/>
  <c r="AL234" i="15"/>
  <c r="AN234" i="15"/>
  <c r="AT234" i="15"/>
  <c r="AU234" i="15"/>
  <c r="AV234" i="15"/>
  <c r="AX234" i="15"/>
  <c r="AZ235" i="15"/>
  <c r="AK235" i="15"/>
  <c r="AL235" i="15"/>
  <c r="AN235" i="15"/>
  <c r="AT235" i="15"/>
  <c r="AU235" i="15"/>
  <c r="AV235" i="15"/>
  <c r="AX235" i="15"/>
  <c r="AK236" i="15"/>
  <c r="AL236" i="15"/>
  <c r="AN236" i="15"/>
  <c r="AT236" i="15"/>
  <c r="AU236" i="15"/>
  <c r="AV236" i="15"/>
  <c r="AX236" i="15"/>
  <c r="AK237" i="15"/>
  <c r="AL237" i="15"/>
  <c r="AN237" i="15"/>
  <c r="AT237" i="15"/>
  <c r="AU237" i="15"/>
  <c r="AV237" i="15"/>
  <c r="AX237" i="15"/>
  <c r="AK238" i="15"/>
  <c r="AL238" i="15"/>
  <c r="AN238" i="15"/>
  <c r="AT238" i="15"/>
  <c r="AU238" i="15"/>
  <c r="AV238" i="15"/>
  <c r="AX238" i="15"/>
  <c r="AK239" i="15"/>
  <c r="AL239" i="15"/>
  <c r="AN239" i="15"/>
  <c r="AT239" i="15"/>
  <c r="AU239" i="15"/>
  <c r="AV239" i="15"/>
  <c r="AX239" i="15"/>
  <c r="AQ240" i="15"/>
  <c r="AK240" i="15"/>
  <c r="AL240" i="15"/>
  <c r="AN240" i="15"/>
  <c r="AT240" i="15"/>
  <c r="AU240" i="15"/>
  <c r="AV240" i="15"/>
  <c r="AX240" i="15"/>
  <c r="AO241" i="15"/>
  <c r="AK241" i="15"/>
  <c r="AL241" i="15"/>
  <c r="AN241" i="15"/>
  <c r="AT241" i="15"/>
  <c r="AU241" i="15"/>
  <c r="AV241" i="15"/>
  <c r="AX241" i="15"/>
  <c r="AQ242" i="15"/>
  <c r="AK242" i="15"/>
  <c r="AL242" i="15"/>
  <c r="AN242" i="15"/>
  <c r="AT242" i="15"/>
  <c r="AU242" i="15"/>
  <c r="AV242" i="15"/>
  <c r="AX242" i="15"/>
  <c r="AZ243" i="15"/>
  <c r="AK243" i="15"/>
  <c r="AL243" i="15"/>
  <c r="AN243" i="15"/>
  <c r="AT243" i="15"/>
  <c r="AU243" i="15"/>
  <c r="AV243" i="15"/>
  <c r="AX243" i="15"/>
  <c r="AZ244" i="15"/>
  <c r="AK244" i="15"/>
  <c r="AL244" i="15"/>
  <c r="AN244" i="15"/>
  <c r="AT244" i="15"/>
  <c r="AU244" i="15"/>
  <c r="AV244" i="15"/>
  <c r="AX244" i="15"/>
  <c r="AK245" i="15"/>
  <c r="AL245" i="15"/>
  <c r="AN245" i="15"/>
  <c r="AT245" i="15"/>
  <c r="AU245" i="15"/>
  <c r="AV245" i="15"/>
  <c r="AX245" i="15"/>
  <c r="AK246" i="15"/>
  <c r="AL246" i="15"/>
  <c r="AN246" i="15"/>
  <c r="AT246" i="15"/>
  <c r="AU246" i="15"/>
  <c r="AV246" i="15"/>
  <c r="AX246" i="15"/>
  <c r="AK247" i="15"/>
  <c r="AL247" i="15"/>
  <c r="AN247" i="15"/>
  <c r="AT247" i="15"/>
  <c r="AU247" i="15"/>
  <c r="AV247" i="15"/>
  <c r="AX247" i="15"/>
  <c r="AZ248" i="15"/>
  <c r="AK248" i="15"/>
  <c r="AL248" i="15"/>
  <c r="AN248" i="15"/>
  <c r="AT248" i="15"/>
  <c r="AU248" i="15"/>
  <c r="AV248" i="15"/>
  <c r="AX248" i="15"/>
  <c r="AK249" i="15"/>
  <c r="AL249" i="15"/>
  <c r="AN249" i="15"/>
  <c r="AT249" i="15"/>
  <c r="AU249" i="15"/>
  <c r="AV249" i="15"/>
  <c r="AX249" i="15"/>
  <c r="AK250" i="15"/>
  <c r="AL250" i="15"/>
  <c r="AN250" i="15"/>
  <c r="AT250" i="15"/>
  <c r="AU250" i="15"/>
  <c r="AV250" i="15"/>
  <c r="AX250" i="15"/>
  <c r="AK251" i="15"/>
  <c r="AL251" i="15"/>
  <c r="AN251" i="15"/>
  <c r="AT251" i="15"/>
  <c r="AU251" i="15"/>
  <c r="AV251" i="15"/>
  <c r="AX251" i="15"/>
  <c r="AZ252" i="15"/>
  <c r="AK252" i="15"/>
  <c r="AL252" i="15"/>
  <c r="AN252" i="15"/>
  <c r="AT252" i="15"/>
  <c r="AU252" i="15"/>
  <c r="AV252" i="15"/>
  <c r="AX252" i="15"/>
  <c r="AS253" i="15"/>
  <c r="AK253" i="15"/>
  <c r="AL253" i="15"/>
  <c r="AN253" i="15"/>
  <c r="AT253" i="15"/>
  <c r="AU253" i="15"/>
  <c r="AV253" i="15"/>
  <c r="AX253" i="15"/>
  <c r="AO254" i="15"/>
  <c r="AK254" i="15"/>
  <c r="AL254" i="15"/>
  <c r="AN254" i="15"/>
  <c r="AT254" i="15"/>
  <c r="AU254" i="15"/>
  <c r="AV254" i="15"/>
  <c r="AX254" i="15"/>
  <c r="AK255" i="15"/>
  <c r="AL255" i="15"/>
  <c r="AN255" i="15"/>
  <c r="AT255" i="15"/>
  <c r="AU255" i="15"/>
  <c r="AV255" i="15"/>
  <c r="AX255" i="15"/>
  <c r="AK256" i="15"/>
  <c r="AL256" i="15"/>
  <c r="AN256" i="15"/>
  <c r="AT256" i="15"/>
  <c r="AU256" i="15"/>
  <c r="AV256" i="15"/>
  <c r="AX256" i="15"/>
  <c r="AK257" i="15"/>
  <c r="AL257" i="15"/>
  <c r="AN257" i="15"/>
  <c r="AT257" i="15"/>
  <c r="AU257" i="15"/>
  <c r="AV257" i="15"/>
  <c r="AX257" i="15"/>
  <c r="AS258" i="15"/>
  <c r="AK258" i="15"/>
  <c r="AL258" i="15"/>
  <c r="AN258" i="15"/>
  <c r="AT258" i="15"/>
  <c r="AU258" i="15"/>
  <c r="AV258" i="15"/>
  <c r="AX258" i="15"/>
  <c r="AZ259" i="15"/>
  <c r="AK259" i="15"/>
  <c r="AL259" i="15"/>
  <c r="AN259" i="15"/>
  <c r="AT259" i="15"/>
  <c r="AU259" i="15"/>
  <c r="AV259" i="15"/>
  <c r="AX259" i="15"/>
  <c r="AZ260" i="15"/>
  <c r="AK260" i="15"/>
  <c r="AL260" i="15"/>
  <c r="AN260" i="15"/>
  <c r="AT260" i="15"/>
  <c r="AU260" i="15"/>
  <c r="AV260" i="15"/>
  <c r="AX260" i="15"/>
  <c r="AQ261" i="15"/>
  <c r="AK261" i="15"/>
  <c r="AL261" i="15"/>
  <c r="AN261" i="15"/>
  <c r="AT261" i="15"/>
  <c r="AU261" i="15"/>
  <c r="AV261" i="15"/>
  <c r="AX261" i="15"/>
  <c r="AP262" i="15"/>
  <c r="AK262" i="15"/>
  <c r="AL262" i="15"/>
  <c r="AN262" i="15"/>
  <c r="AT262" i="15"/>
  <c r="AU262" i="15"/>
  <c r="AV262" i="15"/>
  <c r="AX262" i="15"/>
  <c r="AZ263" i="15"/>
  <c r="AK263" i="15"/>
  <c r="AL263" i="15"/>
  <c r="AN263" i="15"/>
  <c r="AT263" i="15"/>
  <c r="AU263" i="15"/>
  <c r="AV263" i="15"/>
  <c r="AX263" i="15"/>
  <c r="AZ264" i="15"/>
  <c r="AK264" i="15"/>
  <c r="AL264" i="15"/>
  <c r="AN264" i="15"/>
  <c r="AT264" i="15"/>
  <c r="AU264" i="15"/>
  <c r="AV264" i="15"/>
  <c r="AX264" i="15"/>
  <c r="AZ265" i="15"/>
  <c r="AK265" i="15"/>
  <c r="AL265" i="15"/>
  <c r="AN265" i="15"/>
  <c r="AT265" i="15"/>
  <c r="AU265" i="15"/>
  <c r="AV265" i="15"/>
  <c r="AX265" i="15"/>
  <c r="AZ266" i="15"/>
  <c r="AK266" i="15"/>
  <c r="AL266" i="15"/>
  <c r="AN266" i="15"/>
  <c r="AT266" i="15"/>
  <c r="AU266" i="15"/>
  <c r="AV266" i="15"/>
  <c r="AX266" i="15"/>
  <c r="AK267" i="15"/>
  <c r="AL267" i="15"/>
  <c r="AN267" i="15"/>
  <c r="AT267" i="15"/>
  <c r="AU267" i="15"/>
  <c r="AV267" i="15"/>
  <c r="AX267" i="15"/>
  <c r="AS268" i="15"/>
  <c r="AK268" i="15"/>
  <c r="AL268" i="15"/>
  <c r="AN268" i="15"/>
  <c r="AT268" i="15"/>
  <c r="AU268" i="15"/>
  <c r="AV268" i="15"/>
  <c r="AX268" i="15"/>
  <c r="AK269" i="15"/>
  <c r="AL269" i="15"/>
  <c r="AN269" i="15"/>
  <c r="AT269" i="15"/>
  <c r="AU269" i="15"/>
  <c r="AV269" i="15"/>
  <c r="AX269" i="15"/>
  <c r="AK270" i="15"/>
  <c r="AL270" i="15"/>
  <c r="AN270" i="15"/>
  <c r="AT270" i="15"/>
  <c r="AU270" i="15"/>
  <c r="AV270" i="15"/>
  <c r="AX270" i="15"/>
  <c r="AK271" i="15"/>
  <c r="AL271" i="15"/>
  <c r="AN271" i="15"/>
  <c r="AT271" i="15"/>
  <c r="AU271" i="15"/>
  <c r="AV271" i="15"/>
  <c r="AX271" i="15"/>
  <c r="AO272" i="15"/>
  <c r="AK272" i="15"/>
  <c r="AL272" i="15"/>
  <c r="AN272" i="15"/>
  <c r="AT272" i="15"/>
  <c r="AU272" i="15"/>
  <c r="AV272" i="15"/>
  <c r="AX272" i="15"/>
  <c r="AP273" i="15"/>
  <c r="AK273" i="15"/>
  <c r="AL273" i="15"/>
  <c r="AN273" i="15"/>
  <c r="AT273" i="15"/>
  <c r="AU273" i="15"/>
  <c r="AV273" i="15"/>
  <c r="AX273" i="15"/>
  <c r="AK274" i="15"/>
  <c r="AL274" i="15"/>
  <c r="AN274" i="15"/>
  <c r="AT274" i="15"/>
  <c r="AU274" i="15"/>
  <c r="AV274" i="15"/>
  <c r="AX274" i="15"/>
  <c r="AK275" i="15"/>
  <c r="AL275" i="15"/>
  <c r="AN275" i="15"/>
  <c r="AT275" i="15"/>
  <c r="AU275" i="15"/>
  <c r="AV275" i="15"/>
  <c r="AX275" i="15"/>
  <c r="AP276" i="15"/>
  <c r="AK276" i="15"/>
  <c r="AL276" i="15"/>
  <c r="AN276" i="15"/>
  <c r="AT276" i="15"/>
  <c r="AU276" i="15"/>
  <c r="AV276" i="15"/>
  <c r="AX276" i="15"/>
  <c r="AK277" i="15"/>
  <c r="AL277" i="15"/>
  <c r="AN277" i="15"/>
  <c r="AT277" i="15"/>
  <c r="AU277" i="15"/>
  <c r="AV277" i="15"/>
  <c r="AX277" i="15"/>
  <c r="AP278" i="15"/>
  <c r="AK278" i="15"/>
  <c r="AL278" i="15"/>
  <c r="AN278" i="15"/>
  <c r="AT278" i="15"/>
  <c r="AU278" i="15"/>
  <c r="AV278" i="15"/>
  <c r="AX278" i="15"/>
  <c r="AK279" i="15"/>
  <c r="AL279" i="15"/>
  <c r="AN279" i="15"/>
  <c r="AT279" i="15"/>
  <c r="AU279" i="15"/>
  <c r="AV279" i="15"/>
  <c r="AX279" i="15"/>
  <c r="AO280" i="15"/>
  <c r="AK280" i="15"/>
  <c r="AL280" i="15"/>
  <c r="AN280" i="15"/>
  <c r="AT280" i="15"/>
  <c r="AU280" i="15"/>
  <c r="AV280" i="15"/>
  <c r="AX280" i="15"/>
  <c r="AQ281" i="15"/>
  <c r="AK281" i="15"/>
  <c r="AL281" i="15"/>
  <c r="AN281" i="15"/>
  <c r="AT281" i="15"/>
  <c r="AU281" i="15"/>
  <c r="AV281" i="15"/>
  <c r="AX281" i="15"/>
  <c r="AK282" i="15"/>
  <c r="AL282" i="15"/>
  <c r="AN282" i="15"/>
  <c r="AT282" i="15"/>
  <c r="AU282" i="15"/>
  <c r="AV282" i="15"/>
  <c r="AX282" i="15"/>
  <c r="AK283" i="15"/>
  <c r="AL283" i="15"/>
  <c r="AN283" i="15"/>
  <c r="AT283" i="15"/>
  <c r="AU283" i="15"/>
  <c r="AV283" i="15"/>
  <c r="AX283" i="15"/>
  <c r="AZ284" i="15"/>
  <c r="AK284" i="15"/>
  <c r="AL284" i="15"/>
  <c r="AN284" i="15"/>
  <c r="AT284" i="15"/>
  <c r="AU284" i="15"/>
  <c r="AV284" i="15"/>
  <c r="AX284" i="15"/>
  <c r="AZ285" i="15"/>
  <c r="AK285" i="15"/>
  <c r="AL285" i="15"/>
  <c r="AN285" i="15"/>
  <c r="AT285" i="15"/>
  <c r="AU285" i="15"/>
  <c r="AV285" i="15"/>
  <c r="AX285" i="15"/>
  <c r="AP286" i="15"/>
  <c r="AK286" i="15"/>
  <c r="AL286" i="15"/>
  <c r="AN286" i="15"/>
  <c r="AT286" i="15"/>
  <c r="AU286" i="15"/>
  <c r="AV286" i="15"/>
  <c r="AX286" i="15"/>
  <c r="AP287" i="15"/>
  <c r="AK287" i="15"/>
  <c r="AL287" i="15"/>
  <c r="AN287" i="15"/>
  <c r="AT287" i="15"/>
  <c r="AU287" i="15"/>
  <c r="AV287" i="15"/>
  <c r="AX287" i="15"/>
  <c r="AQ288" i="15"/>
  <c r="AK288" i="15"/>
  <c r="AL288" i="15"/>
  <c r="AN288" i="15"/>
  <c r="AT288" i="15"/>
  <c r="AU288" i="15"/>
  <c r="AV288" i="15"/>
  <c r="AX288" i="15"/>
  <c r="AK289" i="15"/>
  <c r="AL289" i="15"/>
  <c r="AN289" i="15"/>
  <c r="AT289" i="15"/>
  <c r="AU289" i="15"/>
  <c r="AV289" i="15"/>
  <c r="AX289" i="15"/>
  <c r="AP290" i="15"/>
  <c r="AK290" i="15"/>
  <c r="AL290" i="15"/>
  <c r="AN290" i="15"/>
  <c r="AT290" i="15"/>
  <c r="AU290" i="15"/>
  <c r="AV290" i="15"/>
  <c r="AX290" i="15"/>
  <c r="AO291" i="15"/>
  <c r="AK291" i="15"/>
  <c r="AL291" i="15"/>
  <c r="AN291" i="15"/>
  <c r="AT291" i="15"/>
  <c r="AU291" i="15"/>
  <c r="AV291" i="15"/>
  <c r="AX291" i="15"/>
  <c r="AP292" i="15"/>
  <c r="AK292" i="15"/>
  <c r="AL292" i="15"/>
  <c r="AN292" i="15"/>
  <c r="AT292" i="15"/>
  <c r="AU292" i="15"/>
  <c r="AV292" i="15"/>
  <c r="AX292" i="15"/>
  <c r="AK293" i="15"/>
  <c r="AL293" i="15"/>
  <c r="AN293" i="15"/>
  <c r="AT293" i="15"/>
  <c r="AU293" i="15"/>
  <c r="AV293" i="15"/>
  <c r="AX293" i="15"/>
  <c r="AP294" i="15"/>
  <c r="AK294" i="15"/>
  <c r="AL294" i="15"/>
  <c r="AN294" i="15"/>
  <c r="AT294" i="15"/>
  <c r="AU294" i="15"/>
  <c r="AV294" i="15"/>
  <c r="AX294" i="15"/>
  <c r="AK295" i="15"/>
  <c r="AL295" i="15"/>
  <c r="AN295" i="15"/>
  <c r="AT295" i="15"/>
  <c r="AU295" i="15"/>
  <c r="AV295" i="15"/>
  <c r="AX295" i="15"/>
  <c r="AK296" i="15"/>
  <c r="AL296" i="15"/>
  <c r="AN296" i="15"/>
  <c r="AT296" i="15"/>
  <c r="AU296" i="15"/>
  <c r="AV296" i="15"/>
  <c r="AX296" i="15"/>
  <c r="AZ297" i="15"/>
  <c r="AK297" i="15"/>
  <c r="AL297" i="15"/>
  <c r="AN297" i="15"/>
  <c r="AT297" i="15"/>
  <c r="AU297" i="15"/>
  <c r="AV297" i="15"/>
  <c r="AX297" i="15"/>
  <c r="AK298" i="15"/>
  <c r="AL298" i="15"/>
  <c r="AN298" i="15"/>
  <c r="AT298" i="15"/>
  <c r="AU298" i="15"/>
  <c r="AV298" i="15"/>
  <c r="AX298" i="15"/>
  <c r="AP299" i="15"/>
  <c r="AK299" i="15"/>
  <c r="AL299" i="15"/>
  <c r="AN299" i="15"/>
  <c r="AT299" i="15"/>
  <c r="AU299" i="15"/>
  <c r="AV299" i="15"/>
  <c r="AX299" i="15"/>
  <c r="AZ300" i="15"/>
  <c r="AK300" i="15"/>
  <c r="AL300" i="15"/>
  <c r="AN300" i="15"/>
  <c r="AT300" i="15"/>
  <c r="AU300" i="15"/>
  <c r="AV300" i="15"/>
  <c r="AX300" i="15"/>
  <c r="AZ301" i="15"/>
  <c r="AK301" i="15"/>
  <c r="AL301" i="15"/>
  <c r="AN301" i="15"/>
  <c r="AT301" i="15"/>
  <c r="AU301" i="15"/>
  <c r="AV301" i="15"/>
  <c r="AX301" i="15"/>
  <c r="AQ302" i="15"/>
  <c r="AK302" i="15"/>
  <c r="AL302" i="15"/>
  <c r="AN302" i="15"/>
  <c r="AT302" i="15"/>
  <c r="AU302" i="15"/>
  <c r="AV302" i="15"/>
  <c r="AX302" i="15"/>
  <c r="AK303" i="15"/>
  <c r="AL303" i="15"/>
  <c r="AN303" i="15"/>
  <c r="AT303" i="15"/>
  <c r="AU303" i="15"/>
  <c r="AV303" i="15"/>
  <c r="AX303" i="15"/>
  <c r="AZ304" i="15"/>
  <c r="AK304" i="15"/>
  <c r="AL304" i="15"/>
  <c r="AN304" i="15"/>
  <c r="AT304" i="15"/>
  <c r="AU304" i="15"/>
  <c r="AV304" i="15"/>
  <c r="AX304" i="15"/>
  <c r="AO305" i="15"/>
  <c r="AK305" i="15"/>
  <c r="AL305" i="15"/>
  <c r="AN305" i="15"/>
  <c r="AT305" i="15"/>
  <c r="AU305" i="15"/>
  <c r="AV305" i="15"/>
  <c r="AX305" i="15"/>
  <c r="AP306" i="15"/>
  <c r="AK306" i="15"/>
  <c r="AL306" i="15"/>
  <c r="AN306" i="15"/>
  <c r="AT306" i="15"/>
  <c r="AU306" i="15"/>
  <c r="AV306" i="15"/>
  <c r="AX306" i="15"/>
  <c r="AK307" i="15"/>
  <c r="AL307" i="15"/>
  <c r="AN307" i="15"/>
  <c r="AT307" i="15"/>
  <c r="AU307" i="15"/>
  <c r="AV307" i="15"/>
  <c r="AX307" i="15"/>
  <c r="AZ308" i="15"/>
  <c r="AK308" i="15"/>
  <c r="AL308" i="15"/>
  <c r="AN308" i="15"/>
  <c r="AT308" i="15"/>
  <c r="AU308" i="15"/>
  <c r="AV308" i="15"/>
  <c r="AX308" i="15"/>
  <c r="AK309" i="15"/>
  <c r="AL309" i="15"/>
  <c r="AN309" i="15"/>
  <c r="AT309" i="15"/>
  <c r="AU309" i="15"/>
  <c r="AV309" i="15"/>
  <c r="AX309" i="15"/>
  <c r="AP310" i="15"/>
  <c r="AK310" i="15"/>
  <c r="AL310" i="15"/>
  <c r="AN310" i="15"/>
  <c r="AT310" i="15"/>
  <c r="AU310" i="15"/>
  <c r="AV310" i="15"/>
  <c r="AX310" i="15"/>
  <c r="AK311" i="15"/>
  <c r="AL311" i="15"/>
  <c r="AN311" i="15"/>
  <c r="AT311" i="15"/>
  <c r="AU311" i="15"/>
  <c r="AV311" i="15"/>
  <c r="AX311" i="15"/>
  <c r="AK312" i="15"/>
  <c r="AL312" i="15"/>
  <c r="AN312" i="15"/>
  <c r="AT312" i="15"/>
  <c r="AU312" i="15"/>
  <c r="AV312" i="15"/>
  <c r="AX312" i="15"/>
  <c r="AK313" i="15"/>
  <c r="AL313" i="15"/>
  <c r="AN313" i="15"/>
  <c r="AT313" i="15"/>
  <c r="AU313" i="15"/>
  <c r="AV313" i="15"/>
  <c r="AX313" i="15"/>
  <c r="AZ314" i="15"/>
  <c r="AK314" i="15"/>
  <c r="AL314" i="15"/>
  <c r="AN314" i="15"/>
  <c r="AT314" i="15"/>
  <c r="AU314" i="15"/>
  <c r="AV314" i="15"/>
  <c r="AX314" i="15"/>
  <c r="AP315" i="15"/>
  <c r="AK315" i="15"/>
  <c r="AL315" i="15"/>
  <c r="AN315" i="15"/>
  <c r="AT315" i="15"/>
  <c r="AU315" i="15"/>
  <c r="AV315" i="15"/>
  <c r="AX315" i="15"/>
  <c r="AK316" i="15"/>
  <c r="AL316" i="15"/>
  <c r="AN316" i="15"/>
  <c r="AT316" i="15"/>
  <c r="AU316" i="15"/>
  <c r="AV316" i="15"/>
  <c r="AX316" i="15"/>
  <c r="AZ317" i="15"/>
  <c r="AK317" i="15"/>
  <c r="AL317" i="15"/>
  <c r="AN317" i="15"/>
  <c r="AT317" i="15"/>
  <c r="AU317" i="15"/>
  <c r="AV317" i="15"/>
  <c r="AX317" i="15"/>
  <c r="AK318" i="15"/>
  <c r="AL318" i="15"/>
  <c r="AN318" i="15"/>
  <c r="AT318" i="15"/>
  <c r="AU318" i="15"/>
  <c r="AV318" i="15"/>
  <c r="AX318" i="15"/>
  <c r="AQ319" i="15"/>
  <c r="AK319" i="15"/>
  <c r="AL319" i="15"/>
  <c r="AN319" i="15"/>
  <c r="AT319" i="15"/>
  <c r="AU319" i="15"/>
  <c r="AV319" i="15"/>
  <c r="AX319" i="15"/>
  <c r="AK320" i="15"/>
  <c r="AL320" i="15"/>
  <c r="AN320" i="15"/>
  <c r="AT320" i="15"/>
  <c r="AU320" i="15"/>
  <c r="AV320" i="15"/>
  <c r="AX320" i="15"/>
  <c r="AK321" i="15"/>
  <c r="AL321" i="15"/>
  <c r="AN321" i="15"/>
  <c r="AT321" i="15"/>
  <c r="AU321" i="15"/>
  <c r="AV321" i="15"/>
  <c r="AX321" i="15"/>
  <c r="AZ322" i="15"/>
  <c r="AK322" i="15"/>
  <c r="AL322" i="15"/>
  <c r="AN322" i="15"/>
  <c r="AT322" i="15"/>
  <c r="AU322" i="15"/>
  <c r="AV322" i="15"/>
  <c r="AX322" i="15"/>
  <c r="AS323" i="15"/>
  <c r="AK323" i="15"/>
  <c r="AL323" i="15"/>
  <c r="AN323" i="15"/>
  <c r="AT323" i="15"/>
  <c r="AU323" i="15"/>
  <c r="AV323" i="15"/>
  <c r="AX323" i="15"/>
  <c r="AO324" i="15"/>
  <c r="AK324" i="15"/>
  <c r="AL324" i="15"/>
  <c r="AN324" i="15"/>
  <c r="AT324" i="15"/>
  <c r="AU324" i="15"/>
  <c r="AV324" i="15"/>
  <c r="AX324" i="15"/>
  <c r="AK325" i="15"/>
  <c r="AL325" i="15"/>
  <c r="AN325" i="15"/>
  <c r="AT325" i="15"/>
  <c r="AU325" i="15"/>
  <c r="AV325" i="15"/>
  <c r="AX325" i="15"/>
  <c r="AK326" i="15"/>
  <c r="AL326" i="15"/>
  <c r="AN326" i="15"/>
  <c r="AT326" i="15"/>
  <c r="AU326" i="15"/>
  <c r="AV326" i="15"/>
  <c r="AX326" i="15"/>
  <c r="AZ327" i="15"/>
  <c r="AK327" i="15"/>
  <c r="AL327" i="15"/>
  <c r="AN327" i="15"/>
  <c r="AT327" i="15"/>
  <c r="AU327" i="15"/>
  <c r="AV327" i="15"/>
  <c r="AX327" i="15"/>
  <c r="AK328" i="15"/>
  <c r="AL328" i="15"/>
  <c r="AN328" i="15"/>
  <c r="AT328" i="15"/>
  <c r="AU328" i="15"/>
  <c r="AV328" i="15"/>
  <c r="AX328" i="15"/>
  <c r="AK329" i="15"/>
  <c r="AL329" i="15"/>
  <c r="AN329" i="15"/>
  <c r="AT329" i="15"/>
  <c r="AU329" i="15"/>
  <c r="AV329" i="15"/>
  <c r="AX329" i="15"/>
  <c r="AS330" i="15"/>
  <c r="AK330" i="15"/>
  <c r="AL330" i="15"/>
  <c r="AN330" i="15"/>
  <c r="AT330" i="15"/>
  <c r="AU330" i="15"/>
  <c r="AV330" i="15"/>
  <c r="AX330" i="15"/>
  <c r="AK331" i="15"/>
  <c r="AL331" i="15"/>
  <c r="AN331" i="15"/>
  <c r="AT331" i="15"/>
  <c r="AU331" i="15"/>
  <c r="AV331" i="15"/>
  <c r="AX331" i="15"/>
  <c r="AO332" i="15"/>
  <c r="AK332" i="15"/>
  <c r="AL332" i="15"/>
  <c r="AN332" i="15"/>
  <c r="AT332" i="15"/>
  <c r="AU332" i="15"/>
  <c r="AV332" i="15"/>
  <c r="AX332" i="15"/>
  <c r="AK333" i="15"/>
  <c r="AL333" i="15"/>
  <c r="AN333" i="15"/>
  <c r="AT333" i="15"/>
  <c r="AU333" i="15"/>
  <c r="AV333" i="15"/>
  <c r="AX333" i="15"/>
  <c r="AO334" i="15"/>
  <c r="AK334" i="15"/>
  <c r="AL334" i="15"/>
  <c r="AN334" i="15"/>
  <c r="AT334" i="15"/>
  <c r="AU334" i="15"/>
  <c r="AV334" i="15"/>
  <c r="AX334" i="15"/>
  <c r="AP335" i="15"/>
  <c r="AK335" i="15"/>
  <c r="AL335" i="15"/>
  <c r="AN335" i="15"/>
  <c r="AT335" i="15"/>
  <c r="AU335" i="15"/>
  <c r="AV335" i="15"/>
  <c r="AX335" i="15"/>
  <c r="AO336" i="15"/>
  <c r="AK336" i="15"/>
  <c r="AL336" i="15"/>
  <c r="AN336" i="15"/>
  <c r="AT336" i="15"/>
  <c r="AU336" i="15"/>
  <c r="AV336" i="15"/>
  <c r="AX336" i="15"/>
  <c r="AK337" i="15"/>
  <c r="AL337" i="15"/>
  <c r="AN337" i="15"/>
  <c r="AT337" i="15"/>
  <c r="AU337" i="15"/>
  <c r="AV337" i="15"/>
  <c r="AX337" i="15"/>
  <c r="AO338" i="15"/>
  <c r="AK338" i="15"/>
  <c r="AL338" i="15"/>
  <c r="AN338" i="15"/>
  <c r="AT338" i="15"/>
  <c r="AU338" i="15"/>
  <c r="AV338" i="15"/>
  <c r="AX338" i="15"/>
  <c r="AO339" i="15"/>
  <c r="AK339" i="15"/>
  <c r="AL339" i="15"/>
  <c r="AN339" i="15"/>
  <c r="AT339" i="15"/>
  <c r="AU339" i="15"/>
  <c r="AV339" i="15"/>
  <c r="AX339" i="15"/>
  <c r="AO340" i="15"/>
  <c r="AK340" i="15"/>
  <c r="AL340" i="15"/>
  <c r="AN340" i="15"/>
  <c r="AT340" i="15"/>
  <c r="AU340" i="15"/>
  <c r="AV340" i="15"/>
  <c r="AX340" i="15"/>
  <c r="AK341" i="15"/>
  <c r="AL341" i="15"/>
  <c r="AN341" i="15"/>
  <c r="AT341" i="15"/>
  <c r="AU341" i="15"/>
  <c r="AV341" i="15"/>
  <c r="AX341" i="15"/>
  <c r="AK342" i="15"/>
  <c r="AL342" i="15"/>
  <c r="AN342" i="15"/>
  <c r="AT342" i="15"/>
  <c r="AU342" i="15"/>
  <c r="AV342" i="15"/>
  <c r="AX342" i="15"/>
  <c r="AO343" i="15"/>
  <c r="AK343" i="15"/>
  <c r="AL343" i="15"/>
  <c r="AN343" i="15"/>
  <c r="AT343" i="15"/>
  <c r="AU343" i="15"/>
  <c r="AV343" i="15"/>
  <c r="AX343" i="15"/>
  <c r="AZ344" i="15"/>
  <c r="AK344" i="15"/>
  <c r="AL344" i="15"/>
  <c r="AN344" i="15"/>
  <c r="AT344" i="15"/>
  <c r="AU344" i="15"/>
  <c r="AV344" i="15"/>
  <c r="AX344" i="15"/>
  <c r="AK345" i="15"/>
  <c r="AL345" i="15"/>
  <c r="AN345" i="15"/>
  <c r="AT345" i="15"/>
  <c r="AU345" i="15"/>
  <c r="AV345" i="15"/>
  <c r="AX345" i="15"/>
  <c r="AZ346" i="15"/>
  <c r="AK346" i="15"/>
  <c r="AL346" i="15"/>
  <c r="AN346" i="15"/>
  <c r="AT346" i="15"/>
  <c r="AU346" i="15"/>
  <c r="AV346" i="15"/>
  <c r="AX346" i="15"/>
  <c r="AK347" i="15"/>
  <c r="AL347" i="15"/>
  <c r="AN347" i="15"/>
  <c r="AT347" i="15"/>
  <c r="AU347" i="15"/>
  <c r="AV347" i="15"/>
  <c r="AX347" i="15"/>
  <c r="AK348" i="15"/>
  <c r="AL348" i="15"/>
  <c r="AN348" i="15"/>
  <c r="AT348" i="15"/>
  <c r="AU348" i="15"/>
  <c r="AV348" i="15"/>
  <c r="AX348" i="15"/>
  <c r="AK349" i="15"/>
  <c r="AL349" i="15"/>
  <c r="AN349" i="15"/>
  <c r="AT349" i="15"/>
  <c r="AU349" i="15"/>
  <c r="AV349" i="15"/>
  <c r="AX349" i="15"/>
  <c r="AS350" i="15"/>
  <c r="AK350" i="15"/>
  <c r="AL350" i="15"/>
  <c r="AN350" i="15"/>
  <c r="AT350" i="15"/>
  <c r="AU350" i="15"/>
  <c r="AV350" i="15"/>
  <c r="AX350" i="15"/>
  <c r="AO351" i="15"/>
  <c r="AK351" i="15"/>
  <c r="AL351" i="15"/>
  <c r="AN351" i="15"/>
  <c r="AT351" i="15"/>
  <c r="AU351" i="15"/>
  <c r="AV351" i="15"/>
  <c r="AX351" i="15"/>
  <c r="AP352" i="15"/>
  <c r="AK352" i="15"/>
  <c r="AL352" i="15"/>
  <c r="AN352" i="15"/>
  <c r="AT352" i="15"/>
  <c r="AU352" i="15"/>
  <c r="AV352" i="15"/>
  <c r="AX352" i="15"/>
  <c r="AK353" i="15"/>
  <c r="AL353" i="15"/>
  <c r="AN353" i="15"/>
  <c r="AT353" i="15"/>
  <c r="AU353" i="15"/>
  <c r="AV353" i="15"/>
  <c r="AX353" i="15"/>
  <c r="AZ354" i="15"/>
  <c r="AK354" i="15"/>
  <c r="AL354" i="15"/>
  <c r="AN354" i="15"/>
  <c r="AT354" i="15"/>
  <c r="AU354" i="15"/>
  <c r="AV354" i="15"/>
  <c r="AX354" i="15"/>
  <c r="AZ355" i="15"/>
  <c r="AK355" i="15"/>
  <c r="AL355" i="15"/>
  <c r="AN355" i="15"/>
  <c r="AT355" i="15"/>
  <c r="AU355" i="15"/>
  <c r="AV355" i="15"/>
  <c r="AX355" i="15"/>
  <c r="AK356" i="15"/>
  <c r="AL356" i="15"/>
  <c r="AN356" i="15"/>
  <c r="AT356" i="15"/>
  <c r="AU356" i="15"/>
  <c r="AV356" i="15"/>
  <c r="AX356" i="15"/>
  <c r="AK357" i="15"/>
  <c r="AL357" i="15"/>
  <c r="AN357" i="15"/>
  <c r="AT357" i="15"/>
  <c r="AU357" i="15"/>
  <c r="AV357" i="15"/>
  <c r="AX357" i="15"/>
  <c r="AO358" i="15"/>
  <c r="AK358" i="15"/>
  <c r="AL358" i="15"/>
  <c r="AN358" i="15"/>
  <c r="AT358" i="15"/>
  <c r="AU358" i="15"/>
  <c r="AV358" i="15"/>
  <c r="AX358" i="15"/>
  <c r="AO359" i="15"/>
  <c r="AK359" i="15"/>
  <c r="AL359" i="15"/>
  <c r="AN359" i="15"/>
  <c r="AT359" i="15"/>
  <c r="AU359" i="15"/>
  <c r="AV359" i="15"/>
  <c r="AX359" i="15"/>
  <c r="AK360" i="15"/>
  <c r="AL360" i="15"/>
  <c r="AN360" i="15"/>
  <c r="AT360" i="15"/>
  <c r="AU360" i="15"/>
  <c r="AV360" i="15"/>
  <c r="AX360" i="15"/>
  <c r="AK361" i="15"/>
  <c r="AL361" i="15"/>
  <c r="AN361" i="15"/>
  <c r="AT361" i="15"/>
  <c r="AU361" i="15"/>
  <c r="AV361" i="15"/>
  <c r="AX361" i="15"/>
  <c r="AZ362" i="15"/>
  <c r="AK362" i="15"/>
  <c r="AL362" i="15"/>
  <c r="AN362" i="15"/>
  <c r="AT362" i="15"/>
  <c r="AU362" i="15"/>
  <c r="AV362" i="15"/>
  <c r="AX362" i="15"/>
  <c r="AQ363" i="15"/>
  <c r="AK363" i="15"/>
  <c r="AL363" i="15"/>
  <c r="AN363" i="15"/>
  <c r="AT363" i="15"/>
  <c r="AU363" i="15"/>
  <c r="AV363" i="15"/>
  <c r="AX363" i="15"/>
  <c r="AK364" i="15"/>
  <c r="AL364" i="15"/>
  <c r="AN364" i="15"/>
  <c r="AT364" i="15"/>
  <c r="AU364" i="15"/>
  <c r="AV364" i="15"/>
  <c r="AX364" i="15"/>
  <c r="AK365" i="15"/>
  <c r="AL365" i="15"/>
  <c r="AN365" i="15"/>
  <c r="AT365" i="15"/>
  <c r="AU365" i="15"/>
  <c r="AV365" i="15"/>
  <c r="AX365" i="15"/>
  <c r="AO366" i="15"/>
  <c r="AK366" i="15"/>
  <c r="AL366" i="15"/>
  <c r="AN366" i="15"/>
  <c r="AT366" i="15"/>
  <c r="AU366" i="15"/>
  <c r="AV366" i="15"/>
  <c r="AX366" i="15"/>
  <c r="AS367" i="15"/>
  <c r="AK367" i="15"/>
  <c r="AL367" i="15"/>
  <c r="AN367" i="15"/>
  <c r="AT367" i="15"/>
  <c r="AU367" i="15"/>
  <c r="AV367" i="15"/>
  <c r="AX367" i="15"/>
  <c r="AO368" i="15"/>
  <c r="AK368" i="15"/>
  <c r="AL368" i="15"/>
  <c r="AN368" i="15"/>
  <c r="AT368" i="15"/>
  <c r="AU368" i="15"/>
  <c r="AV368" i="15"/>
  <c r="AX368" i="15"/>
  <c r="AK369" i="15"/>
  <c r="AL369" i="15"/>
  <c r="AN369" i="15"/>
  <c r="AT369" i="15"/>
  <c r="AU369" i="15"/>
  <c r="AV369" i="15"/>
  <c r="AX369" i="15"/>
  <c r="AK370" i="15"/>
  <c r="AL370" i="15"/>
  <c r="AN370" i="15"/>
  <c r="AT370" i="15"/>
  <c r="AU370" i="15"/>
  <c r="AV370" i="15"/>
  <c r="AX370" i="15"/>
  <c r="AQ371" i="15"/>
  <c r="AK371" i="15"/>
  <c r="AL371" i="15"/>
  <c r="AN371" i="15"/>
  <c r="AT371" i="15"/>
  <c r="AU371" i="15"/>
  <c r="AV371" i="15"/>
  <c r="AX371" i="15"/>
  <c r="AS372" i="15"/>
  <c r="AK372" i="15"/>
  <c r="AL372" i="15"/>
  <c r="AN372" i="15"/>
  <c r="AT372" i="15"/>
  <c r="AU372" i="15"/>
  <c r="AV372" i="15"/>
  <c r="AX372" i="15"/>
  <c r="AK373" i="15"/>
  <c r="AL373" i="15"/>
  <c r="AN373" i="15"/>
  <c r="AT373" i="15"/>
  <c r="AU373" i="15"/>
  <c r="AV373" i="15"/>
  <c r="AX373" i="15"/>
  <c r="AS374" i="15"/>
  <c r="AK374" i="15"/>
  <c r="AL374" i="15"/>
  <c r="AN374" i="15"/>
  <c r="AT374" i="15"/>
  <c r="AU374" i="15"/>
  <c r="AV374" i="15"/>
  <c r="AX374" i="15"/>
  <c r="AQ375" i="15"/>
  <c r="AK375" i="15"/>
  <c r="AL375" i="15"/>
  <c r="AN375" i="15"/>
  <c r="AT375" i="15"/>
  <c r="AU375" i="15"/>
  <c r="AV375" i="15"/>
  <c r="AX375" i="15"/>
  <c r="AO376" i="15"/>
  <c r="AK376" i="15"/>
  <c r="AL376" i="15"/>
  <c r="AN376" i="15"/>
  <c r="AT376" i="15"/>
  <c r="AU376" i="15"/>
  <c r="AV376" i="15"/>
  <c r="AX376" i="15"/>
  <c r="AK377" i="15"/>
  <c r="AL377" i="15"/>
  <c r="AN377" i="15"/>
  <c r="AT377" i="15"/>
  <c r="AU377" i="15"/>
  <c r="AV377" i="15"/>
  <c r="AX377" i="15"/>
  <c r="AP378" i="15"/>
  <c r="AK378" i="15"/>
  <c r="AL378" i="15"/>
  <c r="AN378" i="15"/>
  <c r="AT378" i="15"/>
  <c r="AU378" i="15"/>
  <c r="AV378" i="15"/>
  <c r="AX378" i="15"/>
  <c r="AK379" i="15"/>
  <c r="AL379" i="15"/>
  <c r="AN379" i="15"/>
  <c r="AT379" i="15"/>
  <c r="AU379" i="15"/>
  <c r="AV379" i="15"/>
  <c r="AX379" i="15"/>
  <c r="AP380" i="15"/>
  <c r="AK380" i="15"/>
  <c r="AL380" i="15"/>
  <c r="AN380" i="15"/>
  <c r="AT380" i="15"/>
  <c r="AU380" i="15"/>
  <c r="AV380" i="15"/>
  <c r="AX380" i="15"/>
  <c r="AK381" i="15"/>
  <c r="AL381" i="15"/>
  <c r="AN381" i="15"/>
  <c r="AT381" i="15"/>
  <c r="AU381" i="15"/>
  <c r="AV381" i="15"/>
  <c r="AX381" i="15"/>
  <c r="AZ382" i="15"/>
  <c r="AK382" i="15"/>
  <c r="AL382" i="15"/>
  <c r="AN382" i="15"/>
  <c r="AT382" i="15"/>
  <c r="AU382" i="15"/>
  <c r="AV382" i="15"/>
  <c r="AX382" i="15"/>
  <c r="AZ383" i="15"/>
  <c r="AK383" i="15"/>
  <c r="AL383" i="15"/>
  <c r="AN383" i="15"/>
  <c r="AT383" i="15"/>
  <c r="AU383" i="15"/>
  <c r="AV383" i="15"/>
  <c r="AX383" i="15"/>
  <c r="AO384" i="15"/>
  <c r="AK384" i="15"/>
  <c r="AL384" i="15"/>
  <c r="AN384" i="15"/>
  <c r="AT384" i="15"/>
  <c r="AU384" i="15"/>
  <c r="AV384" i="15"/>
  <c r="AX384" i="15"/>
  <c r="AK385" i="15"/>
  <c r="AL385" i="15"/>
  <c r="AN385" i="15"/>
  <c r="AT385" i="15"/>
  <c r="AU385" i="15"/>
  <c r="AV385" i="15"/>
  <c r="AX385" i="15"/>
  <c r="AK386" i="15"/>
  <c r="AL386" i="15"/>
  <c r="AN386" i="15"/>
  <c r="AT386" i="15"/>
  <c r="AU386" i="15"/>
  <c r="AV386" i="15"/>
  <c r="AX386" i="15"/>
  <c r="AK387" i="15"/>
  <c r="AL387" i="15"/>
  <c r="AN387" i="15"/>
  <c r="AT387" i="15"/>
  <c r="AU387" i="15"/>
  <c r="AV387" i="15"/>
  <c r="AX387" i="15"/>
  <c r="AK388" i="15"/>
  <c r="AL388" i="15"/>
  <c r="AN388" i="15"/>
  <c r="AT388" i="15"/>
  <c r="AU388" i="15"/>
  <c r="AV388" i="15"/>
  <c r="AX388" i="15"/>
  <c r="AK389" i="15"/>
  <c r="AL389" i="15"/>
  <c r="AN389" i="15"/>
  <c r="AT389" i="15"/>
  <c r="AU389" i="15"/>
  <c r="AV389" i="15"/>
  <c r="AX389" i="15"/>
  <c r="AK390" i="15"/>
  <c r="AL390" i="15"/>
  <c r="AN390" i="15"/>
  <c r="AT390" i="15"/>
  <c r="AU390" i="15"/>
  <c r="AV390" i="15"/>
  <c r="AX390" i="15"/>
  <c r="AP391" i="15"/>
  <c r="AK391" i="15"/>
  <c r="AL391" i="15"/>
  <c r="AN391" i="15"/>
  <c r="AT391" i="15"/>
  <c r="AU391" i="15"/>
  <c r="AV391" i="15"/>
  <c r="AX391" i="15"/>
  <c r="AS392" i="15"/>
  <c r="AK392" i="15"/>
  <c r="AL392" i="15"/>
  <c r="AN392" i="15"/>
  <c r="AT392" i="15"/>
  <c r="AU392" i="15"/>
  <c r="AV392" i="15"/>
  <c r="AX392" i="15"/>
  <c r="AZ393" i="15"/>
  <c r="AK393" i="15"/>
  <c r="AL393" i="15"/>
  <c r="AN393" i="15"/>
  <c r="AT393" i="15"/>
  <c r="AU393" i="15"/>
  <c r="AV393" i="15"/>
  <c r="AX393" i="15"/>
  <c r="AK394" i="15"/>
  <c r="AL394" i="15"/>
  <c r="AN394" i="15"/>
  <c r="AT394" i="15"/>
  <c r="AU394" i="15"/>
  <c r="AV394" i="15"/>
  <c r="AX394" i="15"/>
  <c r="AO395" i="15"/>
  <c r="AK395" i="15"/>
  <c r="AL395" i="15"/>
  <c r="AN395" i="15"/>
  <c r="AT395" i="15"/>
  <c r="AU395" i="15"/>
  <c r="AV395" i="15"/>
  <c r="AX395" i="15"/>
  <c r="AK396" i="15"/>
  <c r="AL396" i="15"/>
  <c r="AN396" i="15"/>
  <c r="AT396" i="15"/>
  <c r="AU396" i="15"/>
  <c r="AV396" i="15"/>
  <c r="AX396" i="15"/>
  <c r="AO397" i="15"/>
  <c r="AK397" i="15"/>
  <c r="AL397" i="15"/>
  <c r="AN397" i="15"/>
  <c r="AT397" i="15"/>
  <c r="AU397" i="15"/>
  <c r="AV397" i="15"/>
  <c r="AX397" i="15"/>
  <c r="AO398" i="15"/>
  <c r="AK398" i="15"/>
  <c r="AL398" i="15"/>
  <c r="AN398" i="15"/>
  <c r="AT398" i="15"/>
  <c r="AU398" i="15"/>
  <c r="AV398" i="15"/>
  <c r="AX398" i="15"/>
  <c r="AZ399" i="15"/>
  <c r="AK399" i="15"/>
  <c r="AL399" i="15"/>
  <c r="AN399" i="15"/>
  <c r="AT399" i="15"/>
  <c r="AU399" i="15"/>
  <c r="AV399" i="15"/>
  <c r="AX399" i="15"/>
  <c r="AK400" i="15"/>
  <c r="AL400" i="15"/>
  <c r="AN400" i="15"/>
  <c r="AT400" i="15"/>
  <c r="AU400" i="15"/>
  <c r="AV400" i="15"/>
  <c r="AX400" i="15"/>
  <c r="AO401" i="15"/>
  <c r="AK401" i="15"/>
  <c r="AL401" i="15"/>
  <c r="AN401" i="15"/>
  <c r="AT401" i="15"/>
  <c r="AU401" i="15"/>
  <c r="AV401" i="15"/>
  <c r="AX401" i="15"/>
  <c r="AK402" i="15"/>
  <c r="AL402" i="15"/>
  <c r="AN402" i="15"/>
  <c r="AT402" i="15"/>
  <c r="AU402" i="15"/>
  <c r="AV402" i="15"/>
  <c r="AX402" i="15"/>
  <c r="AO403" i="15"/>
  <c r="AK403" i="15"/>
  <c r="AL403" i="15"/>
  <c r="AN403" i="15"/>
  <c r="AT403" i="15"/>
  <c r="AU403" i="15"/>
  <c r="AV403" i="15"/>
  <c r="AX403" i="15"/>
  <c r="AP404" i="15"/>
  <c r="AK404" i="15"/>
  <c r="AL404" i="15"/>
  <c r="AN404" i="15"/>
  <c r="AT404" i="15"/>
  <c r="AU404" i="15"/>
  <c r="AV404" i="15"/>
  <c r="AX404" i="15"/>
  <c r="AK405" i="15"/>
  <c r="AL405" i="15"/>
  <c r="AN405" i="15"/>
  <c r="AT405" i="15"/>
  <c r="AU405" i="15"/>
  <c r="AV405" i="15"/>
  <c r="AX405" i="15"/>
  <c r="AK406" i="15"/>
  <c r="AL406" i="15"/>
  <c r="AN406" i="15"/>
  <c r="AT406" i="15"/>
  <c r="AU406" i="15"/>
  <c r="AV406" i="15"/>
  <c r="AX406" i="15"/>
  <c r="AS407" i="15"/>
  <c r="AK407" i="15"/>
  <c r="AL407" i="15"/>
  <c r="AN407" i="15"/>
  <c r="AT407" i="15"/>
  <c r="AU407" i="15"/>
  <c r="AV407" i="15"/>
  <c r="AX407" i="15"/>
  <c r="AP408" i="15"/>
  <c r="AK408" i="15"/>
  <c r="AL408" i="15"/>
  <c r="AN408" i="15"/>
  <c r="AT408" i="15"/>
  <c r="AU408" i="15"/>
  <c r="AV408" i="15"/>
  <c r="AX408" i="15"/>
  <c r="AO409" i="15"/>
  <c r="AK409" i="15"/>
  <c r="AL409" i="15"/>
  <c r="AN409" i="15"/>
  <c r="AT409" i="15"/>
  <c r="AU409" i="15"/>
  <c r="AV409" i="15"/>
  <c r="AX409" i="15"/>
  <c r="AK410" i="15"/>
  <c r="AL410" i="15"/>
  <c r="AN410" i="15"/>
  <c r="AT410" i="15"/>
  <c r="AU410" i="15"/>
  <c r="AV410" i="15"/>
  <c r="AX410" i="15"/>
  <c r="AO411" i="15"/>
  <c r="AK411" i="15"/>
  <c r="AL411" i="15"/>
  <c r="AN411" i="15"/>
  <c r="AT411" i="15"/>
  <c r="AU411" i="15"/>
  <c r="AV411" i="15"/>
  <c r="AX411" i="15"/>
  <c r="AP412" i="15"/>
  <c r="AK412" i="15"/>
  <c r="AL412" i="15"/>
  <c r="AN412" i="15"/>
  <c r="AT412" i="15"/>
  <c r="AU412" i="15"/>
  <c r="AV412" i="15"/>
  <c r="AX412" i="15"/>
  <c r="AK413" i="15"/>
  <c r="AL413" i="15"/>
  <c r="AN413" i="15"/>
  <c r="AT413" i="15"/>
  <c r="AU413" i="15"/>
  <c r="AV413" i="15"/>
  <c r="AX413" i="15"/>
  <c r="AO414" i="15"/>
  <c r="AK414" i="15"/>
  <c r="AL414" i="15"/>
  <c r="AN414" i="15"/>
  <c r="AT414" i="15"/>
  <c r="AU414" i="15"/>
  <c r="AV414" i="15"/>
  <c r="AX414" i="15"/>
  <c r="AK415" i="15"/>
  <c r="AL415" i="15"/>
  <c r="AN415" i="15"/>
  <c r="AT415" i="15"/>
  <c r="AU415" i="15"/>
  <c r="AV415" i="15"/>
  <c r="AX415" i="15"/>
  <c r="AK416" i="15"/>
  <c r="AL416" i="15"/>
  <c r="AN416" i="15"/>
  <c r="AT416" i="15"/>
  <c r="AU416" i="15"/>
  <c r="AV416" i="15"/>
  <c r="AX416" i="15"/>
  <c r="AK417" i="15"/>
  <c r="AL417" i="15"/>
  <c r="AN417" i="15"/>
  <c r="AT417" i="15"/>
  <c r="AU417" i="15"/>
  <c r="AV417" i="15"/>
  <c r="AX417" i="15"/>
  <c r="AZ418" i="15"/>
  <c r="AK418" i="15"/>
  <c r="AL418" i="15"/>
  <c r="AN418" i="15"/>
  <c r="AT418" i="15"/>
  <c r="AU418" i="15"/>
  <c r="AV418" i="15"/>
  <c r="AX418" i="15"/>
  <c r="AO419" i="15"/>
  <c r="AK419" i="15"/>
  <c r="AL419" i="15"/>
  <c r="AN419" i="15"/>
  <c r="AT419" i="15"/>
  <c r="AU419" i="15"/>
  <c r="AV419" i="15"/>
  <c r="AX419" i="15"/>
  <c r="AP420" i="15"/>
  <c r="AK420" i="15"/>
  <c r="AL420" i="15"/>
  <c r="AN420" i="15"/>
  <c r="AT420" i="15"/>
  <c r="AU420" i="15"/>
  <c r="AV420" i="15"/>
  <c r="AX420" i="15"/>
  <c r="AK421" i="15"/>
  <c r="AL421" i="15"/>
  <c r="AN421" i="15"/>
  <c r="AT421" i="15"/>
  <c r="AU421" i="15"/>
  <c r="AV421" i="15"/>
  <c r="AX421" i="15"/>
  <c r="AS422" i="15"/>
  <c r="AK422" i="15"/>
  <c r="AL422" i="15"/>
  <c r="AN422" i="15"/>
  <c r="AT422" i="15"/>
  <c r="AU422" i="15"/>
  <c r="AV422" i="15"/>
  <c r="AX422" i="15"/>
  <c r="AO423" i="15"/>
  <c r="AK423" i="15"/>
  <c r="AL423" i="15"/>
  <c r="AN423" i="15"/>
  <c r="AT423" i="15"/>
  <c r="AU423" i="15"/>
  <c r="AV423" i="15"/>
  <c r="AX423" i="15"/>
  <c r="AP424" i="15"/>
  <c r="AK424" i="15"/>
  <c r="AL424" i="15"/>
  <c r="AN424" i="15"/>
  <c r="AT424" i="15"/>
  <c r="AU424" i="15"/>
  <c r="AV424" i="15"/>
  <c r="AX424" i="15"/>
  <c r="AK425" i="15"/>
  <c r="AL425" i="15"/>
  <c r="AN425" i="15"/>
  <c r="AT425" i="15"/>
  <c r="AU425" i="15"/>
  <c r="AV425" i="15"/>
  <c r="AX425" i="15"/>
  <c r="AO426" i="15"/>
  <c r="AK426" i="15"/>
  <c r="AL426" i="15"/>
  <c r="AN426" i="15"/>
  <c r="AT426" i="15"/>
  <c r="AU426" i="15"/>
  <c r="AV426" i="15"/>
  <c r="AX426" i="15"/>
  <c r="AK427" i="15"/>
  <c r="AL427" i="15"/>
  <c r="AN427" i="15"/>
  <c r="AT427" i="15"/>
  <c r="AU427" i="15"/>
  <c r="AV427" i="15"/>
  <c r="AX427" i="15"/>
  <c r="AO428" i="15"/>
  <c r="AK428" i="15"/>
  <c r="AL428" i="15"/>
  <c r="AN428" i="15"/>
  <c r="AT428" i="15"/>
  <c r="AU428" i="15"/>
  <c r="AV428" i="15"/>
  <c r="AX428" i="15"/>
  <c r="AP429" i="15"/>
  <c r="AK429" i="15"/>
  <c r="AL429" i="15"/>
  <c r="AN429" i="15"/>
  <c r="AT429" i="15"/>
  <c r="AU429" i="15"/>
  <c r="AV429" i="15"/>
  <c r="AX429" i="15"/>
  <c r="AO430" i="15"/>
  <c r="AK430" i="15"/>
  <c r="AL430" i="15"/>
  <c r="AN430" i="15"/>
  <c r="AT430" i="15"/>
  <c r="AU430" i="15"/>
  <c r="AV430" i="15"/>
  <c r="AX430" i="15"/>
  <c r="AO431" i="15"/>
  <c r="AK431" i="15"/>
  <c r="AL431" i="15"/>
  <c r="AN431" i="15"/>
  <c r="AT431" i="15"/>
  <c r="AU431" i="15"/>
  <c r="AV431" i="15"/>
  <c r="AX431" i="15"/>
  <c r="AP432" i="15"/>
  <c r="AK432" i="15"/>
  <c r="AL432" i="15"/>
  <c r="AN432" i="15"/>
  <c r="AT432" i="15"/>
  <c r="AU432" i="15"/>
  <c r="AV432" i="15"/>
  <c r="AX432" i="15"/>
  <c r="AP433" i="15"/>
  <c r="AK433" i="15"/>
  <c r="AL433" i="15"/>
  <c r="AN433" i="15"/>
  <c r="AT433" i="15"/>
  <c r="AU433" i="15"/>
  <c r="AV433" i="15"/>
  <c r="AX433" i="15"/>
  <c r="AK434" i="15"/>
  <c r="AL434" i="15"/>
  <c r="AN434" i="15"/>
  <c r="AT434" i="15"/>
  <c r="AU434" i="15"/>
  <c r="AV434" i="15"/>
  <c r="AX434" i="15"/>
  <c r="AO435" i="15"/>
  <c r="AK435" i="15"/>
  <c r="AL435" i="15"/>
  <c r="AN435" i="15"/>
  <c r="AT435" i="15"/>
  <c r="AU435" i="15"/>
  <c r="AV435" i="15"/>
  <c r="AX435" i="15"/>
  <c r="AK436" i="15"/>
  <c r="AL436" i="15"/>
  <c r="AN436" i="15"/>
  <c r="AT436" i="15"/>
  <c r="AU436" i="15"/>
  <c r="AV436" i="15"/>
  <c r="AX436" i="15"/>
  <c r="AK437" i="15"/>
  <c r="AL437" i="15"/>
  <c r="AN437" i="15"/>
  <c r="AT437" i="15"/>
  <c r="AU437" i="15"/>
  <c r="AV437" i="15"/>
  <c r="AX437" i="15"/>
  <c r="AO438" i="15"/>
  <c r="AK438" i="15"/>
  <c r="AL438" i="15"/>
  <c r="AN438" i="15"/>
  <c r="AT438" i="15"/>
  <c r="AU438" i="15"/>
  <c r="AV438" i="15"/>
  <c r="AX438" i="15"/>
  <c r="AO439" i="15"/>
  <c r="AK439" i="15"/>
  <c r="AL439" i="15"/>
  <c r="AN439" i="15"/>
  <c r="AT439" i="15"/>
  <c r="AU439" i="15"/>
  <c r="AV439" i="15"/>
  <c r="AX439" i="15"/>
  <c r="AP440" i="15"/>
  <c r="AK440" i="15"/>
  <c r="AL440" i="15"/>
  <c r="AN440" i="15"/>
  <c r="AT440" i="15"/>
  <c r="AU440" i="15"/>
  <c r="AV440" i="15"/>
  <c r="AX440" i="15"/>
  <c r="AK441" i="15"/>
  <c r="AL441" i="15"/>
  <c r="AN441" i="15"/>
  <c r="AT441" i="15"/>
  <c r="AU441" i="15"/>
  <c r="AV441" i="15"/>
  <c r="AX441" i="15"/>
  <c r="AQ442" i="15"/>
  <c r="AK442" i="15"/>
  <c r="AL442" i="15"/>
  <c r="AN442" i="15"/>
  <c r="AT442" i="15"/>
  <c r="AU442" i="15"/>
  <c r="AV442" i="15"/>
  <c r="AX442" i="15"/>
  <c r="AK443" i="15"/>
  <c r="AL443" i="15"/>
  <c r="AN443" i="15"/>
  <c r="AT443" i="15"/>
  <c r="AU443" i="15"/>
  <c r="AV443" i="15"/>
  <c r="AX443" i="15"/>
  <c r="AK444" i="15"/>
  <c r="AL444" i="15"/>
  <c r="AN444" i="15"/>
  <c r="AT444" i="15"/>
  <c r="AU444" i="15"/>
  <c r="AV444" i="15"/>
  <c r="AX444" i="15"/>
  <c r="AK445" i="15"/>
  <c r="AL445" i="15"/>
  <c r="AN445" i="15"/>
  <c r="AT445" i="15"/>
  <c r="AU445" i="15"/>
  <c r="AV445" i="15"/>
  <c r="AX445" i="15"/>
  <c r="AZ446" i="15"/>
  <c r="AK446" i="15"/>
  <c r="AL446" i="15"/>
  <c r="AN446" i="15"/>
  <c r="AT446" i="15"/>
  <c r="AU446" i="15"/>
  <c r="AV446" i="15"/>
  <c r="AX446" i="15"/>
  <c r="AK447" i="15"/>
  <c r="AL447" i="15"/>
  <c r="AN447" i="15"/>
  <c r="AT447" i="15"/>
  <c r="AU447" i="15"/>
  <c r="AV447" i="15"/>
  <c r="AX447" i="15"/>
  <c r="AK448" i="15"/>
  <c r="AL448" i="15"/>
  <c r="AN448" i="15"/>
  <c r="AT448" i="15"/>
  <c r="AU448" i="15"/>
  <c r="AV448" i="15"/>
  <c r="AX448" i="15"/>
  <c r="AP449" i="15"/>
  <c r="AK449" i="15"/>
  <c r="AL449" i="15"/>
  <c r="AN449" i="15"/>
  <c r="AT449" i="15"/>
  <c r="AU449" i="15"/>
  <c r="AV449" i="15"/>
  <c r="AX449" i="15"/>
  <c r="AK450" i="15"/>
  <c r="AL450" i="15"/>
  <c r="AN450" i="15"/>
  <c r="AT450" i="15"/>
  <c r="AU450" i="15"/>
  <c r="AV450" i="15"/>
  <c r="AX450" i="15"/>
  <c r="AZ451" i="15"/>
  <c r="AK451" i="15"/>
  <c r="AL451" i="15"/>
  <c r="AN451" i="15"/>
  <c r="AT451" i="15"/>
  <c r="AU451" i="15"/>
  <c r="AV451" i="15"/>
  <c r="AX451" i="15"/>
  <c r="AK452" i="15"/>
  <c r="AL452" i="15"/>
  <c r="AN452" i="15"/>
  <c r="AT452" i="15"/>
  <c r="AU452" i="15"/>
  <c r="AV452" i="15"/>
  <c r="AX452" i="15"/>
  <c r="AQ453" i="15"/>
  <c r="AK453" i="15"/>
  <c r="AL453" i="15"/>
  <c r="AN453" i="15"/>
  <c r="AT453" i="15"/>
  <c r="AU453" i="15"/>
  <c r="AV453" i="15"/>
  <c r="AX453" i="15"/>
  <c r="AO454" i="15"/>
  <c r="AK454" i="15"/>
  <c r="AL454" i="15"/>
  <c r="AN454" i="15"/>
  <c r="AT454" i="15"/>
  <c r="AU454" i="15"/>
  <c r="AV454" i="15"/>
  <c r="AX454" i="15"/>
  <c r="AO455" i="15"/>
  <c r="AK455" i="15"/>
  <c r="AL455" i="15"/>
  <c r="AN455" i="15"/>
  <c r="AT455" i="15"/>
  <c r="AU455" i="15"/>
  <c r="AV455" i="15"/>
  <c r="AX455" i="15"/>
  <c r="AS456" i="15"/>
  <c r="AK456" i="15"/>
  <c r="AL456" i="15"/>
  <c r="AN456" i="15"/>
  <c r="AT456" i="15"/>
  <c r="AU456" i="15"/>
  <c r="AV456" i="15"/>
  <c r="AX456" i="15"/>
  <c r="AK457" i="15"/>
  <c r="AL457" i="15"/>
  <c r="AN457" i="15"/>
  <c r="AT457" i="15"/>
  <c r="AU457" i="15"/>
  <c r="AV457" i="15"/>
  <c r="AX457" i="15"/>
  <c r="AZ458" i="15"/>
  <c r="AK458" i="15"/>
  <c r="AL458" i="15"/>
  <c r="AN458" i="15"/>
  <c r="AT458" i="15"/>
  <c r="AU458" i="15"/>
  <c r="AV458" i="15"/>
  <c r="AX458" i="15"/>
  <c r="AZ459" i="15"/>
  <c r="AK459" i="15"/>
  <c r="AL459" i="15"/>
  <c r="AN459" i="15"/>
  <c r="AT459" i="15"/>
  <c r="AU459" i="15"/>
  <c r="AV459" i="15"/>
  <c r="AX459" i="15"/>
  <c r="AK460" i="15"/>
  <c r="AL460" i="15"/>
  <c r="AN460" i="15"/>
  <c r="AT460" i="15"/>
  <c r="AU460" i="15"/>
  <c r="AV460" i="15"/>
  <c r="AX460" i="15"/>
  <c r="AP461" i="15"/>
  <c r="AK461" i="15"/>
  <c r="AL461" i="15"/>
  <c r="AN461" i="15"/>
  <c r="AT461" i="15"/>
  <c r="AU461" i="15"/>
  <c r="AV461" i="15"/>
  <c r="AX461" i="15"/>
  <c r="AK462" i="15"/>
  <c r="AL462" i="15"/>
  <c r="AN462" i="15"/>
  <c r="AT462" i="15"/>
  <c r="AU462" i="15"/>
  <c r="AV462" i="15"/>
  <c r="AX462" i="15"/>
  <c r="AK463" i="15"/>
  <c r="AL463" i="15"/>
  <c r="AN463" i="15"/>
  <c r="AT463" i="15"/>
  <c r="AU463" i="15"/>
  <c r="AV463" i="15"/>
  <c r="AX463" i="15"/>
  <c r="AP464" i="15"/>
  <c r="AK464" i="15"/>
  <c r="AL464" i="15"/>
  <c r="AN464" i="15"/>
  <c r="AT464" i="15"/>
  <c r="AU464" i="15"/>
  <c r="AV464" i="15"/>
  <c r="AX464" i="15"/>
  <c r="AK465" i="15"/>
  <c r="AL465" i="15"/>
  <c r="AN465" i="15"/>
  <c r="AT465" i="15"/>
  <c r="AU465" i="15"/>
  <c r="AV465" i="15"/>
  <c r="AX465" i="15"/>
  <c r="AZ466" i="15"/>
  <c r="AK466" i="15"/>
  <c r="AL466" i="15"/>
  <c r="AN466" i="15"/>
  <c r="AT466" i="15"/>
  <c r="AU466" i="15"/>
  <c r="AV466" i="15"/>
  <c r="AX466" i="15"/>
  <c r="AP467" i="15"/>
  <c r="AK467" i="15"/>
  <c r="AL467" i="15"/>
  <c r="AN467" i="15"/>
  <c r="AT467" i="15"/>
  <c r="AU467" i="15"/>
  <c r="AV467" i="15"/>
  <c r="AX467" i="15"/>
  <c r="AK468" i="15"/>
  <c r="AL468" i="15"/>
  <c r="AN468" i="15"/>
  <c r="AT468" i="15"/>
  <c r="AU468" i="15"/>
  <c r="AV468" i="15"/>
  <c r="AX468" i="15"/>
  <c r="AZ469" i="15"/>
  <c r="AK469" i="15"/>
  <c r="AL469" i="15"/>
  <c r="AN469" i="15"/>
  <c r="AT469" i="15"/>
  <c r="AU469" i="15"/>
  <c r="AV469" i="15"/>
  <c r="AX469" i="15"/>
  <c r="AZ470" i="15"/>
  <c r="AK470" i="15"/>
  <c r="AL470" i="15"/>
  <c r="AN470" i="15"/>
  <c r="AT470" i="15"/>
  <c r="AU470" i="15"/>
  <c r="AV470" i="15"/>
  <c r="AX470" i="15"/>
  <c r="AZ471" i="15"/>
  <c r="AK471" i="15"/>
  <c r="AL471" i="15"/>
  <c r="AN471" i="15"/>
  <c r="AT471" i="15"/>
  <c r="AU471" i="15"/>
  <c r="AV471" i="15"/>
  <c r="AX471" i="15"/>
  <c r="AZ472" i="15"/>
  <c r="AK472" i="15"/>
  <c r="AL472" i="15"/>
  <c r="AN472" i="15"/>
  <c r="AT472" i="15"/>
  <c r="AU472" i="15"/>
  <c r="AV472" i="15"/>
  <c r="AX472" i="15"/>
  <c r="AK473" i="15"/>
  <c r="AL473" i="15"/>
  <c r="AN473" i="15"/>
  <c r="AT473" i="15"/>
  <c r="AU473" i="15"/>
  <c r="AV473" i="15"/>
  <c r="AX473" i="15"/>
  <c r="AK474" i="15"/>
  <c r="AL474" i="15"/>
  <c r="AN474" i="15"/>
  <c r="AT474" i="15"/>
  <c r="AU474" i="15"/>
  <c r="AV474" i="15"/>
  <c r="AX474" i="15"/>
  <c r="AQ475" i="15"/>
  <c r="AK475" i="15"/>
  <c r="AL475" i="15"/>
  <c r="AN475" i="15"/>
  <c r="AT475" i="15"/>
  <c r="AU475" i="15"/>
  <c r="AV475" i="15"/>
  <c r="AX475" i="15"/>
  <c r="AK476" i="15"/>
  <c r="AL476" i="15"/>
  <c r="AN476" i="15"/>
  <c r="AT476" i="15"/>
  <c r="AU476" i="15"/>
  <c r="AV476" i="15"/>
  <c r="AX476" i="15"/>
  <c r="AK477" i="15"/>
  <c r="AL477" i="15"/>
  <c r="AN477" i="15"/>
  <c r="AT477" i="15"/>
  <c r="AU477" i="15"/>
  <c r="AV477" i="15"/>
  <c r="AX477" i="15"/>
  <c r="AZ478" i="15"/>
  <c r="AK478" i="15"/>
  <c r="AL478" i="15"/>
  <c r="AN478" i="15"/>
  <c r="AT478" i="15"/>
  <c r="AU478" i="15"/>
  <c r="AV478" i="15"/>
  <c r="AX478" i="15"/>
  <c r="AK479" i="15"/>
  <c r="AL479" i="15"/>
  <c r="AN479" i="15"/>
  <c r="AT479" i="15"/>
  <c r="AU479" i="15"/>
  <c r="AV479" i="15"/>
  <c r="AX479" i="15"/>
  <c r="AO480" i="15"/>
  <c r="AK480" i="15"/>
  <c r="AL480" i="15"/>
  <c r="AN480" i="15"/>
  <c r="AT480" i="15"/>
  <c r="AU480" i="15"/>
  <c r="AV480" i="15"/>
  <c r="AX480" i="15"/>
  <c r="AK481" i="15"/>
  <c r="AL481" i="15"/>
  <c r="AN481" i="15"/>
  <c r="AT481" i="15"/>
  <c r="AU481" i="15"/>
  <c r="AV481" i="15"/>
  <c r="AX481" i="15"/>
  <c r="AZ482" i="15"/>
  <c r="AK482" i="15"/>
  <c r="AL482" i="15"/>
  <c r="AN482" i="15"/>
  <c r="AT482" i="15"/>
  <c r="AU482" i="15"/>
  <c r="AV482" i="15"/>
  <c r="AX482" i="15"/>
  <c r="AQ483" i="15"/>
  <c r="AK483" i="15"/>
  <c r="AL483" i="15"/>
  <c r="AN483" i="15"/>
  <c r="AT483" i="15"/>
  <c r="AU483" i="15"/>
  <c r="AV483" i="15"/>
  <c r="AX483" i="15"/>
  <c r="AK484" i="15"/>
  <c r="AL484" i="15"/>
  <c r="AN484" i="15"/>
  <c r="AT484" i="15"/>
  <c r="AU484" i="15"/>
  <c r="AV484" i="15"/>
  <c r="AX484" i="15"/>
  <c r="AP485" i="15"/>
  <c r="AK485" i="15"/>
  <c r="AL485" i="15"/>
  <c r="AN485" i="15"/>
  <c r="AT485" i="15"/>
  <c r="AU485" i="15"/>
  <c r="AV485" i="15"/>
  <c r="AX485" i="15"/>
  <c r="AK486" i="15"/>
  <c r="AL486" i="15"/>
  <c r="AN486" i="15"/>
  <c r="AT486" i="15"/>
  <c r="AU486" i="15"/>
  <c r="AV486" i="15"/>
  <c r="AX486" i="15"/>
  <c r="AK487" i="15"/>
  <c r="AL487" i="15"/>
  <c r="AN487" i="15"/>
  <c r="AT487" i="15"/>
  <c r="AU487" i="15"/>
  <c r="AV487" i="15"/>
  <c r="AX487" i="15"/>
  <c r="AZ488" i="15"/>
  <c r="AK488" i="15"/>
  <c r="AL488" i="15"/>
  <c r="AN488" i="15"/>
  <c r="AT488" i="15"/>
  <c r="AU488" i="15"/>
  <c r="AV488" i="15"/>
  <c r="AX488" i="15"/>
  <c r="AK489" i="15"/>
  <c r="AL489" i="15"/>
  <c r="AN489" i="15"/>
  <c r="AT489" i="15"/>
  <c r="AU489" i="15"/>
  <c r="AV489" i="15"/>
  <c r="AX489" i="15"/>
  <c r="AZ490" i="15"/>
  <c r="AK490" i="15"/>
  <c r="AL490" i="15"/>
  <c r="AN490" i="15"/>
  <c r="AT490" i="15"/>
  <c r="AU490" i="15"/>
  <c r="AV490" i="15"/>
  <c r="AX490" i="15"/>
  <c r="AO491" i="15"/>
  <c r="AK491" i="15"/>
  <c r="AL491" i="15"/>
  <c r="AN491" i="15"/>
  <c r="AT491" i="15"/>
  <c r="AU491" i="15"/>
  <c r="AV491" i="15"/>
  <c r="AX491" i="15"/>
  <c r="AK492" i="15"/>
  <c r="AL492" i="15"/>
  <c r="AN492" i="15"/>
  <c r="AT492" i="15"/>
  <c r="AU492" i="15"/>
  <c r="AV492" i="15"/>
  <c r="AX492" i="15"/>
  <c r="AK493" i="15"/>
  <c r="AL493" i="15"/>
  <c r="AN493" i="15"/>
  <c r="AT493" i="15"/>
  <c r="AU493" i="15"/>
  <c r="AV493" i="15"/>
  <c r="AX493" i="15"/>
  <c r="AZ494" i="15"/>
  <c r="AK494" i="15"/>
  <c r="AL494" i="15"/>
  <c r="AN494" i="15"/>
  <c r="AT494" i="15"/>
  <c r="AU494" i="15"/>
  <c r="AV494" i="15"/>
  <c r="AX494" i="15"/>
  <c r="AZ495" i="15"/>
  <c r="AK495" i="15"/>
  <c r="AL495" i="15"/>
  <c r="AN495" i="15"/>
  <c r="AT495" i="15"/>
  <c r="AU495" i="15"/>
  <c r="AV495" i="15"/>
  <c r="AX495" i="15"/>
  <c r="AK496" i="15"/>
  <c r="AL496" i="15"/>
  <c r="AN496" i="15"/>
  <c r="AT496" i="15"/>
  <c r="AU496" i="15"/>
  <c r="AV496" i="15"/>
  <c r="AX496" i="15"/>
  <c r="AP497" i="15"/>
  <c r="AK497" i="15"/>
  <c r="AL497" i="15"/>
  <c r="AN497" i="15"/>
  <c r="AT497" i="15"/>
  <c r="AU497" i="15"/>
  <c r="AV497" i="15"/>
  <c r="AX497" i="15"/>
  <c r="AK498" i="15"/>
  <c r="AL498" i="15"/>
  <c r="AN498" i="15"/>
  <c r="AT498" i="15"/>
  <c r="AU498" i="15"/>
  <c r="AV498" i="15"/>
  <c r="AX498" i="15"/>
  <c r="AZ499" i="15"/>
  <c r="AK499" i="15"/>
  <c r="AL499" i="15"/>
  <c r="AN499" i="15"/>
  <c r="AT499" i="15"/>
  <c r="AU499" i="15"/>
  <c r="AV499" i="15"/>
  <c r="AX499" i="15"/>
  <c r="AK500" i="15"/>
  <c r="AL500" i="15"/>
  <c r="AN500" i="15"/>
  <c r="AT500" i="15"/>
  <c r="AU500" i="15"/>
  <c r="AV500" i="15"/>
  <c r="AX500" i="15"/>
  <c r="AP501" i="15"/>
  <c r="AK501" i="15"/>
  <c r="AL501" i="15"/>
  <c r="AN501" i="15"/>
  <c r="AT501" i="15"/>
  <c r="AU501" i="15"/>
  <c r="AV501" i="15"/>
  <c r="AX501" i="15"/>
  <c r="AO502" i="15"/>
  <c r="AK502" i="15"/>
  <c r="AL502" i="15"/>
  <c r="AN502" i="15"/>
  <c r="AT502" i="15"/>
  <c r="AU502" i="15"/>
  <c r="AV502" i="15"/>
  <c r="AX502" i="15"/>
  <c r="AK503" i="15"/>
  <c r="AL503" i="15"/>
  <c r="AN503" i="15"/>
  <c r="AT503" i="15"/>
  <c r="AU503" i="15"/>
  <c r="AV503" i="15"/>
  <c r="AX503" i="15"/>
  <c r="AK504" i="15"/>
  <c r="AL504" i="15"/>
  <c r="AN504" i="15"/>
  <c r="AT504" i="15"/>
  <c r="AU504" i="15"/>
  <c r="AV504" i="15"/>
  <c r="AX504" i="15"/>
  <c r="AK505" i="15"/>
  <c r="AL505" i="15"/>
  <c r="AN505" i="15"/>
  <c r="AT505" i="15"/>
  <c r="AU505" i="15"/>
  <c r="AV505" i="15"/>
  <c r="AX505" i="15"/>
  <c r="AP506" i="15"/>
  <c r="AK506" i="15"/>
  <c r="AL506" i="15"/>
  <c r="AN506" i="15"/>
  <c r="AT506" i="15"/>
  <c r="AU506" i="15"/>
  <c r="AV506" i="15"/>
  <c r="AX506" i="15"/>
  <c r="AZ507" i="15"/>
  <c r="AK507" i="15"/>
  <c r="AL507" i="15"/>
  <c r="AN507" i="15"/>
  <c r="AT507" i="15"/>
  <c r="AU507" i="15"/>
  <c r="AV507" i="15"/>
  <c r="AX507" i="15"/>
  <c r="AK508" i="15"/>
  <c r="AL508" i="15"/>
  <c r="AN508" i="15"/>
  <c r="AT508" i="15"/>
  <c r="AU508" i="15"/>
  <c r="AV508" i="15"/>
  <c r="AX508" i="15"/>
  <c r="AP509" i="15"/>
  <c r="AK509" i="15"/>
  <c r="AL509" i="15"/>
  <c r="AN509" i="15"/>
  <c r="AT509" i="15"/>
  <c r="AU509" i="15"/>
  <c r="AV509" i="15"/>
  <c r="AX509" i="15"/>
  <c r="AQ510" i="15"/>
  <c r="AK510" i="15"/>
  <c r="AL510" i="15"/>
  <c r="AN510" i="15"/>
  <c r="AT510" i="15"/>
  <c r="AU510" i="15"/>
  <c r="AV510" i="15"/>
  <c r="AX510" i="15"/>
  <c r="AP511" i="15"/>
  <c r="AK511" i="15"/>
  <c r="AL511" i="15"/>
  <c r="AN511" i="15"/>
  <c r="AT511" i="15"/>
  <c r="AU511" i="15"/>
  <c r="AV511" i="15"/>
  <c r="AX511" i="15"/>
  <c r="AK512" i="15"/>
  <c r="AL512" i="15"/>
  <c r="AN512" i="15"/>
  <c r="AT512" i="15"/>
  <c r="AU512" i="15"/>
  <c r="AV512" i="15"/>
  <c r="AX512" i="15"/>
  <c r="AP513" i="15"/>
  <c r="AK513" i="15"/>
  <c r="AL513" i="15"/>
  <c r="AN513" i="15"/>
  <c r="AT513" i="15"/>
  <c r="AU513" i="15"/>
  <c r="AV513" i="15"/>
  <c r="AX513" i="15"/>
  <c r="AZ514" i="15"/>
  <c r="AK514" i="15"/>
  <c r="AL514" i="15"/>
  <c r="AN514" i="15"/>
  <c r="AT514" i="15"/>
  <c r="AU514" i="15"/>
  <c r="AV514" i="15"/>
  <c r="AX514" i="15"/>
  <c r="AS515" i="15"/>
  <c r="AK515" i="15"/>
  <c r="AL515" i="15"/>
  <c r="AN515" i="15"/>
  <c r="AT515" i="15"/>
  <c r="AU515" i="15"/>
  <c r="AV515" i="15"/>
  <c r="AX515" i="15"/>
  <c r="AK516" i="15"/>
  <c r="AL516" i="15"/>
  <c r="AN516" i="15"/>
  <c r="AT516" i="15"/>
  <c r="AU516" i="15"/>
  <c r="AV516" i="15"/>
  <c r="AX516" i="15"/>
  <c r="AO517" i="15"/>
  <c r="AK517" i="15"/>
  <c r="AL517" i="15"/>
  <c r="AN517" i="15"/>
  <c r="AT517" i="15"/>
  <c r="AU517" i="15"/>
  <c r="AV517" i="15"/>
  <c r="AX517" i="15"/>
  <c r="AK518" i="15"/>
  <c r="AL518" i="15"/>
  <c r="AN518" i="15"/>
  <c r="AT518" i="15"/>
  <c r="AU518" i="15"/>
  <c r="AV518" i="15"/>
  <c r="AX518" i="15"/>
  <c r="AO519" i="15"/>
  <c r="AK519" i="15"/>
  <c r="AL519" i="15"/>
  <c r="AN519" i="15"/>
  <c r="AT519" i="15"/>
  <c r="AU519" i="15"/>
  <c r="AV519" i="15"/>
  <c r="AX519" i="15"/>
  <c r="AK520" i="15"/>
  <c r="AL520" i="15"/>
  <c r="AN520" i="15"/>
  <c r="AT520" i="15"/>
  <c r="AU520" i="15"/>
  <c r="AV520" i="15"/>
  <c r="AX520" i="15"/>
  <c r="AO521" i="15"/>
  <c r="AK521" i="15"/>
  <c r="AL521" i="15"/>
  <c r="AN521" i="15"/>
  <c r="AT521" i="15"/>
  <c r="AU521" i="15"/>
  <c r="AV521" i="15"/>
  <c r="AX521" i="15"/>
  <c r="AK522" i="15"/>
  <c r="AL522" i="15"/>
  <c r="AN522" i="15"/>
  <c r="AT522" i="15"/>
  <c r="AU522" i="15"/>
  <c r="AV522" i="15"/>
  <c r="AX522" i="15"/>
  <c r="AK523" i="15"/>
  <c r="AL523" i="15"/>
  <c r="AN523" i="15"/>
  <c r="AT523" i="15"/>
  <c r="AU523" i="15"/>
  <c r="AV523" i="15"/>
  <c r="AX523" i="15"/>
  <c r="AO524" i="15"/>
  <c r="AK524" i="15"/>
  <c r="AL524" i="15"/>
  <c r="AN524" i="15"/>
  <c r="AT524" i="15"/>
  <c r="AU524" i="15"/>
  <c r="AV524" i="15"/>
  <c r="AX524" i="15"/>
  <c r="AS525" i="15"/>
  <c r="AK525" i="15"/>
  <c r="AL525" i="15"/>
  <c r="AN525" i="15"/>
  <c r="AT525" i="15"/>
  <c r="AU525" i="15"/>
  <c r="AV525" i="15"/>
  <c r="AX525" i="15"/>
  <c r="AO526" i="15"/>
  <c r="AK526" i="15"/>
  <c r="AL526" i="15"/>
  <c r="AN526" i="15"/>
  <c r="AT526" i="15"/>
  <c r="AU526" i="15"/>
  <c r="AV526" i="15"/>
  <c r="AX526" i="15"/>
  <c r="AK527" i="15"/>
  <c r="AL527" i="15"/>
  <c r="AN527" i="15"/>
  <c r="AT527" i="15"/>
  <c r="AU527" i="15"/>
  <c r="AV527" i="15"/>
  <c r="AX527" i="15"/>
  <c r="AP528" i="15"/>
  <c r="AK528" i="15"/>
  <c r="AL528" i="15"/>
  <c r="AN528" i="15"/>
  <c r="AT528" i="15"/>
  <c r="AU528" i="15"/>
  <c r="AV528" i="15"/>
  <c r="AX528" i="15"/>
  <c r="AO529" i="15"/>
  <c r="AK529" i="15"/>
  <c r="AL529" i="15"/>
  <c r="AN529" i="15"/>
  <c r="AT529" i="15"/>
  <c r="AU529" i="15"/>
  <c r="AV529" i="15"/>
  <c r="AX529" i="15"/>
  <c r="AK530" i="15"/>
  <c r="AL530" i="15"/>
  <c r="AN530" i="15"/>
  <c r="AT530" i="15"/>
  <c r="AU530" i="15"/>
  <c r="AV530" i="15"/>
  <c r="AX530" i="15"/>
  <c r="AK531" i="15"/>
  <c r="AL531" i="15"/>
  <c r="AN531" i="15"/>
  <c r="AT531" i="15"/>
  <c r="AU531" i="15"/>
  <c r="AV531" i="15"/>
  <c r="AX531" i="15"/>
  <c r="AK532" i="15"/>
  <c r="AL532" i="15"/>
  <c r="AN532" i="15"/>
  <c r="AT532" i="15"/>
  <c r="AU532" i="15"/>
  <c r="AV532" i="15"/>
  <c r="AX532" i="15"/>
  <c r="AS533" i="15"/>
  <c r="AK533" i="15"/>
  <c r="AL533" i="15"/>
  <c r="AN533" i="15"/>
  <c r="AT533" i="15"/>
  <c r="AU533" i="15"/>
  <c r="AV533" i="15"/>
  <c r="AX533" i="15"/>
  <c r="AO534" i="15"/>
  <c r="AK534" i="15"/>
  <c r="AL534" i="15"/>
  <c r="AN534" i="15"/>
  <c r="AT534" i="15"/>
  <c r="AU534" i="15"/>
  <c r="AV534" i="15"/>
  <c r="AX534" i="15"/>
  <c r="AK535" i="15"/>
  <c r="AL535" i="15"/>
  <c r="AN535" i="15"/>
  <c r="AT535" i="15"/>
  <c r="AU535" i="15"/>
  <c r="AV535" i="15"/>
  <c r="AX535" i="15"/>
  <c r="AK536" i="15"/>
  <c r="AL536" i="15"/>
  <c r="AN536" i="15"/>
  <c r="AT536" i="15"/>
  <c r="AU536" i="15"/>
  <c r="AV536" i="15"/>
  <c r="AX536" i="15"/>
  <c r="AK537" i="15"/>
  <c r="AL537" i="15"/>
  <c r="AN537" i="15"/>
  <c r="AT537" i="15"/>
  <c r="AU537" i="15"/>
  <c r="AV537" i="15"/>
  <c r="AX537" i="15"/>
  <c r="AZ538" i="15"/>
  <c r="AK538" i="15"/>
  <c r="AL538" i="15"/>
  <c r="AN538" i="15"/>
  <c r="AT538" i="15"/>
  <c r="AU538" i="15"/>
  <c r="AV538" i="15"/>
  <c r="AX538" i="15"/>
  <c r="AK539" i="15"/>
  <c r="AL539" i="15"/>
  <c r="AN539" i="15"/>
  <c r="AT539" i="15"/>
  <c r="AU539" i="15"/>
  <c r="AV539" i="15"/>
  <c r="AX539" i="15"/>
  <c r="AS540" i="15"/>
  <c r="AK540" i="15"/>
  <c r="AL540" i="15"/>
  <c r="AN540" i="15"/>
  <c r="AT540" i="15"/>
  <c r="AU540" i="15"/>
  <c r="AV540" i="15"/>
  <c r="AX540" i="15"/>
  <c r="AZ541" i="15"/>
  <c r="AK541" i="15"/>
  <c r="AL541" i="15"/>
  <c r="AN541" i="15"/>
  <c r="AT541" i="15"/>
  <c r="AU541" i="15"/>
  <c r="AV541" i="15"/>
  <c r="AX541" i="15"/>
  <c r="AK542" i="15"/>
  <c r="AL542" i="15"/>
  <c r="AN542" i="15"/>
  <c r="AT542" i="15"/>
  <c r="AU542" i="15"/>
  <c r="AV542" i="15"/>
  <c r="AX542" i="15"/>
  <c r="AK543" i="15"/>
  <c r="AL543" i="15"/>
  <c r="AN543" i="15"/>
  <c r="AT543" i="15"/>
  <c r="AU543" i="15"/>
  <c r="AV543" i="15"/>
  <c r="AX543" i="15"/>
  <c r="AS544" i="15"/>
  <c r="AK544" i="15"/>
  <c r="AL544" i="15"/>
  <c r="AN544" i="15"/>
  <c r="AT544" i="15"/>
  <c r="AU544" i="15"/>
  <c r="AV544" i="15"/>
  <c r="AX544" i="15"/>
  <c r="AQ545" i="15"/>
  <c r="AK545" i="15"/>
  <c r="AL545" i="15"/>
  <c r="AN545" i="15"/>
  <c r="AT545" i="15"/>
  <c r="AU545" i="15"/>
  <c r="AV545" i="15"/>
  <c r="AX545" i="15"/>
  <c r="AZ546" i="15"/>
  <c r="AK546" i="15"/>
  <c r="AL546" i="15"/>
  <c r="AN546" i="15"/>
  <c r="AT546" i="15"/>
  <c r="AU546" i="15"/>
  <c r="AV546" i="15"/>
  <c r="AX546" i="15"/>
  <c r="AK547" i="15"/>
  <c r="AL547" i="15"/>
  <c r="AN547" i="15"/>
  <c r="AT547" i="15"/>
  <c r="AU547" i="15"/>
  <c r="AV547" i="15"/>
  <c r="AX547" i="15"/>
  <c r="AS548" i="15"/>
  <c r="AK548" i="15"/>
  <c r="AL548" i="15"/>
  <c r="AN548" i="15"/>
  <c r="AT548" i="15"/>
  <c r="AU548" i="15"/>
  <c r="AV548" i="15"/>
  <c r="AX548" i="15"/>
  <c r="AP549" i="15"/>
  <c r="AK549" i="15"/>
  <c r="AL549" i="15"/>
  <c r="AN549" i="15"/>
  <c r="AT549" i="15"/>
  <c r="AU549" i="15"/>
  <c r="AV549" i="15"/>
  <c r="AX549" i="15"/>
  <c r="AO550" i="15"/>
  <c r="AK550" i="15"/>
  <c r="AL550" i="15"/>
  <c r="AN550" i="15"/>
  <c r="AT550" i="15"/>
  <c r="AU550" i="15"/>
  <c r="AV550" i="15"/>
  <c r="AX550" i="15"/>
  <c r="AK551" i="15"/>
  <c r="AL551" i="15"/>
  <c r="AN551" i="15"/>
  <c r="AT551" i="15"/>
  <c r="AU551" i="15"/>
  <c r="AV551" i="15"/>
  <c r="AX551" i="15"/>
  <c r="AK552" i="15"/>
  <c r="AL552" i="15"/>
  <c r="AN552" i="15"/>
  <c r="AT552" i="15"/>
  <c r="AU552" i="15"/>
  <c r="AV552" i="15"/>
  <c r="AX552" i="15"/>
  <c r="AS553" i="15"/>
  <c r="AK553" i="15"/>
  <c r="AL553" i="15"/>
  <c r="AN553" i="15"/>
  <c r="AT553" i="15"/>
  <c r="AU553" i="15"/>
  <c r="AV553" i="15"/>
  <c r="AX553" i="15"/>
  <c r="AK554" i="15"/>
  <c r="AL554" i="15"/>
  <c r="AN554" i="15"/>
  <c r="AT554" i="15"/>
  <c r="AU554" i="15"/>
  <c r="AV554" i="15"/>
  <c r="AX554" i="15"/>
  <c r="AK555" i="15"/>
  <c r="AL555" i="15"/>
  <c r="AN555" i="15"/>
  <c r="AT555" i="15"/>
  <c r="AU555" i="15"/>
  <c r="AV555" i="15"/>
  <c r="AX555" i="15"/>
  <c r="AO556" i="15"/>
  <c r="AK556" i="15"/>
  <c r="AL556" i="15"/>
  <c r="AN556" i="15"/>
  <c r="AT556" i="15"/>
  <c r="AU556" i="15"/>
  <c r="AV556" i="15"/>
  <c r="AX556" i="15"/>
  <c r="AZ557" i="15"/>
  <c r="AK557" i="15"/>
  <c r="AL557" i="15"/>
  <c r="AN557" i="15"/>
  <c r="AT557" i="15"/>
  <c r="AU557" i="15"/>
  <c r="AV557" i="15"/>
  <c r="AX557" i="15"/>
  <c r="AK558" i="15"/>
  <c r="AL558" i="15"/>
  <c r="AN558" i="15"/>
  <c r="AT558" i="15"/>
  <c r="AU558" i="15"/>
  <c r="AV558" i="15"/>
  <c r="AX558" i="15"/>
  <c r="AS559" i="15"/>
  <c r="AK559" i="15"/>
  <c r="AL559" i="15"/>
  <c r="AN559" i="15"/>
  <c r="AT559" i="15"/>
  <c r="AU559" i="15"/>
  <c r="AV559" i="15"/>
  <c r="AX559" i="15"/>
  <c r="AP560" i="15"/>
  <c r="AK560" i="15"/>
  <c r="AL560" i="15"/>
  <c r="AN560" i="15"/>
  <c r="AT560" i="15"/>
  <c r="AU560" i="15"/>
  <c r="AV560" i="15"/>
  <c r="AX560" i="15"/>
  <c r="AK561" i="15"/>
  <c r="AL561" i="15"/>
  <c r="AN561" i="15"/>
  <c r="AT561" i="15"/>
  <c r="AU561" i="15"/>
  <c r="AV561" i="15"/>
  <c r="AX561" i="15"/>
  <c r="AK562" i="15"/>
  <c r="AL562" i="15"/>
  <c r="AN562" i="15"/>
  <c r="AT562" i="15"/>
  <c r="AU562" i="15"/>
  <c r="AV562" i="15"/>
  <c r="AX562" i="15"/>
  <c r="AK563" i="15"/>
  <c r="AL563" i="15"/>
  <c r="AN563" i="15"/>
  <c r="AT563" i="15"/>
  <c r="AU563" i="15"/>
  <c r="AV563" i="15"/>
  <c r="AX563" i="15"/>
  <c r="AP564" i="15"/>
  <c r="AK564" i="15"/>
  <c r="AL564" i="15"/>
  <c r="AN564" i="15"/>
  <c r="AT564" i="15"/>
  <c r="AU564" i="15"/>
  <c r="AV564" i="15"/>
  <c r="AX564" i="15"/>
  <c r="AK565" i="15"/>
  <c r="AL565" i="15"/>
  <c r="AN565" i="15"/>
  <c r="AT565" i="15"/>
  <c r="AU565" i="15"/>
  <c r="AV565" i="15"/>
  <c r="AX565" i="15"/>
  <c r="AK566" i="15"/>
  <c r="AL566" i="15"/>
  <c r="AN566" i="15"/>
  <c r="AT566" i="15"/>
  <c r="AU566" i="15"/>
  <c r="AV566" i="15"/>
  <c r="AX566" i="15"/>
  <c r="AK567" i="15"/>
  <c r="AL567" i="15"/>
  <c r="AN567" i="15"/>
  <c r="AT567" i="15"/>
  <c r="AU567" i="15"/>
  <c r="AV567" i="15"/>
  <c r="AX567" i="15"/>
  <c r="AP568" i="15"/>
  <c r="AK568" i="15"/>
  <c r="AL568" i="15"/>
  <c r="AN568" i="15"/>
  <c r="AT568" i="15"/>
  <c r="AU568" i="15"/>
  <c r="AV568" i="15"/>
  <c r="AX568" i="15"/>
  <c r="AK569" i="15"/>
  <c r="AL569" i="15"/>
  <c r="AN569" i="15"/>
  <c r="AT569" i="15"/>
  <c r="AU569" i="15"/>
  <c r="AV569" i="15"/>
  <c r="AX569" i="15"/>
  <c r="AK570" i="15"/>
  <c r="AL570" i="15"/>
  <c r="AN570" i="15"/>
  <c r="AT570" i="15"/>
  <c r="AU570" i="15"/>
  <c r="AV570" i="15"/>
  <c r="AX570" i="15"/>
  <c r="AK571" i="15"/>
  <c r="AL571" i="15"/>
  <c r="AN571" i="15"/>
  <c r="AT571" i="15"/>
  <c r="AU571" i="15"/>
  <c r="AV571" i="15"/>
  <c r="AX571" i="15"/>
  <c r="AK572" i="15"/>
  <c r="AL572" i="15"/>
  <c r="AN572" i="15"/>
  <c r="AT572" i="15"/>
  <c r="AU572" i="15"/>
  <c r="AV572" i="15"/>
  <c r="AX572" i="15"/>
  <c r="AS573" i="15"/>
  <c r="AK573" i="15"/>
  <c r="AL573" i="15"/>
  <c r="AN573" i="15"/>
  <c r="AT573" i="15"/>
  <c r="AU573" i="15"/>
  <c r="AV573" i="15"/>
  <c r="AX573" i="15"/>
  <c r="AP574" i="15"/>
  <c r="AK574" i="15"/>
  <c r="AL574" i="15"/>
  <c r="AN574" i="15"/>
  <c r="AT574" i="15"/>
  <c r="AU574" i="15"/>
  <c r="AV574" i="15"/>
  <c r="AX574" i="15"/>
  <c r="AZ575" i="15"/>
  <c r="AK575" i="15"/>
  <c r="AL575" i="15"/>
  <c r="AN575" i="15"/>
  <c r="AT575" i="15"/>
  <c r="AU575" i="15"/>
  <c r="AV575" i="15"/>
  <c r="AX575" i="15"/>
  <c r="AK576" i="15"/>
  <c r="AL576" i="15"/>
  <c r="AN576" i="15"/>
  <c r="AT576" i="15"/>
  <c r="AU576" i="15"/>
  <c r="AV576" i="15"/>
  <c r="AX576" i="15"/>
  <c r="AO577" i="15"/>
  <c r="AK577" i="15"/>
  <c r="AL577" i="15"/>
  <c r="AN577" i="15"/>
  <c r="AT577" i="15"/>
  <c r="AU577" i="15"/>
  <c r="AV577" i="15"/>
  <c r="AX577" i="15"/>
  <c r="AK578" i="15"/>
  <c r="AL578" i="15"/>
  <c r="AN578" i="15"/>
  <c r="AT578" i="15"/>
  <c r="AU578" i="15"/>
  <c r="AV578" i="15"/>
  <c r="AX578" i="15"/>
  <c r="AO579" i="15"/>
  <c r="AK579" i="15"/>
  <c r="AL579" i="15"/>
  <c r="AN579" i="15"/>
  <c r="AT579" i="15"/>
  <c r="AU579" i="15"/>
  <c r="AV579" i="15"/>
  <c r="AX579" i="15"/>
  <c r="AS580" i="15"/>
  <c r="AK580" i="15"/>
  <c r="AL580" i="15"/>
  <c r="AN580" i="15"/>
  <c r="AT580" i="15"/>
  <c r="AU580" i="15"/>
  <c r="AV580" i="15"/>
  <c r="AX580" i="15"/>
  <c r="AK581" i="15"/>
  <c r="AL581" i="15"/>
  <c r="AN581" i="15"/>
  <c r="AT581" i="15"/>
  <c r="AU581" i="15"/>
  <c r="AV581" i="15"/>
  <c r="AX581" i="15"/>
  <c r="AK582" i="15"/>
  <c r="AL582" i="15"/>
  <c r="AN582" i="15"/>
  <c r="AT582" i="15"/>
  <c r="AU582" i="15"/>
  <c r="AV582" i="15"/>
  <c r="AX582" i="15"/>
  <c r="AZ583" i="15"/>
  <c r="AK583" i="15"/>
  <c r="AL583" i="15"/>
  <c r="AN583" i="15"/>
  <c r="AT583" i="15"/>
  <c r="AU583" i="15"/>
  <c r="AV583" i="15"/>
  <c r="AX583" i="15"/>
  <c r="AO584" i="15"/>
  <c r="AK584" i="15"/>
  <c r="AL584" i="15"/>
  <c r="AN584" i="15"/>
  <c r="AT584" i="15"/>
  <c r="AU584" i="15"/>
  <c r="AV584" i="15"/>
  <c r="AX584" i="15"/>
  <c r="AK585" i="15"/>
  <c r="AL585" i="15"/>
  <c r="AN585" i="15"/>
  <c r="AT585" i="15"/>
  <c r="AU585" i="15"/>
  <c r="AV585" i="15"/>
  <c r="AX585" i="15"/>
  <c r="AP586" i="15"/>
  <c r="AK586" i="15"/>
  <c r="AL586" i="15"/>
  <c r="AN586" i="15"/>
  <c r="AT586" i="15"/>
  <c r="AU586" i="15"/>
  <c r="AV586" i="15"/>
  <c r="AX586" i="15"/>
  <c r="AK587" i="15"/>
  <c r="AL587" i="15"/>
  <c r="AN587" i="15"/>
  <c r="AT587" i="15"/>
  <c r="AU587" i="15"/>
  <c r="AV587" i="15"/>
  <c r="AX587" i="15"/>
  <c r="AK588" i="15"/>
  <c r="AL588" i="15"/>
  <c r="AN588" i="15"/>
  <c r="AT588" i="15"/>
  <c r="AU588" i="15"/>
  <c r="AV588" i="15"/>
  <c r="AX588" i="15"/>
  <c r="AK589" i="15"/>
  <c r="AL589" i="15"/>
  <c r="AN589" i="15"/>
  <c r="AT589" i="15"/>
  <c r="AU589" i="15"/>
  <c r="AV589" i="15"/>
  <c r="AX589" i="15"/>
  <c r="AS590" i="15"/>
  <c r="AK590" i="15"/>
  <c r="AL590" i="15"/>
  <c r="AN590" i="15"/>
  <c r="AT590" i="15"/>
  <c r="AU590" i="15"/>
  <c r="AV590" i="15"/>
  <c r="AX590" i="15"/>
  <c r="AK591" i="15"/>
  <c r="AL591" i="15"/>
  <c r="AN591" i="15"/>
  <c r="AT591" i="15"/>
  <c r="AU591" i="15"/>
  <c r="AV591" i="15"/>
  <c r="AX591" i="15"/>
  <c r="AK592" i="15"/>
  <c r="AL592" i="15"/>
  <c r="AN592" i="15"/>
  <c r="AT592" i="15"/>
  <c r="AU592" i="15"/>
  <c r="AV592" i="15"/>
  <c r="AX592" i="15"/>
  <c r="AK593" i="15"/>
  <c r="AL593" i="15"/>
  <c r="AN593" i="15"/>
  <c r="AT593" i="15"/>
  <c r="AU593" i="15"/>
  <c r="AV593" i="15"/>
  <c r="AX593" i="15"/>
  <c r="AP594" i="15"/>
  <c r="AK594" i="15"/>
  <c r="AL594" i="15"/>
  <c r="AN594" i="15"/>
  <c r="AT594" i="15"/>
  <c r="AU594" i="15"/>
  <c r="AV594" i="15"/>
  <c r="AX594" i="15"/>
  <c r="AK595" i="15"/>
  <c r="AL595" i="15"/>
  <c r="AN595" i="15"/>
  <c r="AT595" i="15"/>
  <c r="AU595" i="15"/>
  <c r="AV595" i="15"/>
  <c r="AX595" i="15"/>
  <c r="AK596" i="15"/>
  <c r="AL596" i="15"/>
  <c r="AN596" i="15"/>
  <c r="AT596" i="15"/>
  <c r="AU596" i="15"/>
  <c r="AV596" i="15"/>
  <c r="AX596" i="15"/>
  <c r="AQ597" i="15"/>
  <c r="AK597" i="15"/>
  <c r="AL597" i="15"/>
  <c r="AN597" i="15"/>
  <c r="AT597" i="15"/>
  <c r="AU597" i="15"/>
  <c r="AV597" i="15"/>
  <c r="AX597" i="15"/>
  <c r="AP598" i="15"/>
  <c r="AK598" i="15"/>
  <c r="AL598" i="15"/>
  <c r="AN598" i="15"/>
  <c r="AT598" i="15"/>
  <c r="AU598" i="15"/>
  <c r="AV598" i="15"/>
  <c r="AX598" i="15"/>
  <c r="AP599" i="15"/>
  <c r="AK599" i="15"/>
  <c r="AL599" i="15"/>
  <c r="AN599" i="15"/>
  <c r="AT599" i="15"/>
  <c r="AU599" i="15"/>
  <c r="AV599" i="15"/>
  <c r="AX599" i="15"/>
  <c r="AK600" i="15"/>
  <c r="AL600" i="15"/>
  <c r="AN600" i="15"/>
  <c r="AT600" i="15"/>
  <c r="AU600" i="15"/>
  <c r="AV600" i="15"/>
  <c r="AX600" i="15"/>
  <c r="AO601" i="15"/>
  <c r="AK601" i="15"/>
  <c r="AL601" i="15"/>
  <c r="AN601" i="15"/>
  <c r="AT601" i="15"/>
  <c r="AU601" i="15"/>
  <c r="AV601" i="15"/>
  <c r="AX601" i="15"/>
  <c r="AP602" i="15"/>
  <c r="AK602" i="15"/>
  <c r="AL602" i="15"/>
  <c r="AN602" i="15"/>
  <c r="AT602" i="15"/>
  <c r="AU602" i="15"/>
  <c r="AV602" i="15"/>
  <c r="AX602" i="15"/>
  <c r="AK603" i="15"/>
  <c r="AL603" i="15"/>
  <c r="AN603" i="15"/>
  <c r="AT603" i="15"/>
  <c r="AU603" i="15"/>
  <c r="AV603" i="15"/>
  <c r="AX603" i="15"/>
  <c r="AO604" i="15"/>
  <c r="AK604" i="15"/>
  <c r="AL604" i="15"/>
  <c r="AN604" i="15"/>
  <c r="AT604" i="15"/>
  <c r="AU604" i="15"/>
  <c r="AV604" i="15"/>
  <c r="AX604" i="15"/>
  <c r="AO605" i="15"/>
  <c r="AK605" i="15"/>
  <c r="AL605" i="15"/>
  <c r="AN605" i="15"/>
  <c r="AT605" i="15"/>
  <c r="AU605" i="15"/>
  <c r="AV605" i="15"/>
  <c r="AX605" i="15"/>
  <c r="AQ606" i="15"/>
  <c r="AK606" i="15"/>
  <c r="AL606" i="15"/>
  <c r="AN606" i="15"/>
  <c r="AT606" i="15"/>
  <c r="AU606" i="15"/>
  <c r="AV606" i="15"/>
  <c r="AX606" i="15"/>
  <c r="AK607" i="15"/>
  <c r="AL607" i="15"/>
  <c r="AN607" i="15"/>
  <c r="AT607" i="15"/>
  <c r="AU607" i="15"/>
  <c r="AV607" i="15"/>
  <c r="AX607" i="15"/>
  <c r="AP608" i="15"/>
  <c r="AK608" i="15"/>
  <c r="AL608" i="15"/>
  <c r="AN608" i="15"/>
  <c r="AT608" i="15"/>
  <c r="AU608" i="15"/>
  <c r="AV608" i="15"/>
  <c r="AX608" i="15"/>
  <c r="AO609" i="15"/>
  <c r="AK609" i="15"/>
  <c r="AL609" i="15"/>
  <c r="AN609" i="15"/>
  <c r="AT609" i="15"/>
  <c r="AU609" i="15"/>
  <c r="AV609" i="15"/>
  <c r="AX609" i="15"/>
  <c r="AZ610" i="15"/>
  <c r="AK610" i="15"/>
  <c r="AL610" i="15"/>
  <c r="AN610" i="15"/>
  <c r="AT610" i="15"/>
  <c r="AU610" i="15"/>
  <c r="AV610" i="15"/>
  <c r="AX610" i="15"/>
  <c r="AP611" i="15"/>
  <c r="AK611" i="15"/>
  <c r="AL611" i="15"/>
  <c r="AN611" i="15"/>
  <c r="AT611" i="15"/>
  <c r="AU611" i="15"/>
  <c r="AV611" i="15"/>
  <c r="AX611" i="15"/>
  <c r="AZ612" i="15"/>
  <c r="AK612" i="15"/>
  <c r="AL612" i="15"/>
  <c r="AN612" i="15"/>
  <c r="AT612" i="15"/>
  <c r="AU612" i="15"/>
  <c r="AV612" i="15"/>
  <c r="AX612" i="15"/>
  <c r="AS613" i="15"/>
  <c r="AK613" i="15"/>
  <c r="AL613" i="15"/>
  <c r="AN613" i="15"/>
  <c r="AT613" i="15"/>
  <c r="AU613" i="15"/>
  <c r="AV613" i="15"/>
  <c r="AX613" i="15"/>
  <c r="AP614" i="15"/>
  <c r="AK614" i="15"/>
  <c r="AL614" i="15"/>
  <c r="AN614" i="15"/>
  <c r="AT614" i="15"/>
  <c r="AU614" i="15"/>
  <c r="AV614" i="15"/>
  <c r="AX614" i="15"/>
  <c r="AP615" i="15"/>
  <c r="AK615" i="15"/>
  <c r="AL615" i="15"/>
  <c r="AN615" i="15"/>
  <c r="AT615" i="15"/>
  <c r="AU615" i="15"/>
  <c r="AV615" i="15"/>
  <c r="AX615" i="15"/>
  <c r="AZ616" i="15"/>
  <c r="AK616" i="15"/>
  <c r="AL616" i="15"/>
  <c r="AN616" i="15"/>
  <c r="AT616" i="15"/>
  <c r="AU616" i="15"/>
  <c r="AV616" i="15"/>
  <c r="AX616" i="15"/>
  <c r="AK617" i="15"/>
  <c r="AL617" i="15"/>
  <c r="AN617" i="15"/>
  <c r="AT617" i="15"/>
  <c r="AU617" i="15"/>
  <c r="AV617" i="15"/>
  <c r="AX617" i="15"/>
  <c r="AP618" i="15"/>
  <c r="AK618" i="15"/>
  <c r="AL618" i="15"/>
  <c r="AN618" i="15"/>
  <c r="AT618" i="15"/>
  <c r="AU618" i="15"/>
  <c r="AV618" i="15"/>
  <c r="AX618" i="15"/>
  <c r="AP619" i="15"/>
  <c r="AK619" i="15"/>
  <c r="AL619" i="15"/>
  <c r="AN619" i="15"/>
  <c r="AT619" i="15"/>
  <c r="AU619" i="15"/>
  <c r="AV619" i="15"/>
  <c r="AX619" i="15"/>
  <c r="AP620" i="15"/>
  <c r="AK620" i="15"/>
  <c r="AL620" i="15"/>
  <c r="AN620" i="15"/>
  <c r="AT620" i="15"/>
  <c r="AU620" i="15"/>
  <c r="AV620" i="15"/>
  <c r="AX620" i="15"/>
  <c r="AK621" i="15"/>
  <c r="AL621" i="15"/>
  <c r="AN621" i="15"/>
  <c r="AT621" i="15"/>
  <c r="AU621" i="15"/>
  <c r="AV621" i="15"/>
  <c r="AX621" i="15"/>
  <c r="AP622" i="15"/>
  <c r="AK622" i="15"/>
  <c r="AL622" i="15"/>
  <c r="AN622" i="15"/>
  <c r="AT622" i="15"/>
  <c r="AU622" i="15"/>
  <c r="AV622" i="15"/>
  <c r="AX622" i="15"/>
  <c r="AP623" i="15"/>
  <c r="AK623" i="15"/>
  <c r="AL623" i="15"/>
  <c r="AN623" i="15"/>
  <c r="AT623" i="15"/>
  <c r="AU623" i="15"/>
  <c r="AV623" i="15"/>
  <c r="AX623" i="15"/>
  <c r="AZ624" i="15"/>
  <c r="AK624" i="15"/>
  <c r="AL624" i="15"/>
  <c r="AN624" i="15"/>
  <c r="AT624" i="15"/>
  <c r="AU624" i="15"/>
  <c r="AV624" i="15"/>
  <c r="AX624" i="15"/>
  <c r="AQ625" i="15"/>
  <c r="AK625" i="15"/>
  <c r="AL625" i="15"/>
  <c r="AN625" i="15"/>
  <c r="AT625" i="15"/>
  <c r="AU625" i="15"/>
  <c r="AV625" i="15"/>
  <c r="AX625" i="15"/>
  <c r="AP626" i="15"/>
  <c r="AK626" i="15"/>
  <c r="AL626" i="15"/>
  <c r="AN626" i="15"/>
  <c r="AT626" i="15"/>
  <c r="AU626" i="15"/>
  <c r="AV626" i="15"/>
  <c r="AX626" i="15"/>
  <c r="AP627" i="15"/>
  <c r="AK627" i="15"/>
  <c r="AL627" i="15"/>
  <c r="AN627" i="15"/>
  <c r="AT627" i="15"/>
  <c r="AU627" i="15"/>
  <c r="AV627" i="15"/>
  <c r="AX627" i="15"/>
  <c r="AQ628" i="15"/>
  <c r="AK628" i="15"/>
  <c r="AL628" i="15"/>
  <c r="AN628" i="15"/>
  <c r="AT628" i="15"/>
  <c r="AU628" i="15"/>
  <c r="AV628" i="15"/>
  <c r="AX628" i="15"/>
  <c r="AP629" i="15"/>
  <c r="AK629" i="15"/>
  <c r="AL629" i="15"/>
  <c r="AN629" i="15"/>
  <c r="AT629" i="15"/>
  <c r="AU629" i="15"/>
  <c r="AV629" i="15"/>
  <c r="AX629" i="15"/>
  <c r="AP630" i="15"/>
  <c r="AK630" i="15"/>
  <c r="AL630" i="15"/>
  <c r="AN630" i="15"/>
  <c r="AT630" i="15"/>
  <c r="AU630" i="15"/>
  <c r="AV630" i="15"/>
  <c r="AX630" i="15"/>
  <c r="AP631" i="15"/>
  <c r="AK631" i="15"/>
  <c r="AL631" i="15"/>
  <c r="AN631" i="15"/>
  <c r="AT631" i="15"/>
  <c r="AU631" i="15"/>
  <c r="AV631" i="15"/>
  <c r="AX631" i="15"/>
  <c r="AS632" i="15"/>
  <c r="AK632" i="15"/>
  <c r="AL632" i="15"/>
  <c r="AN632" i="15"/>
  <c r="AT632" i="15"/>
  <c r="AU632" i="15"/>
  <c r="AV632" i="15"/>
  <c r="AX632" i="15"/>
  <c r="AS633" i="15"/>
  <c r="AK633" i="15"/>
  <c r="AL633" i="15"/>
  <c r="AN633" i="15"/>
  <c r="AT633" i="15"/>
  <c r="AU633" i="15"/>
  <c r="AV633" i="15"/>
  <c r="AX633" i="15"/>
  <c r="AK634" i="15"/>
  <c r="AL634" i="15"/>
  <c r="AN634" i="15"/>
  <c r="AT634" i="15"/>
  <c r="AU634" i="15"/>
  <c r="AV634" i="15"/>
  <c r="AX634" i="15"/>
  <c r="AZ635" i="15"/>
  <c r="AK635" i="15"/>
  <c r="AL635" i="15"/>
  <c r="AN635" i="15"/>
  <c r="AT635" i="15"/>
  <c r="AU635" i="15"/>
  <c r="AV635" i="15"/>
  <c r="AX635" i="15"/>
  <c r="AK636" i="15"/>
  <c r="AL636" i="15"/>
  <c r="AN636" i="15"/>
  <c r="AT636" i="15"/>
  <c r="AU636" i="15"/>
  <c r="AV636" i="15"/>
  <c r="AX636" i="15"/>
  <c r="AQ637" i="15"/>
  <c r="AK637" i="15"/>
  <c r="AL637" i="15"/>
  <c r="AN637" i="15"/>
  <c r="AT637" i="15"/>
  <c r="AU637" i="15"/>
  <c r="AV637" i="15"/>
  <c r="AX637" i="15"/>
  <c r="AP638" i="15"/>
  <c r="AK638" i="15"/>
  <c r="AL638" i="15"/>
  <c r="AN638" i="15"/>
  <c r="AT638" i="15"/>
  <c r="AU638" i="15"/>
  <c r="AV638" i="15"/>
  <c r="AX638" i="15"/>
  <c r="AP639" i="15"/>
  <c r="AK639" i="15"/>
  <c r="AL639" i="15"/>
  <c r="AN639" i="15"/>
  <c r="AT639" i="15"/>
  <c r="AU639" i="15"/>
  <c r="AV639" i="15"/>
  <c r="AX639" i="15"/>
  <c r="AK640" i="15"/>
  <c r="AL640" i="15"/>
  <c r="AN640" i="15"/>
  <c r="AT640" i="15"/>
  <c r="AU640" i="15"/>
  <c r="AV640" i="15"/>
  <c r="AX640" i="15"/>
  <c r="AQ641" i="15"/>
  <c r="AK641" i="15"/>
  <c r="AL641" i="15"/>
  <c r="AN641" i="15"/>
  <c r="AT641" i="15"/>
  <c r="AU641" i="15"/>
  <c r="AV641" i="15"/>
  <c r="AX641" i="15"/>
  <c r="AP642" i="15"/>
  <c r="AK642" i="15"/>
  <c r="AL642" i="15"/>
  <c r="AN642" i="15"/>
  <c r="AT642" i="15"/>
  <c r="AU642" i="15"/>
  <c r="AV642" i="15"/>
  <c r="AX642" i="15"/>
  <c r="AP643" i="15"/>
  <c r="AK643" i="15"/>
  <c r="AL643" i="15"/>
  <c r="AN643" i="15"/>
  <c r="AT643" i="15"/>
  <c r="AU643" i="15"/>
  <c r="AV643" i="15"/>
  <c r="AX643" i="15"/>
  <c r="AS644" i="15"/>
  <c r="AK644" i="15"/>
  <c r="AL644" i="15"/>
  <c r="AN644" i="15"/>
  <c r="AT644" i="15"/>
  <c r="AU644" i="15"/>
  <c r="AV644" i="15"/>
  <c r="AX644" i="15"/>
  <c r="AQ645" i="15"/>
  <c r="AK645" i="15"/>
  <c r="AL645" i="15"/>
  <c r="AN645" i="15"/>
  <c r="AT645" i="15"/>
  <c r="AU645" i="15"/>
  <c r="AV645" i="15"/>
  <c r="AX645" i="15"/>
  <c r="AP646" i="15"/>
  <c r="AK646" i="15"/>
  <c r="AL646" i="15"/>
  <c r="AN646" i="15"/>
  <c r="AT646" i="15"/>
  <c r="AU646" i="15"/>
  <c r="AV646" i="15"/>
  <c r="AX646" i="15"/>
  <c r="AP647" i="15"/>
  <c r="AK647" i="15"/>
  <c r="AL647" i="15"/>
  <c r="AN647" i="15"/>
  <c r="AT647" i="15"/>
  <c r="AU647" i="15"/>
  <c r="AV647" i="15"/>
  <c r="AX647" i="15"/>
  <c r="AO648" i="15"/>
  <c r="AK648" i="15"/>
  <c r="AL648" i="15"/>
  <c r="AN648" i="15"/>
  <c r="AT648" i="15"/>
  <c r="AU648" i="15"/>
  <c r="AV648" i="15"/>
  <c r="AX648" i="15"/>
  <c r="AP649" i="15"/>
  <c r="AK649" i="15"/>
  <c r="AL649" i="15"/>
  <c r="AN649" i="15"/>
  <c r="AT649" i="15"/>
  <c r="AU649" i="15"/>
  <c r="AV649" i="15"/>
  <c r="AX649" i="15"/>
  <c r="AP650" i="15"/>
  <c r="AK650" i="15"/>
  <c r="AL650" i="15"/>
  <c r="AN650" i="15"/>
  <c r="AT650" i="15"/>
  <c r="AU650" i="15"/>
  <c r="AV650" i="15"/>
  <c r="AX650" i="15"/>
  <c r="AP651" i="15"/>
  <c r="AK651" i="15"/>
  <c r="AL651" i="15"/>
  <c r="AN651" i="15"/>
  <c r="AT651" i="15"/>
  <c r="AU651" i="15"/>
  <c r="AV651" i="15"/>
  <c r="AX651" i="15"/>
  <c r="AS652" i="15"/>
  <c r="AK652" i="15"/>
  <c r="AL652" i="15"/>
  <c r="AN652" i="15"/>
  <c r="AT652" i="15"/>
  <c r="AU652" i="15"/>
  <c r="AV652" i="15"/>
  <c r="AX652" i="15"/>
  <c r="AS653" i="15"/>
  <c r="AK653" i="15"/>
  <c r="AL653" i="15"/>
  <c r="AN653" i="15"/>
  <c r="AT653" i="15"/>
  <c r="AU653" i="15"/>
  <c r="AV653" i="15"/>
  <c r="AX653" i="15"/>
  <c r="AP654" i="15"/>
  <c r="AK654" i="15"/>
  <c r="AL654" i="15"/>
  <c r="AN654" i="15"/>
  <c r="AT654" i="15"/>
  <c r="AU654" i="15"/>
  <c r="AV654" i="15"/>
  <c r="AX654" i="15"/>
  <c r="AK655" i="15"/>
  <c r="AL655" i="15"/>
  <c r="AN655" i="15"/>
  <c r="AT655" i="15"/>
  <c r="AU655" i="15"/>
  <c r="AV655" i="15"/>
  <c r="AX655" i="15"/>
  <c r="AQ656" i="15"/>
  <c r="AK656" i="15"/>
  <c r="AL656" i="15"/>
  <c r="AN656" i="15"/>
  <c r="AT656" i="15"/>
  <c r="AU656" i="15"/>
  <c r="AV656" i="15"/>
  <c r="AX656" i="15"/>
  <c r="AO657" i="15"/>
  <c r="AK657" i="15"/>
  <c r="AL657" i="15"/>
  <c r="AN657" i="15"/>
  <c r="AT657" i="15"/>
  <c r="AU657" i="15"/>
  <c r="AV657" i="15"/>
  <c r="AX657" i="15"/>
  <c r="AK658" i="15"/>
  <c r="AL658" i="15"/>
  <c r="AN658" i="15"/>
  <c r="AT658" i="15"/>
  <c r="AU658" i="15"/>
  <c r="AV658" i="15"/>
  <c r="AX658" i="15"/>
  <c r="AK659" i="15"/>
  <c r="AL659" i="15"/>
  <c r="AN659" i="15"/>
  <c r="AT659" i="15"/>
  <c r="AU659" i="15"/>
  <c r="AV659" i="15"/>
  <c r="AX659" i="15"/>
  <c r="AK660" i="15"/>
  <c r="AL660" i="15"/>
  <c r="AN660" i="15"/>
  <c r="AT660" i="15"/>
  <c r="AU660" i="15"/>
  <c r="AV660" i="15"/>
  <c r="AX660" i="15"/>
  <c r="AS661" i="15"/>
  <c r="AK661" i="15"/>
  <c r="AL661" i="15"/>
  <c r="AN661" i="15"/>
  <c r="AT661" i="15"/>
  <c r="AU661" i="15"/>
  <c r="AV661" i="15"/>
  <c r="AX661" i="15"/>
  <c r="AP662" i="15"/>
  <c r="AK662" i="15"/>
  <c r="AL662" i="15"/>
  <c r="AN662" i="15"/>
  <c r="AT662" i="15"/>
  <c r="AU662" i="15"/>
  <c r="AV662" i="15"/>
  <c r="AX662" i="15"/>
  <c r="AP663" i="15"/>
  <c r="AK663" i="15"/>
  <c r="AL663" i="15"/>
  <c r="AN663" i="15"/>
  <c r="AT663" i="15"/>
  <c r="AU663" i="15"/>
  <c r="AV663" i="15"/>
  <c r="AX663" i="15"/>
  <c r="AP664" i="15"/>
  <c r="AK664" i="15"/>
  <c r="AL664" i="15"/>
  <c r="AN664" i="15"/>
  <c r="AT664" i="15"/>
  <c r="AU664" i="15"/>
  <c r="AV664" i="15"/>
  <c r="AX664" i="15"/>
  <c r="AQ665" i="15"/>
  <c r="AK665" i="15"/>
  <c r="AL665" i="15"/>
  <c r="AN665" i="15"/>
  <c r="AT665" i="15"/>
  <c r="AU665" i="15"/>
  <c r="AV665" i="15"/>
  <c r="AX665" i="15"/>
  <c r="AZ666" i="15"/>
  <c r="AK666" i="15"/>
  <c r="AL666" i="15"/>
  <c r="AN666" i="15"/>
  <c r="AT666" i="15"/>
  <c r="AU666" i="15"/>
  <c r="AV666" i="15"/>
  <c r="AX666" i="15"/>
  <c r="AO667" i="15"/>
  <c r="AK667" i="15"/>
  <c r="AL667" i="15"/>
  <c r="AN667" i="15"/>
  <c r="AT667" i="15"/>
  <c r="AU667" i="15"/>
  <c r="AV667" i="15"/>
  <c r="AX667" i="15"/>
  <c r="AK668" i="15"/>
  <c r="AL668" i="15"/>
  <c r="AN668" i="15"/>
  <c r="AT668" i="15"/>
  <c r="AU668" i="15"/>
  <c r="AV668" i="15"/>
  <c r="AX668" i="15"/>
  <c r="AP669" i="15"/>
  <c r="AK669" i="15"/>
  <c r="AL669" i="15"/>
  <c r="AN669" i="15"/>
  <c r="AT669" i="15"/>
  <c r="AU669" i="15"/>
  <c r="AV669" i="15"/>
  <c r="AX669" i="15"/>
  <c r="AP670" i="15"/>
  <c r="AK670" i="15"/>
  <c r="AL670" i="15"/>
  <c r="AN670" i="15"/>
  <c r="AT670" i="15"/>
  <c r="AU670" i="15"/>
  <c r="AV670" i="15"/>
  <c r="AX670" i="15"/>
  <c r="AK671" i="15"/>
  <c r="AL671" i="15"/>
  <c r="AN671" i="15"/>
  <c r="AT671" i="15"/>
  <c r="AU671" i="15"/>
  <c r="AV671" i="15"/>
  <c r="AX671" i="15"/>
  <c r="AO672" i="15"/>
  <c r="AK672" i="15"/>
  <c r="AL672" i="15"/>
  <c r="AN672" i="15"/>
  <c r="AT672" i="15"/>
  <c r="AU672" i="15"/>
  <c r="AV672" i="15"/>
  <c r="AX672" i="15"/>
  <c r="AO673" i="15"/>
  <c r="AK673" i="15"/>
  <c r="AL673" i="15"/>
  <c r="AN673" i="15"/>
  <c r="AT673" i="15"/>
  <c r="AU673" i="15"/>
  <c r="AV673" i="15"/>
  <c r="AX673" i="15"/>
  <c r="AQ674" i="15"/>
  <c r="AK674" i="15"/>
  <c r="AL674" i="15"/>
  <c r="AN674" i="15"/>
  <c r="AT674" i="15"/>
  <c r="AU674" i="15"/>
  <c r="AV674" i="15"/>
  <c r="AX674" i="15"/>
  <c r="AQ675" i="15"/>
  <c r="AK675" i="15"/>
  <c r="AL675" i="15"/>
  <c r="AN675" i="15"/>
  <c r="AT675" i="15"/>
  <c r="AU675" i="15"/>
  <c r="AV675" i="15"/>
  <c r="AX675" i="15"/>
  <c r="AP676" i="15"/>
  <c r="AK676" i="15"/>
  <c r="AL676" i="15"/>
  <c r="AN676" i="15"/>
  <c r="AT676" i="15"/>
  <c r="AU676" i="15"/>
  <c r="AV676" i="15"/>
  <c r="AX676" i="15"/>
  <c r="AP677" i="15"/>
  <c r="AK677" i="15"/>
  <c r="AL677" i="15"/>
  <c r="AN677" i="15"/>
  <c r="AT677" i="15"/>
  <c r="AU677" i="15"/>
  <c r="AV677" i="15"/>
  <c r="AX677" i="15"/>
  <c r="AP678" i="15"/>
  <c r="AK678" i="15"/>
  <c r="AL678" i="15"/>
  <c r="AN678" i="15"/>
  <c r="AT678" i="15"/>
  <c r="AU678" i="15"/>
  <c r="AV678" i="15"/>
  <c r="AX678" i="15"/>
  <c r="AP679" i="15"/>
  <c r="AK679" i="15"/>
  <c r="AL679" i="15"/>
  <c r="AN679" i="15"/>
  <c r="AT679" i="15"/>
  <c r="AU679" i="15"/>
  <c r="AV679" i="15"/>
  <c r="AX679" i="15"/>
  <c r="AK680" i="15"/>
  <c r="AL680" i="15"/>
  <c r="AN680" i="15"/>
  <c r="AT680" i="15"/>
  <c r="AU680" i="15"/>
  <c r="AV680" i="15"/>
  <c r="AX680" i="15"/>
  <c r="AK681" i="15"/>
  <c r="AL681" i="15"/>
  <c r="AN681" i="15"/>
  <c r="AT681" i="15"/>
  <c r="AU681" i="15"/>
  <c r="AV681" i="15"/>
  <c r="AX681" i="15"/>
  <c r="AP682" i="15"/>
  <c r="AK682" i="15"/>
  <c r="AL682" i="15"/>
  <c r="AN682" i="15"/>
  <c r="AT682" i="15"/>
  <c r="AU682" i="15"/>
  <c r="AV682" i="15"/>
  <c r="AX682" i="15"/>
  <c r="AS683" i="15"/>
  <c r="AK683" i="15"/>
  <c r="AL683" i="15"/>
  <c r="AN683" i="15"/>
  <c r="AT683" i="15"/>
  <c r="AU683" i="15"/>
  <c r="AV683" i="15"/>
  <c r="AX683" i="15"/>
  <c r="AO684" i="15"/>
  <c r="AK684" i="15"/>
  <c r="AL684" i="15"/>
  <c r="AN684" i="15"/>
  <c r="AT684" i="15"/>
  <c r="AU684" i="15"/>
  <c r="AV684" i="15"/>
  <c r="AX684" i="15"/>
  <c r="AZ685" i="15"/>
  <c r="AK685" i="15"/>
  <c r="AL685" i="15"/>
  <c r="AN685" i="15"/>
  <c r="AT685" i="15"/>
  <c r="AU685" i="15"/>
  <c r="AV685" i="15"/>
  <c r="AX685" i="15"/>
  <c r="AZ686" i="15"/>
  <c r="AK686" i="15"/>
  <c r="AL686" i="15"/>
  <c r="AN686" i="15"/>
  <c r="AT686" i="15"/>
  <c r="AU686" i="15"/>
  <c r="AV686" i="15"/>
  <c r="AX686" i="15"/>
  <c r="AO687" i="15"/>
  <c r="AK687" i="15"/>
  <c r="AL687" i="15"/>
  <c r="AN687" i="15"/>
  <c r="AT687" i="15"/>
  <c r="AU687" i="15"/>
  <c r="AV687" i="15"/>
  <c r="AX687" i="15"/>
  <c r="AO688" i="15"/>
  <c r="AK688" i="15"/>
  <c r="AL688" i="15"/>
  <c r="AN688" i="15"/>
  <c r="AT688" i="15"/>
  <c r="AU688" i="15"/>
  <c r="AV688" i="15"/>
  <c r="AX688" i="15"/>
  <c r="AZ689" i="15"/>
  <c r="AK689" i="15"/>
  <c r="AL689" i="15"/>
  <c r="AN689" i="15"/>
  <c r="AT689" i="15"/>
  <c r="AU689" i="15"/>
  <c r="AV689" i="15"/>
  <c r="AX689" i="15"/>
  <c r="AO690" i="15"/>
  <c r="AK690" i="15"/>
  <c r="AL690" i="15"/>
  <c r="AN690" i="15"/>
  <c r="AT690" i="15"/>
  <c r="AU690" i="15"/>
  <c r="AV690" i="15"/>
  <c r="AX690" i="15"/>
  <c r="AP691" i="15"/>
  <c r="AK691" i="15"/>
  <c r="AL691" i="15"/>
  <c r="AN691" i="15"/>
  <c r="AT691" i="15"/>
  <c r="AU691" i="15"/>
  <c r="AV691" i="15"/>
  <c r="AX691" i="15"/>
  <c r="AK692" i="15"/>
  <c r="AL692" i="15"/>
  <c r="AN692" i="15"/>
  <c r="AT692" i="15"/>
  <c r="AU692" i="15"/>
  <c r="AV692" i="15"/>
  <c r="AX692" i="15"/>
  <c r="AZ693" i="15"/>
  <c r="AK693" i="15"/>
  <c r="AL693" i="15"/>
  <c r="AN693" i="15"/>
  <c r="AT693" i="15"/>
  <c r="AU693" i="15"/>
  <c r="AV693" i="15"/>
  <c r="AX693" i="15"/>
  <c r="AK694" i="15"/>
  <c r="AL694" i="15"/>
  <c r="AN694" i="15"/>
  <c r="AT694" i="15"/>
  <c r="AU694" i="15"/>
  <c r="AV694" i="15"/>
  <c r="AX694" i="15"/>
  <c r="AK695" i="15"/>
  <c r="AL695" i="15"/>
  <c r="AN695" i="15"/>
  <c r="AT695" i="15"/>
  <c r="AU695" i="15"/>
  <c r="AV695" i="15"/>
  <c r="AX695" i="15"/>
  <c r="AK696" i="15"/>
  <c r="AL696" i="15"/>
  <c r="AN696" i="15"/>
  <c r="AT696" i="15"/>
  <c r="AU696" i="15"/>
  <c r="AV696" i="15"/>
  <c r="AX696" i="15"/>
  <c r="AZ697" i="15"/>
  <c r="AK697" i="15"/>
  <c r="AL697" i="15"/>
  <c r="AN697" i="15"/>
  <c r="AT697" i="15"/>
  <c r="AU697" i="15"/>
  <c r="AV697" i="15"/>
  <c r="AX697" i="15"/>
  <c r="AZ698" i="15"/>
  <c r="AK698" i="15"/>
  <c r="AL698" i="15"/>
  <c r="AN698" i="15"/>
  <c r="AT698" i="15"/>
  <c r="AU698" i="15"/>
  <c r="AV698" i="15"/>
  <c r="AX698" i="15"/>
  <c r="AK699" i="15"/>
  <c r="AL699" i="15"/>
  <c r="AN699" i="15"/>
  <c r="AT699" i="15"/>
  <c r="AU699" i="15"/>
  <c r="AV699" i="15"/>
  <c r="AX699" i="15"/>
  <c r="AO700" i="15"/>
  <c r="AK700" i="15"/>
  <c r="AL700" i="15"/>
  <c r="AN700" i="15"/>
  <c r="AT700" i="15"/>
  <c r="AU700" i="15"/>
  <c r="AV700" i="15"/>
  <c r="AX700" i="15"/>
  <c r="AZ701" i="15"/>
  <c r="AK701" i="15"/>
  <c r="AL701" i="15"/>
  <c r="AN701" i="15"/>
  <c r="AT701" i="15"/>
  <c r="AU701" i="15"/>
  <c r="AV701" i="15"/>
  <c r="AX701" i="15"/>
  <c r="AK702" i="15"/>
  <c r="AL702" i="15"/>
  <c r="AN702" i="15"/>
  <c r="AT702" i="15"/>
  <c r="AU702" i="15"/>
  <c r="AV702" i="15"/>
  <c r="AX702" i="15"/>
  <c r="AK703" i="15"/>
  <c r="AL703" i="15"/>
  <c r="AN703" i="15"/>
  <c r="AT703" i="15"/>
  <c r="AU703" i="15"/>
  <c r="AV703" i="15"/>
  <c r="AX703" i="15"/>
  <c r="AO704" i="15"/>
  <c r="AK704" i="15"/>
  <c r="AL704" i="15"/>
  <c r="AN704" i="15"/>
  <c r="AT704" i="15"/>
  <c r="AU704" i="15"/>
  <c r="AV704" i="15"/>
  <c r="AX704" i="15"/>
  <c r="AZ705" i="15"/>
  <c r="AK705" i="15"/>
  <c r="AL705" i="15"/>
  <c r="AN705" i="15"/>
  <c r="AT705" i="15"/>
  <c r="AU705" i="15"/>
  <c r="AV705" i="15"/>
  <c r="AX705" i="15"/>
  <c r="AQ706" i="15"/>
  <c r="AK706" i="15"/>
  <c r="AL706" i="15"/>
  <c r="AN706" i="15"/>
  <c r="AT706" i="15"/>
  <c r="AU706" i="15"/>
  <c r="AV706" i="15"/>
  <c r="AX706" i="15"/>
  <c r="AK707" i="15"/>
  <c r="AL707" i="15"/>
  <c r="AN707" i="15"/>
  <c r="AT707" i="15"/>
  <c r="AU707" i="15"/>
  <c r="AV707" i="15"/>
  <c r="AX707" i="15"/>
  <c r="AP708" i="15"/>
  <c r="AK708" i="15"/>
  <c r="AL708" i="15"/>
  <c r="AN708" i="15"/>
  <c r="AT708" i="15"/>
  <c r="AU708" i="15"/>
  <c r="AV708" i="15"/>
  <c r="AX708" i="15"/>
  <c r="AZ709" i="15"/>
  <c r="AK709" i="15"/>
  <c r="AL709" i="15"/>
  <c r="AN709" i="15"/>
  <c r="AT709" i="15"/>
  <c r="AU709" i="15"/>
  <c r="AV709" i="15"/>
  <c r="AX709" i="15"/>
  <c r="AZ710" i="15"/>
  <c r="AK710" i="15"/>
  <c r="AL710" i="15"/>
  <c r="AN710" i="15"/>
  <c r="AT710" i="15"/>
  <c r="AU710" i="15"/>
  <c r="AV710" i="15"/>
  <c r="AX710" i="15"/>
  <c r="AK711" i="15"/>
  <c r="AL711" i="15"/>
  <c r="AN711" i="15"/>
  <c r="AP712" i="15"/>
  <c r="AK712" i="15"/>
  <c r="AL712" i="15"/>
  <c r="AN712" i="15"/>
  <c r="AT712" i="15"/>
  <c r="AU712" i="15"/>
  <c r="AV712" i="15"/>
  <c r="AX712" i="15"/>
  <c r="AZ713" i="15"/>
  <c r="AK713" i="15"/>
  <c r="AL713" i="15"/>
  <c r="AN713" i="15"/>
  <c r="AT713" i="15"/>
  <c r="AU713" i="15"/>
  <c r="AV713" i="15"/>
  <c r="AX713" i="15"/>
  <c r="AS714" i="15"/>
  <c r="AK714" i="15"/>
  <c r="AL714" i="15"/>
  <c r="AN714" i="15"/>
  <c r="AT714" i="15"/>
  <c r="AU714" i="15"/>
  <c r="AV714" i="15"/>
  <c r="AX714" i="15"/>
  <c r="AK715" i="15"/>
  <c r="AL715" i="15"/>
  <c r="AN715" i="15"/>
  <c r="AT715" i="15"/>
  <c r="AU715" i="15"/>
  <c r="AV715" i="15"/>
  <c r="AX715" i="15"/>
  <c r="AP716" i="15"/>
  <c r="AK716" i="15"/>
  <c r="AL716" i="15"/>
  <c r="AN716" i="15"/>
  <c r="AT716" i="15"/>
  <c r="AU716" i="15"/>
  <c r="AV716" i="15"/>
  <c r="AX716" i="15"/>
  <c r="AZ717" i="15"/>
  <c r="AK717" i="15"/>
  <c r="AL717" i="15"/>
  <c r="AN717" i="15"/>
  <c r="AT717" i="15"/>
  <c r="AU717" i="15"/>
  <c r="AV717" i="15"/>
  <c r="AX717" i="15"/>
  <c r="AO718" i="15"/>
  <c r="AK718" i="15"/>
  <c r="AL718" i="15"/>
  <c r="AN718" i="15"/>
  <c r="AT718" i="15"/>
  <c r="AU718" i="15"/>
  <c r="AV718" i="15"/>
  <c r="AX718" i="15"/>
  <c r="AZ719" i="15"/>
  <c r="AK719" i="15"/>
  <c r="AL719" i="15"/>
  <c r="AN719" i="15"/>
  <c r="AT719" i="15"/>
  <c r="AU719" i="15"/>
  <c r="AV719" i="15"/>
  <c r="AX719" i="15"/>
  <c r="AK720" i="15"/>
  <c r="AL720" i="15"/>
  <c r="AN720" i="15"/>
  <c r="AT720" i="15"/>
  <c r="AU720" i="15"/>
  <c r="AV720" i="15"/>
  <c r="AX720" i="15"/>
  <c r="AZ721" i="15"/>
  <c r="AK721" i="15"/>
  <c r="AL721" i="15"/>
  <c r="AN721" i="15"/>
  <c r="AT721" i="15"/>
  <c r="AU721" i="15"/>
  <c r="AV721" i="15"/>
  <c r="AX721" i="15"/>
  <c r="AO722" i="15"/>
  <c r="AK722" i="15"/>
  <c r="AL722" i="15"/>
  <c r="AN722" i="15"/>
  <c r="AT722" i="15"/>
  <c r="AU722" i="15"/>
  <c r="AV722" i="15"/>
  <c r="AX722" i="15"/>
  <c r="AP723" i="15"/>
  <c r="AK723" i="15"/>
  <c r="AL723" i="15"/>
  <c r="AN723" i="15"/>
  <c r="AT723" i="15"/>
  <c r="AU723" i="15"/>
  <c r="AV723" i="15"/>
  <c r="AX723" i="15"/>
  <c r="AP724" i="15"/>
  <c r="AK724" i="15"/>
  <c r="AL724" i="15"/>
  <c r="AN724" i="15"/>
  <c r="AT724" i="15"/>
  <c r="AU724" i="15"/>
  <c r="AV724" i="15"/>
  <c r="AX724" i="15"/>
  <c r="AZ725" i="15"/>
  <c r="AK725" i="15"/>
  <c r="AL725" i="15"/>
  <c r="AN725" i="15"/>
  <c r="AT725" i="15"/>
  <c r="AU725" i="15"/>
  <c r="AV725" i="15"/>
  <c r="AX725" i="15"/>
  <c r="AS726" i="15"/>
  <c r="AK726" i="15"/>
  <c r="AL726" i="15"/>
  <c r="AN726" i="15"/>
  <c r="AT726" i="15"/>
  <c r="AU726" i="15"/>
  <c r="AV726" i="15"/>
  <c r="AX726" i="15"/>
  <c r="AK727" i="15"/>
  <c r="AL727" i="15"/>
  <c r="AN727" i="15"/>
  <c r="AT727" i="15"/>
  <c r="AU727" i="15"/>
  <c r="AV727" i="15"/>
  <c r="AX727" i="15"/>
  <c r="AO728" i="15"/>
  <c r="AK728" i="15"/>
  <c r="AL728" i="15"/>
  <c r="AN728" i="15"/>
  <c r="AT728" i="15"/>
  <c r="AU728" i="15"/>
  <c r="AV728" i="15"/>
  <c r="AX728" i="15"/>
  <c r="AZ729" i="15"/>
  <c r="AK729" i="15"/>
  <c r="AL729" i="15"/>
  <c r="AN729" i="15"/>
  <c r="AT729" i="15"/>
  <c r="AU729" i="15"/>
  <c r="AV729" i="15"/>
  <c r="AX729" i="15"/>
  <c r="AO730" i="15"/>
  <c r="AK730" i="15"/>
  <c r="AL730" i="15"/>
  <c r="AN730" i="15"/>
  <c r="AT730" i="15"/>
  <c r="AU730" i="15"/>
  <c r="AV730" i="15"/>
  <c r="AX730" i="15"/>
  <c r="AO731" i="15"/>
  <c r="AK731" i="15"/>
  <c r="AL731" i="15"/>
  <c r="AN731" i="15"/>
  <c r="AT731" i="15"/>
  <c r="AU731" i="15"/>
  <c r="AV731" i="15"/>
  <c r="AX731" i="15"/>
  <c r="AP732" i="15"/>
  <c r="AK732" i="15"/>
  <c r="AL732" i="15"/>
  <c r="AN732" i="15"/>
  <c r="AT732" i="15"/>
  <c r="AU732" i="15"/>
  <c r="AV732" i="15"/>
  <c r="AX732" i="15"/>
  <c r="AZ733" i="15"/>
  <c r="AK733" i="15"/>
  <c r="AL733" i="15"/>
  <c r="AN733" i="15"/>
  <c r="AT733" i="15"/>
  <c r="AU733" i="15"/>
  <c r="AV733" i="15"/>
  <c r="AX733" i="15"/>
  <c r="AS734" i="15"/>
  <c r="AK734" i="15"/>
  <c r="AL734" i="15"/>
  <c r="AN734" i="15"/>
  <c r="AT734" i="15"/>
  <c r="AU734" i="15"/>
  <c r="AV734" i="15"/>
  <c r="AX734" i="15"/>
  <c r="AO735" i="15"/>
  <c r="AK735" i="15"/>
  <c r="AL735" i="15"/>
  <c r="AN735" i="15"/>
  <c r="AT735" i="15"/>
  <c r="AU735" i="15"/>
  <c r="AV735" i="15"/>
  <c r="AX735" i="15"/>
  <c r="AP736" i="15"/>
  <c r="AK736" i="15"/>
  <c r="AL736" i="15"/>
  <c r="AN736" i="15"/>
  <c r="AT736" i="15"/>
  <c r="AU736" i="15"/>
  <c r="AV736" i="15"/>
  <c r="AX736" i="15"/>
  <c r="AZ737" i="15"/>
  <c r="AK737" i="15"/>
  <c r="AL737" i="15"/>
  <c r="AN737" i="15"/>
  <c r="AT737" i="15"/>
  <c r="AU737" i="15"/>
  <c r="AV737" i="15"/>
  <c r="AX737" i="15"/>
  <c r="AK738" i="15"/>
  <c r="AL738" i="15"/>
  <c r="AN738" i="15"/>
  <c r="AT738" i="15"/>
  <c r="AU738" i="15"/>
  <c r="AV738" i="15"/>
  <c r="AX738" i="15"/>
  <c r="AS739" i="15"/>
  <c r="AK739" i="15"/>
  <c r="AL739" i="15"/>
  <c r="AN739" i="15"/>
  <c r="AT739" i="15"/>
  <c r="AU739" i="15"/>
  <c r="AV739" i="15"/>
  <c r="AX739" i="15"/>
  <c r="AP740" i="15"/>
  <c r="AK740" i="15"/>
  <c r="AL740" i="15"/>
  <c r="AN740" i="15"/>
  <c r="AT740" i="15"/>
  <c r="AU740" i="15"/>
  <c r="AV740" i="15"/>
  <c r="AX740" i="15"/>
  <c r="AZ741" i="15"/>
  <c r="AK741" i="15"/>
  <c r="AL741" i="15"/>
  <c r="AN741" i="15"/>
  <c r="AT741" i="15"/>
  <c r="AU741" i="15"/>
  <c r="AV741" i="15"/>
  <c r="AX741" i="15"/>
  <c r="AQ742" i="15"/>
  <c r="AK742" i="15"/>
  <c r="AL742" i="15"/>
  <c r="AN742" i="15"/>
  <c r="AT742" i="15"/>
  <c r="AU742" i="15"/>
  <c r="AV742" i="15"/>
  <c r="AX742" i="15"/>
  <c r="AO743" i="15"/>
  <c r="AK743" i="15"/>
  <c r="AL743" i="15"/>
  <c r="AN743" i="15"/>
  <c r="AT743" i="15"/>
  <c r="AU743" i="15"/>
  <c r="AV743" i="15"/>
  <c r="AX743" i="15"/>
  <c r="AP744" i="15"/>
  <c r="AK744" i="15"/>
  <c r="AL744" i="15"/>
  <c r="AN744" i="15"/>
  <c r="AT744" i="15"/>
  <c r="AU744" i="15"/>
  <c r="AV744" i="15"/>
  <c r="AX744" i="15"/>
  <c r="AZ745" i="15"/>
  <c r="AK745" i="15"/>
  <c r="AL745" i="15"/>
  <c r="AN745" i="15"/>
  <c r="AT745" i="15"/>
  <c r="AU745" i="15"/>
  <c r="AV745" i="15"/>
  <c r="AX745" i="15"/>
  <c r="AS746" i="15"/>
  <c r="AK746" i="15"/>
  <c r="AL746" i="15"/>
  <c r="AN746" i="15"/>
  <c r="AT746" i="15"/>
  <c r="AU746" i="15"/>
  <c r="AV746" i="15"/>
  <c r="AX746" i="15"/>
  <c r="AS747" i="15"/>
  <c r="AK747" i="15"/>
  <c r="AL747" i="15"/>
  <c r="AN747" i="15"/>
  <c r="AT747" i="15"/>
  <c r="AU747" i="15"/>
  <c r="AV747" i="15"/>
  <c r="AX747" i="15"/>
  <c r="AP748" i="15"/>
  <c r="AK748" i="15"/>
  <c r="AL748" i="15"/>
  <c r="AN748" i="15"/>
  <c r="AT748" i="15"/>
  <c r="AU748" i="15"/>
  <c r="AV748" i="15"/>
  <c r="AX748" i="15"/>
  <c r="AZ749" i="15"/>
  <c r="AK749" i="15"/>
  <c r="AL749" i="15"/>
  <c r="AN749" i="15"/>
  <c r="AT749" i="15"/>
  <c r="AU749" i="15"/>
  <c r="AV749" i="15"/>
  <c r="AX749" i="15"/>
  <c r="AO750" i="15"/>
  <c r="AK750" i="15"/>
  <c r="AL750" i="15"/>
  <c r="AN750" i="15"/>
  <c r="AT750" i="15"/>
  <c r="AU750" i="15"/>
  <c r="AV750" i="15"/>
  <c r="AX750" i="15"/>
  <c r="AS751" i="15"/>
  <c r="AK751" i="15"/>
  <c r="AL751" i="15"/>
  <c r="AN751" i="15"/>
  <c r="AT751" i="15"/>
  <c r="AU751" i="15"/>
  <c r="AV751" i="15"/>
  <c r="AX751" i="15"/>
  <c r="AS752" i="15"/>
  <c r="AK752" i="15"/>
  <c r="AL752" i="15"/>
  <c r="AN752" i="15"/>
  <c r="AT752" i="15"/>
  <c r="AU752" i="15"/>
  <c r="AV752" i="15"/>
  <c r="AX752" i="15"/>
  <c r="AZ753" i="15"/>
  <c r="AK753" i="15"/>
  <c r="AL753" i="15"/>
  <c r="AN753" i="15"/>
  <c r="AT753" i="15"/>
  <c r="AU753" i="15"/>
  <c r="AV753" i="15"/>
  <c r="AX753" i="15"/>
  <c r="AZ754" i="15"/>
  <c r="AK754" i="15"/>
  <c r="AL754" i="15"/>
  <c r="AN754" i="15"/>
  <c r="AT754" i="15"/>
  <c r="AU754" i="15"/>
  <c r="AV754" i="15"/>
  <c r="AX754" i="15"/>
  <c r="AS755" i="15"/>
  <c r="AK755" i="15"/>
  <c r="AL755" i="15"/>
  <c r="AN755" i="15"/>
  <c r="AT755" i="15"/>
  <c r="AU755" i="15"/>
  <c r="AV755" i="15"/>
  <c r="AX755" i="15"/>
  <c r="AQ756" i="15"/>
  <c r="AK756" i="15"/>
  <c r="AL756" i="15"/>
  <c r="AN756" i="15"/>
  <c r="AT756" i="15"/>
  <c r="AU756" i="15"/>
  <c r="AV756" i="15"/>
  <c r="AX756" i="15"/>
  <c r="AZ757" i="15"/>
  <c r="AK757" i="15"/>
  <c r="AL757" i="15"/>
  <c r="AN757" i="15"/>
  <c r="AT757" i="15"/>
  <c r="AU757" i="15"/>
  <c r="AV757" i="15"/>
  <c r="AX757" i="15"/>
  <c r="AK758" i="15"/>
  <c r="AL758" i="15"/>
  <c r="AN758" i="15"/>
  <c r="AT758" i="15"/>
  <c r="AU758" i="15"/>
  <c r="AV758" i="15"/>
  <c r="AX758" i="15"/>
  <c r="AK759" i="15"/>
  <c r="AL759" i="15"/>
  <c r="AN759" i="15"/>
  <c r="AT759" i="15"/>
  <c r="AU759" i="15"/>
  <c r="AV759" i="15"/>
  <c r="AX759" i="15"/>
  <c r="AQ760" i="15"/>
  <c r="AK760" i="15"/>
  <c r="AL760" i="15"/>
  <c r="AN760" i="15"/>
  <c r="AT760" i="15"/>
  <c r="AU760" i="15"/>
  <c r="AV760" i="15"/>
  <c r="AX760" i="15"/>
  <c r="AZ761" i="15"/>
  <c r="AK761" i="15"/>
  <c r="AL761" i="15"/>
  <c r="AN761" i="15"/>
  <c r="AT761" i="15"/>
  <c r="AU761" i="15"/>
  <c r="AV761" i="15"/>
  <c r="AX761" i="15"/>
  <c r="AK762" i="15"/>
  <c r="AL762" i="15"/>
  <c r="AN762" i="15"/>
  <c r="AT762" i="15"/>
  <c r="AU762" i="15"/>
  <c r="AV762" i="15"/>
  <c r="AX762" i="15"/>
  <c r="AK763" i="15"/>
  <c r="AL763" i="15"/>
  <c r="AN763" i="15"/>
  <c r="AT763" i="15"/>
  <c r="AU763" i="15"/>
  <c r="AV763" i="15"/>
  <c r="AX763" i="15"/>
  <c r="AS764" i="15"/>
  <c r="AK764" i="15"/>
  <c r="AL764" i="15"/>
  <c r="AN764" i="15"/>
  <c r="AT764" i="15"/>
  <c r="AU764" i="15"/>
  <c r="AV764" i="15"/>
  <c r="AX764" i="15"/>
  <c r="AZ765" i="15"/>
  <c r="AK765" i="15"/>
  <c r="AL765" i="15"/>
  <c r="AN765" i="15"/>
  <c r="AT765" i="15"/>
  <c r="AU765" i="15"/>
  <c r="AV765" i="15"/>
  <c r="AX765" i="15"/>
  <c r="AO766" i="15"/>
  <c r="AK766" i="15"/>
  <c r="AL766" i="15"/>
  <c r="AN766" i="15"/>
  <c r="AT766" i="15"/>
  <c r="AU766" i="15"/>
  <c r="AV766" i="15"/>
  <c r="AX766" i="15"/>
  <c r="AS767" i="15"/>
  <c r="AK767" i="15"/>
  <c r="AL767" i="15"/>
  <c r="AN767" i="15"/>
  <c r="AT767" i="15"/>
  <c r="AU767" i="15"/>
  <c r="AV767" i="15"/>
  <c r="AX767" i="15"/>
  <c r="AQ768" i="15"/>
  <c r="AK768" i="15"/>
  <c r="AL768" i="15"/>
  <c r="AN768" i="15"/>
  <c r="AT768" i="15"/>
  <c r="AU768" i="15"/>
  <c r="AV768" i="15"/>
  <c r="AX768" i="15"/>
  <c r="AZ769" i="15"/>
  <c r="AK769" i="15"/>
  <c r="AL769" i="15"/>
  <c r="AN769" i="15"/>
  <c r="AT769" i="15"/>
  <c r="AU769" i="15"/>
  <c r="AV769" i="15"/>
  <c r="AX769" i="15"/>
  <c r="AK770" i="15"/>
  <c r="AL770" i="15"/>
  <c r="AN770" i="15"/>
  <c r="AT770" i="15"/>
  <c r="AU770" i="15"/>
  <c r="AV770" i="15"/>
  <c r="AX770" i="15"/>
  <c r="AS771" i="15"/>
  <c r="AK771" i="15"/>
  <c r="AL771" i="15"/>
  <c r="AN771" i="15"/>
  <c r="AT771" i="15"/>
  <c r="AU771" i="15"/>
  <c r="AV771" i="15"/>
  <c r="AX771" i="15"/>
  <c r="AQ772" i="15"/>
  <c r="AK772" i="15"/>
  <c r="AL772" i="15"/>
  <c r="AN772" i="15"/>
  <c r="AT772" i="15"/>
  <c r="AU772" i="15"/>
  <c r="AV772" i="15"/>
  <c r="AX772" i="15"/>
  <c r="AZ773" i="15"/>
  <c r="AK773" i="15"/>
  <c r="AL773" i="15"/>
  <c r="AN773" i="15"/>
  <c r="AT773" i="15"/>
  <c r="AU773" i="15"/>
  <c r="AV773" i="15"/>
  <c r="AX773" i="15"/>
  <c r="AO774" i="15"/>
  <c r="AK774" i="15"/>
  <c r="AL774" i="15"/>
  <c r="AN774" i="15"/>
  <c r="AT774" i="15"/>
  <c r="AU774" i="15"/>
  <c r="AV774" i="15"/>
  <c r="AX774" i="15"/>
  <c r="AK775" i="15"/>
  <c r="AL775" i="15"/>
  <c r="AN775" i="15"/>
  <c r="AT775" i="15"/>
  <c r="AU775" i="15"/>
  <c r="AV775" i="15"/>
  <c r="AX775" i="15"/>
  <c r="AK776" i="15"/>
  <c r="AL776" i="15"/>
  <c r="AN776" i="15"/>
  <c r="AT776" i="15"/>
  <c r="AU776" i="15"/>
  <c r="AV776" i="15"/>
  <c r="AX776" i="15"/>
  <c r="AZ777" i="15"/>
  <c r="AK777" i="15"/>
  <c r="AL777" i="15"/>
  <c r="AN777" i="15"/>
  <c r="AT777" i="15"/>
  <c r="AU777" i="15"/>
  <c r="AV777" i="15"/>
  <c r="AX777" i="15"/>
  <c r="AO778" i="15"/>
  <c r="AK778" i="15"/>
  <c r="AL778" i="15"/>
  <c r="AN778" i="15"/>
  <c r="AT778" i="15"/>
  <c r="AU778" i="15"/>
  <c r="AV778" i="15"/>
  <c r="AX778" i="15"/>
  <c r="AQ779" i="15"/>
  <c r="AK779" i="15"/>
  <c r="AL779" i="15"/>
  <c r="AN779" i="15"/>
  <c r="AT779" i="15"/>
  <c r="AU779" i="15"/>
  <c r="AV779" i="15"/>
  <c r="AX779" i="15"/>
  <c r="AS780" i="15"/>
  <c r="AK780" i="15"/>
  <c r="AL780" i="15"/>
  <c r="AN780" i="15"/>
  <c r="AT780" i="15"/>
  <c r="AU780" i="15"/>
  <c r="AV780" i="15"/>
  <c r="AX780" i="15"/>
  <c r="AZ781" i="15"/>
  <c r="AK781" i="15"/>
  <c r="AL781" i="15"/>
  <c r="AN781" i="15"/>
  <c r="AT781" i="15"/>
  <c r="AU781" i="15"/>
  <c r="AV781" i="15"/>
  <c r="AX781" i="15"/>
  <c r="AK782" i="15"/>
  <c r="AL782" i="15"/>
  <c r="AN782" i="15"/>
  <c r="AT782" i="15"/>
  <c r="AU782" i="15"/>
  <c r="AV782" i="15"/>
  <c r="AX782" i="15"/>
  <c r="AQ783" i="15"/>
  <c r="AK783" i="15"/>
  <c r="AL783" i="15"/>
  <c r="AN783" i="15"/>
  <c r="AT783" i="15"/>
  <c r="AU783" i="15"/>
  <c r="AV783" i="15"/>
  <c r="AX783" i="15"/>
  <c r="AS784" i="15"/>
  <c r="AK784" i="15"/>
  <c r="AL784" i="15"/>
  <c r="AN784" i="15"/>
  <c r="AT784" i="15"/>
  <c r="AU784" i="15"/>
  <c r="AV784" i="15"/>
  <c r="AX784" i="15"/>
  <c r="AZ785" i="15"/>
  <c r="AK785" i="15"/>
  <c r="AL785" i="15"/>
  <c r="AN785" i="15"/>
  <c r="AT785" i="15"/>
  <c r="AU785" i="15"/>
  <c r="AV785" i="15"/>
  <c r="AX785" i="15"/>
  <c r="AS786" i="15"/>
  <c r="AK786" i="15"/>
  <c r="AL786" i="15"/>
  <c r="AN786" i="15"/>
  <c r="AT786" i="15"/>
  <c r="AU786" i="15"/>
  <c r="AV786" i="15"/>
  <c r="AX786" i="15"/>
  <c r="AQ787" i="15"/>
  <c r="AK787" i="15"/>
  <c r="AL787" i="15"/>
  <c r="AN787" i="15"/>
  <c r="AT787" i="15"/>
  <c r="AU787" i="15"/>
  <c r="AV787" i="15"/>
  <c r="AX787" i="15"/>
  <c r="AQ788" i="15"/>
  <c r="AK788" i="15"/>
  <c r="AL788" i="15"/>
  <c r="AN788" i="15"/>
  <c r="AT788" i="15"/>
  <c r="AU788" i="15"/>
  <c r="AV788" i="15"/>
  <c r="AX788" i="15"/>
  <c r="AO789" i="15"/>
  <c r="AK789" i="15"/>
  <c r="AL789" i="15"/>
  <c r="AN789" i="15"/>
  <c r="AT789" i="15"/>
  <c r="AU789" i="15"/>
  <c r="AV789" i="15"/>
  <c r="AX789" i="15"/>
  <c r="AO790" i="15"/>
  <c r="AK790" i="15"/>
  <c r="AL790" i="15"/>
  <c r="AN790" i="15"/>
  <c r="AT790" i="15"/>
  <c r="AU790" i="15"/>
  <c r="AV790" i="15"/>
  <c r="AX790" i="15"/>
  <c r="AO791" i="15"/>
  <c r="AK791" i="15"/>
  <c r="AL791" i="15"/>
  <c r="AN791" i="15"/>
  <c r="AT791" i="15"/>
  <c r="AU791" i="15"/>
  <c r="AV791" i="15"/>
  <c r="AX791" i="15"/>
  <c r="AP792" i="15"/>
  <c r="AK792" i="15"/>
  <c r="AL792" i="15"/>
  <c r="AN792" i="15"/>
  <c r="AT792" i="15"/>
  <c r="AU792" i="15"/>
  <c r="AV792" i="15"/>
  <c r="AX792" i="15"/>
  <c r="AO793" i="15"/>
  <c r="AK793" i="15"/>
  <c r="AL793" i="15"/>
  <c r="AN793" i="15"/>
  <c r="AT793" i="15"/>
  <c r="AU793" i="15"/>
  <c r="AV793" i="15"/>
  <c r="AX793"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<sst xmlns="http://schemas.openxmlformats.org/spreadsheetml/2006/main" count="25152" uniqueCount="3457">
  <si>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</si>
  <si>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</si>
  <si>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</si>
  <si>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</si>
  <si>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</si>
  <si>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</si>
  <si>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</si>
  <si>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</si>
  <si>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</si>
  <si>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</si>
  <si>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</si>
  <si>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</si>
  <si>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</si>
  <si>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</si>
  <si>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</si>
  <si>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</si>
  <si>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</si>
  <si>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</si>
  <si>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</si>
  <si>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</si>
  <si>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</si>
  <si>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</si>
  <si>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</si>
  <si>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</si>
  <si>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</si>
  <si>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</si>
  <si>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</si>
  <si>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</si>
  <si>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</si>
  <si>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</si>
  <si>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</si>
  <si>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</si>
  <si>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</si>
  <si>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</si>
  <si>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</si>
  <si>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</si>
  <si>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</si>
  <si>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</si>
  <si>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</si>
  <si>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</si>
  <si>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</si>
  <si>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</si>
  <si>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</si>
  <si>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</si>
  <si>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</si>
  <si>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</si>
  <si>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</si>
  <si>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</si>
  <si>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</si>
  <si>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</si>
  <si>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</si>
  <si>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</si>
  <si>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</si>
  <si>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</si>
  <si>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</si>
  <si>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</si>
  <si>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</si>
  <si>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</si>
  <si>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</si>
  <si>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</si>
  <si>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</si>
  <si>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</si>
  <si>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</si>
  <si>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</si>
  <si>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</si>
  <si>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</si>
  <si>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</si>
  <si>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</si>
  <si>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</si>
  <si>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</si>
  <si>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</si>
  <si>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</si>
  <si>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</si>
  <si>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</si>
  <si>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</si>
  <si>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</si>
  <si>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</si>
  <si>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</si>
  <si>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</si>
  <si>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</si>
  <si>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</si>
  <si>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</si>
  <si>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</si>
  <si>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</si>
  <si>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</si>
  <si>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</si>
  <si>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</si>
  <si>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</si>
  <si>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</si>
  <si>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</si>
  <si>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</si>
  <si>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</si>
  <si>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</si>
  <si>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</si>
  <si>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</si>
  <si>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</si>
  <si>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</si>
  <si>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</si>
  <si>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</si>
  <si>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</si>
  <si>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</si>
  <si>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</si>
  <si>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</si>
  <si>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</si>
  <si>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</si>
  <si>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</si>
  <si>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</si>
  <si>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</si>
  <si>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</si>
  <si>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</si>
  <si>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</si>
  <si>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</si>
  <si>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</si>
  <si>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</si>
  <si>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</si>
  <si>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</si>
  <si>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</si>
  <si>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</si>
  <si>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</si>
  <si>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</si>
  <si>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</si>
  <si>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</si>
  <si>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</si>
  <si>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</si>
  <si>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</si>
  <si>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</si>
  <si>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</si>
  <si>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</si>
  <si>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</si>
  <si>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</si>
  <si>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</si>
  <si>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</si>
  <si>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</si>
  <si>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</si>
  <si>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</si>
  <si>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</si>
  <si>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</si>
  <si>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</si>
  <si>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</si>
  <si>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</si>
  <si>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</si>
  <si>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</si>
  <si>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</si>
  <si>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</si>
  <si>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</si>
  <si>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</si>
  <si>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</si>
  <si>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</si>
  <si>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</si>
  <si>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</si>
  <si>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</si>
  <si>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</si>
  <si>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</si>
  <si>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</si>
  <si>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</si>
  <si>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</si>
  <si>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</si>
  <si>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</si>
  <si>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</si>
  <si>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</si>
  <si>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</si>
  <si>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</si>
  <si>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</si>
  <si>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</si>
  <si>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</si>
  <si>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</si>
  <si>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</si>
  <si>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</si>
  <si>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</si>
  <si>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</si>
  <si>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</si>
  <si>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</si>
  <si>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</si>
  <si>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</si>
  <si>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</si>
  <si>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</si>
  <si>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</si>
  <si>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</si>
  <si>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</si>
  <si>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</si>
  <si>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</si>
  <si>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</si>
  <si>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</si>
  <si>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</si>
  <si>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</si>
  <si>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</si>
  <si>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</si>
  <si>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</si>
  <si>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</si>
  <si>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</si>
  <si>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</si>
  <si>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</si>
  <si>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</si>
  <si>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</si>
  <si>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</si>
  <si>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</si>
  <si>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</si>
  <si>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</si>
  <si>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</si>
  <si>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</si>
  <si>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</si>
  <si>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</si>
  <si>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</si>
  <si>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</si>
  <si>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</si>
  <si>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</si>
  <si>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</si>
  <si>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</si>
  <si>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</si>
  <si>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</si>
  <si>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</si>
  <si>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</si>
  <si>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</si>
  <si>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</si>
  <si>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</si>
  <si>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</si>
  <si>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</si>
  <si>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</si>
  <si>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</si>
  <si>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</si>
  <si>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</si>
  <si>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</si>
  <si>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</si>
  <si>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</si>
  <si>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</si>
  <si>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</si>
  <si>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</si>
  <si>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</si>
  <si>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</si>
  <si>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</si>
  <si>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</si>
  <si>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</si>
  <si>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</si>
  <si>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</si>
  <si>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</si>
  <si>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</si>
  <si>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</si>
  <si>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</si>
  <si>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</si>
  <si>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</si>
  <si>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</si>
  <si>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</si>
  <si>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</si>
  <si>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</si>
  <si>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</si>
  <si>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</si>
  <si>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</si>
  <si>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</si>
  <si>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</si>
  <si>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</si>
  <si>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</si>
  <si>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</si>
  <si>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</si>
  <si>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</si>
  <si>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</si>
  <si>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</si>
  <si>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</si>
  <si>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</si>
  <si>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</si>
  <si>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</si>
  <si>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</si>
  <si>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</si>
  <si>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</si>
  <si>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</si>
  <si>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</si>
  <si>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</si>
  <si>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</si>
  <si>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</si>
  <si>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</si>
  <si>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</si>
  <si>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</si>
  <si>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</si>
  <si>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</si>
  <si>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</si>
  <si>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</si>
  <si>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</si>
  <si>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</si>
  <si>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</si>
  <si>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</si>
  <si>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</si>
  <si>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</si>
  <si>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</si>
  <si>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</si>
  <si>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</si>
  <si>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</si>
  <si>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</si>
  <si>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</si>
  <si>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</si>
  <si>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</si>
  <si>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</si>
  <si>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</si>
  <si>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</si>
  <si>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</si>
  <si>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</si>
  <si>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</si>
  <si>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</si>
  <si>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</si>
  <si>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</si>
  <si>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</si>
  <si>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</si>
  <si>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</si>
  <si>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</si>
  <si>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</si>
  <si>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</si>
  <si>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</si>
  <si>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</si>
  <si>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</si>
  <si>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</si>
  <si>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</si>
  <si>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</si>
  <si>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</si>
  <si>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</si>
  <si>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</si>
  <si>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</si>
  <si>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</si>
  <si>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</si>
  <si>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</si>
  <si>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</si>
  <si>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</si>
  <si>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</si>
  <si>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</si>
  <si>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</si>
  <si>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</si>
  <si>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</si>
  <si>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</si>
  <si>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</si>
  <si>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</si>
  <si>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</si>
  <si>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</si>
  <si>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</si>
  <si>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</si>
  <si>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</si>
  <si>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</si>
  <si>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</si>
  <si>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</si>
  <si>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</si>
  <si>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</si>
  <si>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</si>
  <si>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</si>
  <si>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</si>
  <si>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</si>
  <si>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</si>
  <si>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</si>
  <si>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</si>
  <si>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</si>
  <si>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</si>
  <si>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</si>
  <si>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</si>
  <si>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</si>
  <si>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</si>
  <si>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</si>
  <si>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</si>
  <si>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</si>
  <si>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</si>
  <si>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</si>
  <si>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</si>
  <si>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</si>
  <si>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</si>
  <si>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</si>
  <si>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</si>
  <si>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</si>
  <si>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</si>
  <si>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</si>
  <si>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</si>
  <si>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</si>
  <si>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</si>
  <si>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</si>
  <si>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</si>
  <si>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</si>
  <si>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</si>
  <si>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</si>
  <si>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</si>
  <si>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</si>
  <si>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</si>
  <si>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</si>
  <si>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</si>
  <si>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</si>
  <si>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</si>
  <si>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</si>
  <si>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</si>
  <si>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</si>
  <si>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</si>
  <si>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</si>
  <si>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</si>
  <si>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</si>
  <si>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</si>
  <si>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</si>
  <si>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</si>
  <si>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</si>
  <si>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</si>
  <si>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</si>
  <si>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</si>
  <si>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</si>
  <si>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</si>
  <si>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</si>
  <si>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</si>
  <si>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</si>
  <si>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</si>
  <si>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</si>
  <si>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</si>
  <si>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</si>
  <si>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</si>
  <si>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</si>
  <si>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</si>
  <si>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</si>
  <si>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</si>
  <si>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</si>
  <si>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</si>
  <si>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</si>
  <si>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</si>
  <si>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</si>
  <si>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</si>
  <si>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</si>
  <si>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</si>
  <si>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</si>
  <si>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</si>
  <si>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</si>
  <si>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</si>
  <si>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</si>
  <si>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</si>
  <si>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</si>
  <si>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</si>
  <si>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</si>
  <si>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</si>
  <si>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</si>
  <si>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</si>
  <si>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</si>
  <si>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</si>
  <si>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</si>
  <si>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</si>
  <si>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</si>
  <si>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</si>
  <si>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</si>
  <si>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</si>
  <si>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</si>
  <si>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</si>
  <si>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</si>
  <si>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</si>
  <si>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</si>
  <si>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</si>
  <si>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</si>
  <si>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</si>
  <si>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</si>
  <si>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</si>
  <si>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</si>
  <si>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</si>
  <si>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</si>
  <si>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</si>
  <si>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</si>
  <si>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</si>
  <si>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</si>
  <si>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</si>
  <si>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</si>
  <si>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</si>
  <si>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</si>
  <si>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</si>
  <si>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</si>
  <si>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</si>
  <si>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</si>
  <si>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</si>
  <si>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</si>
  <si>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</si>
  <si>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</si>
  <si>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</si>
  <si>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</si>
  <si>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</si>
  <si>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</si>
  <si>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</si>
  <si>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</si>
  <si>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</si>
  <si>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</si>
  <si>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</si>
  <si>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</si>
  <si>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</si>
  <si>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</si>
  <si>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</si>
  <si>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</si>
  <si>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</si>
  <si>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</si>
  <si>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</si>
  <si>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</si>
  <si>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</si>
  <si>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</si>
  <si>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</si>
  <si>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</si>
  <si>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</si>
  <si>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</si>
  <si>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</si>
  <si>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</si>
  <si>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</si>
  <si>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</si>
  <si>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</si>
  <si>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</si>
  <si>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</si>
  <si>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</si>
  <si>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</si>
  <si>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</si>
  <si>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</si>
  <si>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</si>
  <si>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</si>
  <si>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</si>
  <si>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</si>
  <si>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</si>
  <si>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</si>
  <si>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</si>
  <si>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</si>
  <si>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</si>
  <si>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</si>
  <si>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</si>
  <si>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</si>
  <si>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</si>
  <si>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</si>
  <si>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</si>
  <si>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</si>
  <si>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</si>
  <si>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</si>
  <si>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</si>
  <si>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</si>
  <si>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</si>
  <si>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</si>
  <si>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</si>
  <si>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</si>
  <si>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</si>
  <si>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</si>
  <si>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</si>
  <si>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</si>
  <si>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</si>
  <si>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</si>
  <si>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</si>
  <si>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</si>
  <si>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</si>
  <si>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</si>
  <si>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</si>
  <si>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</si>
  <si>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</si>
  <si>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</si>
  <si>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</si>
  <si>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</si>
  <si>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</si>
  <si>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</si>
  <si>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</si>
  <si>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</si>
  <si>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</si>
  <si>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</si>
  <si>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</si>
  <si>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</si>
  <si>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</si>
  <si>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</si>
  <si>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</si>
  <si>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</si>
  <si>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</si>
  <si>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</si>
  <si>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</si>
  <si>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</si>
  <si>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</si>
  <si>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</si>
  <si>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</si>
  <si>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</si>
  <si>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</si>
  <si>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</si>
  <si>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</si>
  <si>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</si>
  <si>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</si>
  <si>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</si>
  <si>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</si>
  <si>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</si>
  <si>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</si>
  <si>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</si>
  <si>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</si>
  <si>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</si>
  <si>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</si>
  <si>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</si>
  <si>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</si>
  <si>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</si>
  <si>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</si>
  <si>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</si>
  <si>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</si>
  <si>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</si>
  <si>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</si>
  <si>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</si>
  <si>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</si>
  <si>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</si>
  <si>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</si>
  <si>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</si>
  <si>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</si>
  <si>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</si>
  <si>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</si>
  <si>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</si>
  <si>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</si>
  <si>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</si>
  <si>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</si>
  <si>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</si>
  <si>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</si>
  <si>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</si>
  <si>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</si>
  <si>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</si>
  <si>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</si>
  <si>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</si>
  <si>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</si>
  <si>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</si>
  <si>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</si>
  <si>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</si>
  <si>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</si>
  <si>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</si>
  <si>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</si>
  <si>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</si>
  <si>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</si>
  <si>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</si>
  <si>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</si>
  <si>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</si>
  <si>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</si>
  <si>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</si>
  <si>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</si>
  <si>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</si>
  <si>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</si>
  <si>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</si>
  <si>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</si>
  <si>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</si>
  <si>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</si>
  <si>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</si>
  <si>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</si>
  <si>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</si>
  <si>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</si>
  <si>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</si>
  <si>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</si>
  <si>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</si>
  <si>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</si>
  <si>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</si>
  <si>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</si>
  <si>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</si>
  <si>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</si>
  <si>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</si>
  <si>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</si>
  <si>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</si>
  <si>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</si>
  <si>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</si>
  <si>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</si>
  <si>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</si>
  <si>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</si>
  <si>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</si>
  <si>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</si>
  <si>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</si>
  <si>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</si>
  <si>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</si>
  <si>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</si>
  <si>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</si>
  <si>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</si>
  <si>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</si>
  <si>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</si>
  <si>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</si>
  <si>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</si>
  <si>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</si>
  <si>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</si>
  <si>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</si>
  <si>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</si>
  <si>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</si>
  <si>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</si>
  <si>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</si>
  <si>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</si>
  <si>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</si>
  <si>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</si>
  <si>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</si>
  <si>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</si>
  <si>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</si>
  <si>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</si>
  <si>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</si>
  <si>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</si>
  <si>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</si>
  <si>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</si>
  <si>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</si>
  <si>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</si>
  <si>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</si>
  <si>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</si>
  <si>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</si>
  <si>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</si>
  <si>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</si>
  <si>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</si>
  <si>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</si>
  <si>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</si>
  <si>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</si>
  <si>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</si>
  <si>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</si>
  <si>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</si>
  <si>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</si>
  <si>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</si>
  <si>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</si>
  <si>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</si>
  <si>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</si>
  <si>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</si>
  <si>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</si>
  <si>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</si>
  <si>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</si>
  <si>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</si>
  <si>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</si>
  <si>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</si>
  <si>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</si>
  <si>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</si>
  <si>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</si>
  <si>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</si>
  <si>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</si>
  <si>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</si>
  <si>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</si>
  <si>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</si>
  <si>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</si>
  <si>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</si>
  <si>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</si>
  <si>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</si>
  <si>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</si>
  <si>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</si>
  <si>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</si>
  <si>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</si>
  <si>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</si>
  <si>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</si>
  <si>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</si>
  <si>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</si>
  <si>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</si>
  <si>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</si>
  <si>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</si>
  <si>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</si>
  <si>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</si>
  <si>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</si>
  <si>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</si>
  <si>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</si>
  <si>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</si>
  <si>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</si>
  <si>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</si>
  <si>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</si>
  <si>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</si>
  <si>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</si>
  <si>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</si>
  <si>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</si>
  <si>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</si>
  <si>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</si>
  <si>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</si>
  <si>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</si>
  <si>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</si>
  <si>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</si>
  <si>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</si>
  <si>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</si>
  <si>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</si>
  <si>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</si>
  <si>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</si>
  <si>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</si>
  <si>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</si>
  <si>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</si>
  <si>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</si>
  <si>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</si>
  <si>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</si>
  <si>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</si>
  <si>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</si>
  <si>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</si>
  <si>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</si>
  <si>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</si>
  <si>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</si>
  <si>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</si>
  <si>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</si>
  <si>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</si>
  <si>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</si>
  <si>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</si>
  <si>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</si>
  <si>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</si>
  <si>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</si>
  <si>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</si>
  <si>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</si>
  <si>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</si>
  <si>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</si>
  <si>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</si>
  <si>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</si>
  <si>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</si>
  <si>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</si>
  <si>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</si>
  <si>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</si>
  <si>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</si>
  <si>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</si>
  <si>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</si>
  <si>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</si>
  <si>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</si>
  <si>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</si>
  <si>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</si>
  <si>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</si>
  <si>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</si>
  <si>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</si>
  <si>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</si>
  <si>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</si>
  <si>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</si>
  <si>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</si>
  <si>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</si>
  <si>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</si>
  <si>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</si>
  <si>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</si>
  <si>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</si>
  <si>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</si>
  <si>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</si>
  <si>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</si>
  <si>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</si>
  <si>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</si>
  <si>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</si>
  <si>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</si>
  <si>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</si>
  <si>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</si>
  <si>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</si>
  <si>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</si>
  <si>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</si>
  <si>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</si>
  <si>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</si>
  <si>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</si>
  <si>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</si>
  <si>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</si>
  <si>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</si>
  <si>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</si>
  <si>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</si>
  <si>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</si>
  <si>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</si>
  <si>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</si>
  <si>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</si>
  <si>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</si>
  <si>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</si>
  <si>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</si>
  <si>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</si>
  <si>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</si>
  <si>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</si>
  <si>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</si>
  <si>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</si>
  <si>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</si>
  <si>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</si>
  <si>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</si>
  <si>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</si>
  <si>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</si>
  <si>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</si>
  <si>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</si>
  <si>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</si>
  <si>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</si>
  <si>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</si>
  <si>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</si>
  <si>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</si>
  <si>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</si>
  <si>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</si>
  <si>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</si>
  <si>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</si>
  <si>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</si>
  <si>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</si>
  <si>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</si>
  <si>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</si>
  <si>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</si>
  <si>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</si>
  <si>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</si>
  <si>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</si>
  <si>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</si>
  <si>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</si>
  <si>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</si>
  <si>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</si>
  <si>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</si>
  <si>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</si>
  <si>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</si>
  <si>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</si>
  <si>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</si>
  <si>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</si>
  <si>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</si>
  <si>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</si>
  <si>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</si>
  <si>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</si>
  <si>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</si>
  <si>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</si>
  <si>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</si>
  <si>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</si>
  <si>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</si>
  <si>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</si>
  <si>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</si>
  <si>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</si>
  <si>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</si>
  <si>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</si>
  <si>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</si>
  <si>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</si>
  <si>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</si>
  <si>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</si>
  <si>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</si>
  <si>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</si>
  <si>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</si>
  <si>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</si>
  <si>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</si>
  <si>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</si>
  <si>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</si>
  <si>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</si>
  <si>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</si>
  <si>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</si>
  <si>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</si>
  <si>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</si>
  <si>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</si>
  <si>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</si>
  <si>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</si>
  <si>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</si>
  <si>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</si>
  <si>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</si>
  <si>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</si>
  <si>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</si>
  <si>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</si>
  <si>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</si>
  <si>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</si>
  <si>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</si>
  <si>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</si>
  <si>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</si>
  <si>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</si>
  <si>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</si>
  <si>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</si>
  <si>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</si>
  <si>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</si>
  <si>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</si>
  <si>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</si>
  <si>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</si>
  <si>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</si>
  <si>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</si>
  <si>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</si>
  <si>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</si>
  <si>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</si>
  <si>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</si>
  <si>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</si>
  <si>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</si>
  <si>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</si>
  <si>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</si>
  <si>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</si>
  <si>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</si>
  <si>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</si>
  <si>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</si>
  <si>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</si>
  <si>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</si>
  <si>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</si>
  <si>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</si>
  <si>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</si>
  <si>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</si>
  <si>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</si>
  <si>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</si>
  <si>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</si>
  <si>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</si>
  <si>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</si>
  <si>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</si>
  <si>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</si>
  <si>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</si>
  <si>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</si>
  <si>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</si>
  <si>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</si>
  <si>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</si>
  <si>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</si>
  <si>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</si>
  <si>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</si>
  <si>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</si>
  <si>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</si>
  <si>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</si>
  <si>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</si>
  <si>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</si>
  <si>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</si>
  <si>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</si>
  <si>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</si>
  <si>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</si>
  <si>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</si>
  <si>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</si>
  <si>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</si>
  <si>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</si>
  <si>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</si>
  <si>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</si>
  <si>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</si>
  <si>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</si>
  <si>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</si>
  <si>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</si>
  <si>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</si>
  <si>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</si>
  <si>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</si>
  <si>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</si>
  <si>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</si>
  <si>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</si>
  <si>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</si>
  <si>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</si>
  <si>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</si>
  <si>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</si>
  <si>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</si>
  <si>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</si>
  <si>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</si>
  <si>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</si>
  <si>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</si>
  <si>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</si>
  <si>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</si>
  <si>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</si>
  <si>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</si>
  <si>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</si>
  <si>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</si>
  <si>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</si>
  <si>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</si>
  <si>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</si>
  <si>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</si>
  <si>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</si>
  <si>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</si>
  <si>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</si>
  <si>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</si>
  <si>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</si>
  <si>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</si>
  <si>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</si>
  <si>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</si>
  <si>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</si>
  <si>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</si>
  <si>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</si>
  <si>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</si>
  <si>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</si>
  <si>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</si>
  <si>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</si>
  <si>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</si>
  <si>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</si>
  <si>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</si>
  <si>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</si>
  <si>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</si>
  <si>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</si>
  <si>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</si>
  <si>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</si>
  <si>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</si>
  <si>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</si>
  <si>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</si>
  <si>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</si>
  <si>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</si>
  <si>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</si>
  <si>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</si>
  <si>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</si>
  <si>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</si>
  <si>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</si>
  <si>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</si>
  <si>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</si>
  <si>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</si>
  <si>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</si>
  <si>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</si>
  <si>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</si>
  <si>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</si>
  <si>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</si>
  <si>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</si>
  <si>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</si>
  <si>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</si>
  <si>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</si>
  <si>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</si>
  <si>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</si>
  <si>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</si>
  <si>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</si>
  <si>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</si>
  <si>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</si>
  <si>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</si>
  <si>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</si>
  <si>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</si>
  <si>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</si>
  <si>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</si>
  <si>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</si>
  <si>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</si>
  <si>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</si>
  <si>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</si>
  <si>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</si>
  <si>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</si>
  <si>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</si>
  <si>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</si>
  <si>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</si>
  <si>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</si>
  <si>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</si>
  <si>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</si>
  <si>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</si>
  <si>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</si>
  <si>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</si>
  <si>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</si>
  <si>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</si>
  <si>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</si>
  <si>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</si>
  <si>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</si>
  <si>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</si>
  <si>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</si>
  <si>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</si>
  <si>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</si>
  <si>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</si>
  <si>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</si>
  <si>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</si>
  <si>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</si>
  <si>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</si>
  <si>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</si>
  <si>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</si>
  <si>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</si>
  <si>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</si>
  <si>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</si>
  <si>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</si>
  <si>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</si>
  <si>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</si>
  <si>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</si>
  <si>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</si>
  <si>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</si>
  <si>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</si>
  <si>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</si>
  <si>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</si>
  <si>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</si>
  <si>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</si>
  <si>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</si>
  <si>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</si>
  <si>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</si>
  <si>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</si>
  <si>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</si>
  <si>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</si>
  <si>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</si>
  <si>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</si>
  <si>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</si>
  <si>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</si>
  <si>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</si>
  <si>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</si>
  <si>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</si>
  <si>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</si>
  <si>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</si>
  <si>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</si>
  <si>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</si>
  <si>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</si>
  <si>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</si>
  <si>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</si>
  <si>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</si>
  <si>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</si>
  <si>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</si>
  <si>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</si>
  <si>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</si>
  <si>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</si>
  <si>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</si>
  <si>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</si>
  <si>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</si>
  <si>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</si>
  <si>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</si>
  <si>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</si>
  <si>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</si>
  <si>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</si>
  <si>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</si>
  <si>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</si>
  <si>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</si>
  <si>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</si>
  <si>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</si>
  <si>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</si>
  <si>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</si>
  <si>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</si>
  <si>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</si>
  <si>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</si>
  <si>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</si>
  <si>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</si>
  <si>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</si>
  <si>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</si>
  <si>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</si>
  <si>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</si>
  <si>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</si>
  <si>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</si>
  <si>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</si>
  <si>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</si>
  <si>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</si>
  <si>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</si>
  <si>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</si>
  <si>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</si>
  <si>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</si>
  <si>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</si>
  <si>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</si>
  <si>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</si>
  <si>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</si>
  <si>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</si>
  <si>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</si>
  <si>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</si>
  <si>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</si>
  <si>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</si>
  <si>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</si>
  <si>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</si>
  <si>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</si>
  <si>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</si>
  <si>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</si>
  <si>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</si>
  <si>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</si>
  <si>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</si>
  <si>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</si>
  <si>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</si>
  <si>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</si>
  <si>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</si>
  <si>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</si>
  <si>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</si>
  <si>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</si>
  <si>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</si>
  <si>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</si>
  <si>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</si>
  <si>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</si>
  <si>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</si>
  <si>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</si>
  <si>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</si>
  <si>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</si>
  <si>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</si>
  <si>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</si>
  <si>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</si>
  <si>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</si>
  <si>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</si>
  <si>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</si>
  <si>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</si>
  <si>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</si>
  <si>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</si>
  <si>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</si>
  <si>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</si>
  <si>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</si>
  <si>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</si>
  <si>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</si>
  <si>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</si>
  <si>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</si>
  <si>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</si>
  <si>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</si>
  <si>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</si>
  <si>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</si>
  <si>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</si>
  <si>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</si>
  <si>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</si>
  <si>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</si>
  <si>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</si>
  <si>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</si>
  <si>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</si>
  <si>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</si>
  <si>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</si>
  <si>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</si>
  <si>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</si>
  <si>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</si>
  <si>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</si>
  <si>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</si>
  <si>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</si>
  <si>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</si>
  <si>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</si>
  <si>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</si>
  <si>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</si>
  <si>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</si>
  <si>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</si>
  <si>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</si>
  <si>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</si>
  <si>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</si>
  <si>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</si>
  <si>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</si>
  <si>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</si>
  <si>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</si>
  <si>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</si>
  <si>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</si>
  <si>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</si>
  <si>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</si>
  <si>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</si>
  <si>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</si>
  <si>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</si>
  <si>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</si>
  <si>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</si>
  <si>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</si>
  <si>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</si>
  <si>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</si>
  <si>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</si>
  <si>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</si>
  <si>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</si>
  <si>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</si>
  <si>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</si>
  <si>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</si>
  <si>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</si>
  <si>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</si>
  <si>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</si>
  <si>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</si>
  <si>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</si>
  <si>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</si>
  <si>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</si>
  <si>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</si>
  <si>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</si>
  <si>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</si>
  <si>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</si>
  <si>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</si>
  <si>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</si>
  <si>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</si>
  <si>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</si>
  <si>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</si>
  <si>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</si>
  <si>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</si>
  <si>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</si>
  <si>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</si>
  <si>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</si>
  <si>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</si>
  <si>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</si>
  <si>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</si>
  <si>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</si>
  <si>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</si>
  <si>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</si>
  <si>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</si>
  <si>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</si>
  <si>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</si>
  <si>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</si>
  <si>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</si>
  <si>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</si>
  <si>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</si>
  <si>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</si>
  <si>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</si>
  <si>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</si>
  <si>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</si>
  <si>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</si>
  <si>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</si>
  <si>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</si>
  <si>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</si>
  <si>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</si>
  <si>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</si>
  <si>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</si>
  <si>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</si>
  <si>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</si>
  <si>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</si>
  <si>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</si>
  <si>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</si>
  <si>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</si>
  <si>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</si>
  <si>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</si>
  <si>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</si>
  <si>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</si>
  <si>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</si>
  <si>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</si>
  <si>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</si>
  <si>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</si>
  <si>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</si>
  <si>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</si>
  <si>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</si>
  <si>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</si>
  <si>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</si>
  <si>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</si>
  <si>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</si>
  <si>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</si>
  <si>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</si>
  <si>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</si>
  <si>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</si>
  <si>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</si>
  <si>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</si>
  <si>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</si>
  <si>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</si>
  <si>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</si>
  <si>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</si>
  <si>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</si>
  <si>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</si>
  <si>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</si>
  <si>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</si>
  <si>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</si>
  <si>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</si>
  <si>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</si>
  <si>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</si>
  <si>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</si>
  <si>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</si>
  <si>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</si>
  <si>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</si>
  <si>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</si>
  <si>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</si>
  <si>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</si>
  <si>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</si>
  <si>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</si>
  <si>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</si>
  <si>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</si>
  <si>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</si>
  <si>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</si>
  <si>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</si>
  <si>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</si>
  <si>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</si>
  <si>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</si>
  <si>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</si>
  <si>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</si>
  <si>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</si>
  <si>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</si>
  <si>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</si>
  <si>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</si>
  <si>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</si>
  <si>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</si>
  <si>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</si>
  <si>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</si>
  <si>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</si>
  <si>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</si>
  <si>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</si>
  <si>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</si>
  <si>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</si>
  <si>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</si>
  <si>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</si>
  <si>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</si>
  <si>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</si>
  <si>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</si>
  <si>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</si>
  <si>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</si>
  <si>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</si>
  <si>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</si>
  <si>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</si>
  <si>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</si>
  <si>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</si>
  <si>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</si>
  <si>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</si>
  <si>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</si>
  <si>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</si>
  <si>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</si>
  <si>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</si>
  <si>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</si>
  <si>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</si>
  <si>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</si>
  <si>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</si>
  <si>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</si>
  <si>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</si>
  <si>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</si>
  <si>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</si>
  <si>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</si>
  <si>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</si>
  <si>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</si>
  <si>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</si>
  <si>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</si>
  <si>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</si>
  <si>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</si>
  <si>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</si>
  <si>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</si>
  <si>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</si>
  <si>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</si>
  <si>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</si>
  <si>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</si>
  <si>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</si>
  <si>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</si>
  <si>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</si>
  <si>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</si>
  <si>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</si>
  <si>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</si>
  <si>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</si>
  <si>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</si>
  <si>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</si>
  <si>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</si>
  <si>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</si>
  <si>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</si>
  <si>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</si>
  <si>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</si>
  <si>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</si>
  <si>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</si>
  <si>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</si>
  <si>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</si>
  <si>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</si>
  <si>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</si>
  <si>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</si>
  <si>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</si>
  <si>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</si>
  <si>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</si>
  <si>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</si>
  <si>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</si>
  <si>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</si>
  <si>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</si>
  <si>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</si>
  <si>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</si>
  <si>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</si>
  <si>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</si>
  <si>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</si>
  <si>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</si>
  <si>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</si>
  <si>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</si>
  <si>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</si>
  <si>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</si>
  <si>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</si>
  <si>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</si>
  <si>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</si>
  <si>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</si>
  <si>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</si>
  <si>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</si>
  <si>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</si>
  <si>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</si>
  <si>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</si>
  <si>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</si>
  <si>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</si>
  <si>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</si>
  <si>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</si>
  <si>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</si>
  <si>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</si>
  <si>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</si>
  <si>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</si>
  <si>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</si>
  <si>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</si>
  <si>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</si>
  <si>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</si>
  <si>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</si>
  <si>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</si>
  <si>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</si>
  <si>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</si>
  <si>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</si>
  <si>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</si>
  <si>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</si>
  <si>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</si>
  <si>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</si>
  <si>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</si>
  <si>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</si>
  <si>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</si>
  <si>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</si>
  <si>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</si>
  <si>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</si>
  <si>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</si>
  <si>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</si>
  <si>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</si>
  <si>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</si>
  <si>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</si>
  <si>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</si>
  <si>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</si>
  <si>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</si>
  <si>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</si>
  <si>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</si>
  <si>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</si>
  <si>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</si>
  <si>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</si>
  <si>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</si>
  <si>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</si>
  <si>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</si>
  <si>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</si>
  <si>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</si>
  <si>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</si>
  <si>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</si>
  <si>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</si>
  <si>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</si>
  <si>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</si>
  <si>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</si>
  <si>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</si>
  <si>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</si>
  <si>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</si>
  <si>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</si>
  <si>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</si>
  <si>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</si>
  <si>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</si>
  <si>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</si>
  <si>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</si>
  <si>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</si>
  <si>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</si>
  <si>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</si>
  <si>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</si>
  <si>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</si>
  <si>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</si>
  <si>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</si>
  <si>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</si>
  <si>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</si>
  <si>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</si>
  <si>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</si>
  <si>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</si>
  <si>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</si>
  <si>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</si>
  <si>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</si>
  <si>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</si>
  <si>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</si>
  <si>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</si>
  <si>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</si>
  <si>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</si>
  <si>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</si>
  <si>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</si>
  <si>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</si>
  <si>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</si>
  <si>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</si>
  <si>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</si>
  <si>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</si>
  <si>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</si>
  <si>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</si>
  <si>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</si>
  <si>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</si>
  <si>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</si>
  <si>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</si>
  <si>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</si>
  <si>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</si>
  <si>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</si>
  <si>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</si>
  <si>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</si>
  <si>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</si>
  <si>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</si>
  <si>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</si>
  <si>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</si>
  <si>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</si>
  <si>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</si>
  <si>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</si>
  <si>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</si>
  <si>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</si>
  <si>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</si>
  <si>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</si>
  <si>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</si>
  <si>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</si>
  <si>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</si>
  <si>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</si>
  <si>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</si>
  <si>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</si>
  <si>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</si>
  <si>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</si>
  <si>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</si>
  <si>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</si>
  <si>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</si>
  <si>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</si>
  <si>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</si>
  <si>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</si>
  <si>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</si>
  <si>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</si>
  <si>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</si>
  <si>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</si>
  <si>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</si>
  <si>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</si>
  <si>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</si>
  <si>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</si>
  <si>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</si>
  <si>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</si>
  <si>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</si>
  <si>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</si>
  <si>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</si>
  <si>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</si>
  <si>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</si>
  <si>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</si>
  <si>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</si>
  <si>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</si>
  <si>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</si>
  <si>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</si>
  <si>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</si>
  <si>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</si>
  <si>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</si>
  <si>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</si>
  <si>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</si>
  <si>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</si>
  <si>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</si>
  <si>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</si>
  <si>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</si>
  <si>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</si>
  <si>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</si>
  <si>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</si>
  <si>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</si>
  <si>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</si>
  <si>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</si>
  <si>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</si>
  <si>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</si>
  <si>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</si>
  <si>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</si>
  <si>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</si>
  <si>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</si>
  <si>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</si>
  <si>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</si>
  <si>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</si>
  <si>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</si>
  <si>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</si>
  <si>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</si>
  <si>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</si>
  <si>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</si>
  <si>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</si>
  <si>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</si>
  <si>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</si>
  <si>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</si>
  <si>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</si>
  <si>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</si>
  <si>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</si>
  <si>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</si>
  <si>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</si>
  <si>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</si>
  <si>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</si>
  <si>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</si>
  <si>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</si>
  <si>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</si>
  <si>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</si>
  <si>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</si>
  <si>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</si>
  <si>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</si>
  <si>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</si>
  <si>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</si>
  <si>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</si>
  <si>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</si>
  <si>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</si>
  <si>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</si>
  <si>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</si>
  <si>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</si>
  <si>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</si>
  <si>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</si>
  <si>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</si>
  <si>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</si>
  <si>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</si>
  <si>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</si>
  <si>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</si>
  <si>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</si>
  <si>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</si>
  <si>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</si>
  <si>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</si>
  <si>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</si>
  <si>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</si>
  <si>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</si>
  <si>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</si>
  <si>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</si>
  <si>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</si>
  <si>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</si>
  <si>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</si>
  <si>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</si>
  <si>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</si>
  <si>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</si>
  <si>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</si>
  <si>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</si>
  <si>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</si>
  <si>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</si>
  <si>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</si>
  <si>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</si>
  <si>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</si>
  <si>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</si>
  <si>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</si>
  <si>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</si>
  <si>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</si>
  <si>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</si>
  <si>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</si>
  <si>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</si>
  <si>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</si>
  <si>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</si>
  <si>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</si>
  <si>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</si>
  <si>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</si>
  <si>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</si>
  <si>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</si>
  <si>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</si>
  <si>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</si>
  <si>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</si>
  <si>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</si>
  <si>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</si>
  <si>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</si>
  <si>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</si>
  <si>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</si>
  <si>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</si>
  <si>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</si>
  <si>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</si>
  <si>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</si>
  <si>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</si>
  <si>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</si>
  <si>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</si>
  <si>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</si>
  <si>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</si>
  <si>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</si>
  <si>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</si>
  <si>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</si>
  <si>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</si>
  <si>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</si>
  <si>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</si>
  <si>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</si>
  <si>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</si>
  <si>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</si>
  <si>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</si>
  <si>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</si>
  <si>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</si>
  <si>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</si>
  <si>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</si>
  <si>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</si>
  <si>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</si>
  <si>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</si>
  <si>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</si>
  <si>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</si>
  <si>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</si>
  <si>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</si>
  <si>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</si>
  <si>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</si>
  <si>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</si>
  <si>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</si>
  <si>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</si>
  <si>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</si>
  <si>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</si>
  <si>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</si>
  <si>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</si>
  <si>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</si>
  <si>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</si>
  <si>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</si>
  <si>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</si>
  <si>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</si>
  <si>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</si>
  <si>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</si>
  <si>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</si>
  <si>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</si>
  <si>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</si>
  <si>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</si>
  <si>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</si>
  <si>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</si>
  <si>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</si>
  <si>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</si>
  <si>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</si>
  <si>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</si>
  <si>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</si>
  <si>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</si>
  <si>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</si>
  <si>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</si>
  <si>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</si>
  <si>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</si>
  <si>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</si>
  <si>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</si>
  <si>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</si>
  <si>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</si>
  <si>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</si>
  <si>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</si>
  <si>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</si>
  <si>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</si>
  <si>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</si>
  <si>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</si>
  <si>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</si>
  <si>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</si>
  <si>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</si>
  <si>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</si>
  <si>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</si>
  <si>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</si>
  <si>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</si>
  <si>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</si>
  <si>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</si>
  <si>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</si>
  <si>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</si>
  <si>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</si>
  <si>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</si>
  <si>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</si>
  <si>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</si>
  <si>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</si>
  <si>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</si>
  <si>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</si>
  <si>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</si>
  <si>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</si>
  <si>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</si>
  <si>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</si>
  <si>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</si>
  <si>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</si>
  <si>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</si>
  <si>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</si>
  <si>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</si>
  <si>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</si>
  <si>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</si>
  <si>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</si>
  <si>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</si>
  <si>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</si>
  <si>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</si>
  <si>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</si>
  <si>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</si>
  <si>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</si>
  <si>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</si>
  <si>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</si>
  <si>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</si>
  <si>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</si>
  <si>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</si>
  <si>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</si>
  <si>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</si>
  <si>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</si>
  <si>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</si>
  <si>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</si>
  <si>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</si>
  <si>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</si>
  <si>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</si>
  <si>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</si>
  <si>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</si>
  <si>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</si>
  <si>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</si>
  <si>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</si>
  <si>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</si>
  <si>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</si>
  <si>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</si>
  <si>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</si>
  <si>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</si>
  <si>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</si>
  <si>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</si>
  <si>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</si>
  <si>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</si>
  <si>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</si>
  <si>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</si>
  <si>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</si>
  <si>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</si>
  <si>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</si>
  <si>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</si>
  <si>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</si>
  <si>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</si>
  <si>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</si>
  <si>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</si>
  <si>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</si>
  <si>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</si>
  <si>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</si>
  <si>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</si>
  <si>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</si>
  <si>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</si>
  <si>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</si>
  <si>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</si>
  <si>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</si>
  <si>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</si>
  <si>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</si>
  <si>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</si>
  <si>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</si>
  <si>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</si>
  <si>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</si>
  <si>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</si>
  <si>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</si>
  <si>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</si>
  <si>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</si>
  <si>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</si>
  <si>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</si>
  <si>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</si>
  <si>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</si>
  <si>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</si>
  <si>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</si>
  <si>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</si>
  <si>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</si>
  <si>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</si>
  <si>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</si>
  <si>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</si>
  <si>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</si>
  <si>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</si>
  <si>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</si>
  <si>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</si>
  <si>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</si>
  <si>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</si>
  <si>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</si>
  <si>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</si>
  <si>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</si>
  <si>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</si>
  <si>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</si>
  <si>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</si>
  <si>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</si>
  <si>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</si>
  <si>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</si>
  <si>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</si>
  <si>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</si>
  <si>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</si>
  <si>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</si>
  <si>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</si>
  <si>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</si>
  <si>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</si>
  <si>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</si>
  <si>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</si>
  <si>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</si>
  <si>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</si>
  <si>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</si>
  <si>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</si>
  <si>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</si>
  <si>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</si>
  <si>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</si>
  <si>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</si>
  <si>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</si>
  <si>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</si>
  <si>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</si>
  <si>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</si>
  <si>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</si>
  <si>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</si>
  <si>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</si>
  <si>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</si>
  <si>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</si>
  <si>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</si>
  <si>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</si>
  <si>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</si>
  <si>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</si>
  <si>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</si>
  <si>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</si>
  <si>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</si>
  <si>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</si>
  <si>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</si>
  <si>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</si>
  <si>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</si>
  <si>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</si>
  <si>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</si>
  <si>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</si>
  <si>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</si>
  <si>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</si>
  <si>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</si>
  <si>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</si>
  <si>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</si>
  <si>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</si>
  <si>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</si>
  <si>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</si>
  <si>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</si>
  <si>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</si>
  <si>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</si>
  <si>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</si>
  <si>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</si>
  <si>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</si>
  <si>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</si>
  <si>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</si>
  <si>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</si>
  <si>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</si>
  <si>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</si>
  <si>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</si>
  <si>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</si>
  <si>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</si>
  <si>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</si>
  <si>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</si>
  <si>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</si>
  <si>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</si>
  <si>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</si>
  <si>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</si>
  <si>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</si>
  <si>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</si>
  <si>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</si>
  <si>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</si>
  <si>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</si>
  <si>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</si>
  <si>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</si>
  <si>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</si>
  <si>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</si>
  <si>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</si>
  <si>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</si>
  <si>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</si>
  <si>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</si>
  <si>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</si>
  <si>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</si>
  <si>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</si>
  <si>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</si>
  <si>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</si>
  <si>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</si>
  <si>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</si>
  <si>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</si>
  <si>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</si>
  <si>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</si>
  <si>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</si>
  <si>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</si>
  <si>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</si>
  <si>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</si>
  <si>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</si>
  <si>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</si>
  <si>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</si>
  <si>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</si>
  <si>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</si>
  <si>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</si>
  <si>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</si>
  <si>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</si>
  <si>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</si>
  <si>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</si>
  <si>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</si>
  <si>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</si>
  <si>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</si>
  <si>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</si>
  <si>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</si>
  <si>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</si>
  <si>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</si>
  <si>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</si>
  <si>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</si>
  <si>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</si>
  <si>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</si>
  <si>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</si>
  <si>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</si>
  <si>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</si>
  <si>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</si>
  <si>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</si>
  <si>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</si>
  <si>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</si>
  <si>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</si>
  <si>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</si>
  <si>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</si>
  <si>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</si>
  <si>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</si>
  <si>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</si>
  <si>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</si>
  <si>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</si>
  <si>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</si>
  <si>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</si>
  <si>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</si>
  <si>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</si>
  <si>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</si>
  <si>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</si>
  <si>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</si>
  <si>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</si>
  <si>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</si>
  <si>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</si>
  <si>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</si>
  <si>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</si>
  <si>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</si>
  <si>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</si>
  <si>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</si>
  <si>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</si>
  <si>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</si>
  <si>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</si>
  <si>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</si>
  <si>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</si>
  <si>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</si>
  <si>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</si>
  <si>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</si>
  <si>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</si>
  <si>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</si>
  <si>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</si>
  <si>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</si>
  <si>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</si>
  <si>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</si>
  <si>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</si>
  <si>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</si>
  <si>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</si>
  <si>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</si>
  <si>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</si>
  <si>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</si>
  <si>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</si>
  <si>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</si>
  <si>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</si>
  <si>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</si>
  <si>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</si>
  <si>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</si>
  <si>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</si>
  <si>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</si>
  <si>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</si>
  <si>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</si>
  <si>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</si>
  <si>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</si>
  <si>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</si>
  <si>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</si>
  <si>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</si>
  <si>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</si>
  <si>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</si>
  <si>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</si>
  <si>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</si>
  <si>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</si>
  <si>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</si>
  <si>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</si>
  <si>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</si>
  <si>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</si>
  <si>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</si>
  <si>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</si>
  <si>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</si>
  <si>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</si>
  <si>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</si>
  <si>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</si>
  <si>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</si>
  <si>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</si>
  <si>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</si>
  <si>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</si>
  <si>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</si>
  <si>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</si>
  <si>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</si>
  <si>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</si>
  <si>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</si>
  <si>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</si>
  <si>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</si>
  <si>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</si>
  <si>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</si>
  <si>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</si>
  <si>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</si>
  <si>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</si>
  <si>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</si>
  <si>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</si>
  <si>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</si>
  <si>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</si>
  <si>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</si>
  <si>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</si>
  <si>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</si>
  <si>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</si>
  <si>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</si>
  <si>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</si>
  <si>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</si>
  <si>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</si>
  <si>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</si>
  <si>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</si>
  <si>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</si>
  <si>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</si>
  <si>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</si>
  <si>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</si>
  <si>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</si>
  <si>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</si>
  <si>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</si>
  <si>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</si>
  <si>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</si>
  <si>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</si>
  <si>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</si>
  <si>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</si>
  <si>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</si>
  <si>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</si>
  <si>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</si>
  <si>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</si>
  <si>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</si>
  <si>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</si>
  <si>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</si>
  <si>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</si>
  <si>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</si>
  <si>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</si>
  <si>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</si>
  <si>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</si>
  <si>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</si>
  <si>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</si>
  <si>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</si>
  <si>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</si>
  <si>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</si>
  <si>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</si>
  <si>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</si>
  <si>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</si>
  <si>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</si>
  <si>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</si>
  <si>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</si>
  <si>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</si>
  <si>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</si>
  <si>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</si>
  <si>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</si>
  <si>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</si>
  <si>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</si>
  <si>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</si>
  <si>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</si>
  <si>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</si>
  <si>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</si>
  <si>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</si>
  <si>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</si>
  <si>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</si>
  <si>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</si>
  <si>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</si>
  <si>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</si>
  <si>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</si>
  <si>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</si>
  <si>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</si>
  <si>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</si>
  <si>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</si>
  <si>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</si>
  <si>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</si>
  <si>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</si>
  <si>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</si>
  <si>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</si>
  <si>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</si>
  <si>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</si>
  <si>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</si>
  <si>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</si>
  <si>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</si>
  <si>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</si>
  <si>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</si>
  <si>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</si>
  <si>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</si>
  <si>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</si>
  <si>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</si>
  <si>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</si>
  <si>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</si>
  <si>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</si>
  <si>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</si>
  <si>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</si>
  <si>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</si>
  <si>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</si>
  <si>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</si>
  <si>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</si>
  <si>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</si>
  <si>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</si>
  <si>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</si>
  <si>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</si>
  <si>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</si>
  <si>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</si>
  <si>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</si>
  <si>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</si>
  <si>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</si>
  <si>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</si>
  <si>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</si>
  <si>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</si>
  <si>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</si>
  <si>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</si>
  <si>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</si>
  <si>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</si>
  <si>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</si>
  <si>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</si>
  <si>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</si>
  <si>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</si>
  <si>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</si>
  <si>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</si>
  <si>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</si>
  <si>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</si>
  <si>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</si>
  <si>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</si>
  <si>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</si>
  <si>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</si>
  <si>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</si>
  <si>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</si>
  <si>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</si>
  <si>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</si>
  <si>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</si>
  <si>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</si>
  <si>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</si>
  <si>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</si>
  <si>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</si>
  <si>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</si>
  <si>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</si>
  <si>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</si>
  <si>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</si>
  <si>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</si>
  <si>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</si>
  <si>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</si>
  <si>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</si>
  <si>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</si>
  <si>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</si>
  <si>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</si>
  <si>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</si>
  <si>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</si>
  <si>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</si>
  <si>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</si>
  <si>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</si>
  <si>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</si>
  <si>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</si>
  <si>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</si>
  <si>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</si>
  <si>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</si>
  <si>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</si>
  <si>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</si>
  <si>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</si>
  <si>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</si>
  <si>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</si>
  <si>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</si>
  <si>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</si>
  <si>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</si>
  <si>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</si>
  <si>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</si>
  <si>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</si>
  <si>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</si>
  <si>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</si>
  <si>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</si>
  <si>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</si>
  <si>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</si>
  <si>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</si>
  <si>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</si>
  <si>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</si>
  <si>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</si>
  <si>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</si>
  <si>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</si>
  <si>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</si>
  <si>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</si>
  <si>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</si>
  <si>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</si>
  <si>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</si>
  <si>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</si>
  <si>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</si>
  <si>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</si>
  <si>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</si>
  <si>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</si>
  <si>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</si>
  <si>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</si>
  <si>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</si>
  <si>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</si>
  <si>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</si>
  <si>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</si>
  <si>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</si>
  <si>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</si>
  <si>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</si>
  <si>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</si>
  <si>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</si>
  <si>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</si>
  <si>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</si>
  <si>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</si>
  <si>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</si>
  <si>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</si>
  <si>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</si>
  <si>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</si>
  <si>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</si>
  <si>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</si>
  <si>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</si>
  <si>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</si>
  <si>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</si>
  <si>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</si>
  <si>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</si>
  <si>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</si>
  <si>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</si>
  <si>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</si>
  <si>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</si>
  <si>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</si>
  <si>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</si>
  <si>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</si>
  <si>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</si>
  <si>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</si>
  <si>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</si>
  <si>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</si>
  <si>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</si>
  <si>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</si>
  <si>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</si>
  <si>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</si>
  <si>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</si>
  <si>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</si>
  <si>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</si>
  <si>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</si>
  <si>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</si>
  <si>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</si>
  <si>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</si>
  <si>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</si>
  <si>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</si>
  <si>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</si>
  <si>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</si>
  <si>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</si>
  <si>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</si>
  <si>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</si>
  <si>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</si>
  <si>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</si>
  <si>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</si>
  <si>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</si>
  <si>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</si>
  <si>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</si>
  <si>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</si>
  <si>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</si>
  <si>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</si>
  <si>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</si>
  <si>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</si>
  <si>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</si>
  <si>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</si>
  <si>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</si>
  <si>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</si>
  <si>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</si>
  <si>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</si>
  <si>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</si>
  <si>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</si>
  <si>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</si>
  <si>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</si>
  <si>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</si>
  <si>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</si>
  <si>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</si>
  <si>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</si>
  <si>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</si>
  <si>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</si>
  <si>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</si>
  <si>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</si>
  <si>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</si>
  <si>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</si>
  <si>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</si>
  <si>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</si>
  <si>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</si>
  <si>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</si>
  <si>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</si>
  <si>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</si>
  <si>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</si>
  <si>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</si>
  <si>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</si>
  <si>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</si>
  <si>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</si>
  <si>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</si>
  <si>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</si>
  <si>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</si>
  <si>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</si>
  <si>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</si>
  <si>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</si>
  <si>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</si>
  <si>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</si>
  <si>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</si>
  <si>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</si>
  <si>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</si>
  <si>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</si>
  <si>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</si>
  <si>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</si>
  <si>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</si>
  <si>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</si>
  <si>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</si>
  <si>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</si>
  <si>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</si>
  <si>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</si>
  <si>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</si>
  <si>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</si>
  <si>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</si>
  <si>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</si>
  <si>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</si>
  <si>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</si>
  <si>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</si>
  <si>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</si>
  <si>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</si>
  <si>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</si>
  <si>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</si>
  <si>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</si>
  <si>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</si>
  <si>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</si>
  <si>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</si>
  <si>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</si>
  <si>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</si>
  <si>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</si>
  <si>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</si>
  <si>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</si>
  <si>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</si>
  <si>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</si>
  <si>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</si>
  <si>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</si>
  <si>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</si>
  <si>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</si>
  <si>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</si>
  <si>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</si>
  <si>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</si>
  <si>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</si>
  <si>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</si>
  <si>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</si>
  <si>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</si>
  <si>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</si>
  <si>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</si>
  <si>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</si>
  <si>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</si>
  <si>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</si>
  <si>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</si>
  <si>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</si>
  <si>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</si>
  <si>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</si>
  <si>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</si>
  <si>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</si>
  <si>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</si>
  <si>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</si>
  <si>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</si>
  <si>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</si>
  <si>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</si>
  <si>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</si>
  <si>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</si>
  <si>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</si>
  <si>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</si>
  <si>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</si>
  <si>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</si>
  <si>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</si>
  <si>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</si>
  <si>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</si>
  <si>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</si>
  <si>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</si>
  <si>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</si>
  <si>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</si>
  <si>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</si>
  <si>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</si>
  <si>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</si>
  <si>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</si>
  <si>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</si>
  <si>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</si>
  <si>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</si>
  <si>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</si>
  <si>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</si>
  <si>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</si>
  <si>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</si>
  <si>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</si>
  <si>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</si>
  <si>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</si>
  <si>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</si>
  <si>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</si>
  <si>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</si>
  <si>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</si>
  <si>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</si>
  <si>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</si>
  <si>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</si>
  <si>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</si>
  <si>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</si>
  <si>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</si>
  <si>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</si>
  <si>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</si>
  <si>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</si>
  <si>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</si>
  <si>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</si>
  <si>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</si>
  <si>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</si>
  <si>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</si>
  <si>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</si>
  <si>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</si>
  <si>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</si>
  <si>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</si>
  <si>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</si>
  <si>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</si>
  <si>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</si>
  <si>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</si>
  <si>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</si>
  <si>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</si>
  <si>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</si>
  <si>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</si>
  <si>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</si>
  <si>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</si>
  <si>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</si>
  <si>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</si>
  <si>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</si>
  <si>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</si>
  <si>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</si>
  <si>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</si>
  <si>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</si>
  <si>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</si>
  <si>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</si>
  <si>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</si>
  <si>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</si>
  <si>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</si>
  <si>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</si>
  <si>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</si>
  <si>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</si>
  <si>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</si>
  <si>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</si>
  <si>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</si>
  <si>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</si>
  <si>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</si>
  <si>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</si>
  <si>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</si>
  <si>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</si>
  <si>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</si>
  <si>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</si>
  <si>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</si>
  <si>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</si>
  <si>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</si>
  <si>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</si>
  <si>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</si>
  <si>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</si>
  <si>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</si>
  <si>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</si>
  <si>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</si>
  <si>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</si>
  <si>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</si>
  <si>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</si>
  <si>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</si>
  <si>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</si>
  <si>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</si>
  <si>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</si>
  <si>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</si>
  <si>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</si>
  <si>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</si>
  <si>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</si>
  <si>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</si>
  <si>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</si>
  <si>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</si>
  <si>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</si>
  <si>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</si>
  <si>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</si>
  <si>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</si>
  <si>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</si>
  <si>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</si>
  <si>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</si>
  <si>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</si>
  <si>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</si>
  <si>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</si>
  <si>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</si>
  <si>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</si>
  <si>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</si>
  <si>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</si>
  <si>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</si>
  <si>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</si>
  <si>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</si>
  <si>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</si>
  <si>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</si>
  <si>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</si>
  <si>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</si>
  <si>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</si>
  <si>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</si>
  <si>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</si>
  <si>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</si>
  <si>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</si>
  <si>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</si>
  <si>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</si>
  <si>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</si>
  <si>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</si>
  <si>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</si>
  <si>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</si>
  <si>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</si>
  <si>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</si>
  <si>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</si>
  <si>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</si>
  <si>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</si>
  <si>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</si>
  <si>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</si>
  <si>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</si>
  <si>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</si>
  <si>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</si>
  <si>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</si>
  <si>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</si>
  <si>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</si>
  <si>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</si>
  <si>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</si>
  <si>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</si>
  <si>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</si>
  <si>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</si>
  <si>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</si>
  <si>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</si>
  <si>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</si>
  <si>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</si>
  <si>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</si>
  <si>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</si>
  <si>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</si>
  <si>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</si>
  <si>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</si>
  <si>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</si>
  <si>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</si>
  <si>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</si>
  <si>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</si>
  <si>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</si>
  <si>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</si>
  <si>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</si>
  <si>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</si>
  <si>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</si>
  <si>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</si>
  <si>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</si>
  <si>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</si>
  <si>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</si>
  <si>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</si>
  <si>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</si>
  <si>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</si>
  <si>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</si>
  <si>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</si>
  <si>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</si>
  <si>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</si>
  <si>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</si>
  <si>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</si>
  <si>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</si>
  <si>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</si>
  <si>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</si>
  <si>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</si>
  <si>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</si>
  <si>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</si>
  <si>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</si>
  <si>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</si>
  <si>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</si>
  <si>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</si>
  <si>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</si>
  <si>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</si>
  <si>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</si>
  <si>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</si>
  <si>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</si>
  <si>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</si>
  <si>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</si>
  <si>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</si>
  <si>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</si>
  <si>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</si>
  <si>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</si>
  <si>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</si>
  <si>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</si>
  <si>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</si>
  <si>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</si>
  <si>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</si>
  <si>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</si>
  <si>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</si>
  <si>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</si>
  <si>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</si>
  <si>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</si>
  <si>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</si>
  <si>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</si>
  <si>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</si>
  <si>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</si>
  <si>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</si>
  <si>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</si>
  <si>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</si>
  <si>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</si>
  <si>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</si>
  <si>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</si>
  <si>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</si>
  <si>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</si>
  <si>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</si>
  <si>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</si>
  <si>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</si>
  <si>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</si>
  <si>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</si>
  <si>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</si>
  <si>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</si>
  <si>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</si>
  <si>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</si>
  <si>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</si>
  <si>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</si>
  <si>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</si>
  <si>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</si>
  <si>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</si>
  <si>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</si>
  <si>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</si>
  <si>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</si>
  <si>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</si>
  <si>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</si>
  <si>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</si>
  <si>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</si>
  <si>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</si>
  <si>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</si>
  <si>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</si>
  <si>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</si>
  <si>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</si>
  <si>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</si>
  <si>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</si>
  <si>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</si>
  <si>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</si>
  <si>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</si>
  <si>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</si>
  <si>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</si>
  <si>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</si>
  <si>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</si>
  <si>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</si>
  <si>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</si>
  <si>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</si>
  <si>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</si>
  <si>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</si>
  <si>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</si>
  <si>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</si>
  <si>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</si>
  <si>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</si>
  <si>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</si>
  <si>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</si>
  <si>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</si>
  <si>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</si>
  <si>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</si>
  <si>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</si>
  <si>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</si>
  <si>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</si>
  <si>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</si>
  <si>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</si>
  <si>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</si>
  <si>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</si>
  <si>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</si>
  <si>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</si>
  <si>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</si>
  <si>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</si>
  <si>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</si>
  <si>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</si>
  <si>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</si>
  <si>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</si>
  <si>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</si>
  <si>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</si>
  <si>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</si>
  <si>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</si>
  <si>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</si>
  <si>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</si>
  <si>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</si>
  <si>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</si>
  <si>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</si>
  <si>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</si>
  <si>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</si>
  <si>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</si>
  <si>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</si>
  <si>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</si>
  <si>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</si>
  <si>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</si>
  <si>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</si>
  <si>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</si>
  <si>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</si>
  <si>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</si>
  <si>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</si>
  <si>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</si>
  <si>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</si>
  <si>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</si>
  <si>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</si>
  <si>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</si>
  <si>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</si>
  <si>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</si>
  <si>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</si>
  <si>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</si>
  <si>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</si>
  <si>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</si>
  <si>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</si>
  <si>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</si>
  <si>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</si>
  <si>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</si>
  <si>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</si>
  <si>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</si>
  <si>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</si>
  <si>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</si>
  <si>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</si>
  <si>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</si>
  <si>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</si>
  <si>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</si>
  <si>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</si>
  <si>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</si>
  <si>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</si>
  <si>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</si>
  <si>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</si>
  <si>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</si>
  <si>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</si>
  <si>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</si>
  <si>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</si>
  <si>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</si>
  <si>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</si>
  <si>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</si>
  <si>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</si>
  <si>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</si>
  <si>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</si>
  <si>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</si>
  <si>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</si>
  <si>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</si>
  <si>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</si>
  <si>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</si>
  <si>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</si>
  <si>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</si>
  <si>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</si>
  <si>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</si>
  <si>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</si>
  <si>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</si>
  <si>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</si>
  <si>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</si>
  <si>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</si>
  <si>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</si>
  <si>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</si>
  <si>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</si>
  <si>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</si>
  <si>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</si>
  <si>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</si>
  <si>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</si>
  <si>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</si>
  <si>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</si>
  <si>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</si>
  <si>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</si>
  <si>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</si>
  <si>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</si>
  <si>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</si>
  <si>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</si>
  <si>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</si>
  <si>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</si>
  <si>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</si>
  <si>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</si>
  <si>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</si>
  <si>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</si>
  <si>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</si>
  <si>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</si>
  <si>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</si>
  <si>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</si>
  <si>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</si>
  <si>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</si>
  <si>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</si>
  <si>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</si>
  <si>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</si>
  <si>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</si>
  <si>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</si>
  <si>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</si>
  <si>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</si>
  <si>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</si>
  <si>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</si>
  <si>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</si>
  <si>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</si>
  <si>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</si>
  <si>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</si>
  <si>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</si>
  <si>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</si>
  <si>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</si>
  <si>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</si>
  <si>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</si>
  <si>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</si>
  <si>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</si>
  <si>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</si>
  <si>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</si>
  <si>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</si>
  <si>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</si>
  <si>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</si>
  <si>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</si>
  <si>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</si>
  <si>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</si>
  <si>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</si>
  <si>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</si>
  <si>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</si>
  <si>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</si>
  <si>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</si>
  <si>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</si>
  <si>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</si>
  <si>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</si>
  <si>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</si>
  <si>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</si>
  <si>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</si>
  <si>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</si>
  <si>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</si>
  <si>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</si>
  <si>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</si>
  <si>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</si>
  <si>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</si>
  <si>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</si>
  <si>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</si>
  <si>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</si>
  <si>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</si>
  <si>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</si>
  <si>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</si>
  <si>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</si>
  <si>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</si>
  <si>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</si>
  <si>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</si>
  <si>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</si>
  <si>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</si>
  <si>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</si>
  <si>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</si>
  <si>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</si>
  <si>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</si>
  <si>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</si>
  <si>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</si>
  <si>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</si>
  <si>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</si>
  <si>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</si>
  <si>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</si>
  <si>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</si>
  <si>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</si>
  <si>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</si>
  <si>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</si>
  <si>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</si>
  <si>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</si>
  <si>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</si>
  <si>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</si>
  <si>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</si>
  <si>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</si>
  <si>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</si>
  <si>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</si>
  <si>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</si>
  <si>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</si>
  <si>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</si>
  <si>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</si>
  <si>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</si>
  <si>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</si>
  <si>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</si>
  <si>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</si>
  <si>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</si>
  <si>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</si>
  <si>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</si>
  <si>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</si>
  <si>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</si>
  <si>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</si>
  <si>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</si>
  <si>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</si>
  <si>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</si>
  <si>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</si>
  <si>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</si>
  <si>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</si>
  <si>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</si>
  <si>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</si>
  <si>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</si>
  <si>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</si>
  <si>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</si>
  <si>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</si>
  <si>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</si>
  <si>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</si>
  <si>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</si>
  <si>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</si>
  <si>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</si>
  <si>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</si>
  <si>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</si>
  <si>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</si>
  <si>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</si>
  <si>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</si>
  <si>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</si>
  <si>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</si>
  <si>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</si>
  <si>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</si>
  <si>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</si>
  <si>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</si>
  <si>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</si>
  <si>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</si>
  <si>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</si>
  <si>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</si>
  <si>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</si>
  <si>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</si>
  <si>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</si>
  <si>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</si>
  <si>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</si>
  <si>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</si>
  <si>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</si>
  <si>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</si>
  <si>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</si>
  <si>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</si>
  <si>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</si>
  <si>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</si>
  <si>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</si>
  <si>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</si>
  <si>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</si>
  <si>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</si>
  <si>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</si>
  <si>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</si>
  <si>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</si>
  <si>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</si>
  <si>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</si>
  <si>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</si>
  <si>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</si>
  <si>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</si>
  <si>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</si>
  <si>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</si>
  <si>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</si>
  <si>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</si>
  <si>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</si>
  <si>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</si>
  <si>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</si>
  <si>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</si>
  <si>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</si>
  <si>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</si>
  <si>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</si>
  <si>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</si>
  <si>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</si>
  <si>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</si>
  <si>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</si>
  <si>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</si>
  <si>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</si>
  <si>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</si>
  <si>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</si>
  <si>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</si>
  <si>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</si>
  <si>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</si>
  <si>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</si>
  <si>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</si>
  <si>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</si>
  <si>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</si>
  <si>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</si>
  <si>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</si>
  <si>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</si>
  <si>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</si>
  <si>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</si>
  <si>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</si>
  <si>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</si>
  <si>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</si>
  <si>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</si>
  <si>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</si>
  <si>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</si>
  <si>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</si>
  <si>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</si>
  <si>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</si>
  <si>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</si>
  <si>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</si>
  <si>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</si>
  <si>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</si>
  <si>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</si>
  <si>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</si>
  <si>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</si>
  <si>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</si>
  <si>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</si>
  <si>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</si>
  <si>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</si>
  <si>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</si>
  <si>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</si>
  <si>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</si>
  <si>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</si>
  <si>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</si>
  <si>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</si>
  <si>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</si>
  <si>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</si>
  <si>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</si>
  <si>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</si>
  <si>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</si>
  <si>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</si>
  <si>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</si>
  <si>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</si>
  <si>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</si>
  <si>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</si>
  <si>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</si>
  <si>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</si>
  <si>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</si>
  <si>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</si>
  <si>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</si>
  <si>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</si>
  <si>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</si>
  <si>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</si>
  <si>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</si>
  <si>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</si>
  <si>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</si>
  <si>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</si>
  <si>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</si>
  <si>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</si>
  <si>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</si>
  <si>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</si>
  <si>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</si>
  <si>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</si>
  <si>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</si>
  <si>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</si>
  <si>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</si>
  <si>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</si>
  <si>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</si>
  <si>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</si>
  <si>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</si>
  <si>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</si>
  <si>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</si>
  <si>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</si>
  <si>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</si>
  <si>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</si>
  <si>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</si>
  <si>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</si>
  <si>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</si>
  <si>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</si>
  <si>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</si>
  <si>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</si>
  <si>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</si>
  <si>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</si>
  <si>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</si>
  <si>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</si>
  <si>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</si>
  <si>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</si>
  <si>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</si>
  <si>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</si>
  <si>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</si>
  <si>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</si>
  <si>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</si>
  <si>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</si>
  <si>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</si>
  <si>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</si>
  <si>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</si>
  <si>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</si>
  <si>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</si>
  <si>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</si>
  <si>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</si>
  <si>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</si>
  <si>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</si>
  <si>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</si>
  <si>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</si>
  <si>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</si>
  <si>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</si>
  <si>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</si>
  <si>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</si>
  <si>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</si>
  <si>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</si>
  <si>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</si>
  <si>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</si>
  <si>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</si>
  <si>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</si>
  <si>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</si>
  <si>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</si>
  <si>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</si>
  <si>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</si>
  <si>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</si>
  <si>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</si>
  <si>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</si>
  <si>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</si>
  <si>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</si>
  <si>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</si>
  <si>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</si>
  <si>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</si>
  <si>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</si>
  <si>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</si>
  <si>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</si>
  <si>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</si>
  <si>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</si>
  <si>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</si>
  <si>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</si>
  <si>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</si>
  <si>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</si>
  <si>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</si>
  <si>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</si>
  <si>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</si>
  <si>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</si>
  <si>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</si>
  <si>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</si>
  <si>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</si>
  <si>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</si>
  <si>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</si>
  <si>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</si>
  <si>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</si>
  <si>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</si>
  <si>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</si>
  <si>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</si>
  <si>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</si>
  <si>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</si>
  <si>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</si>
  <si>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</si>
  <si>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</si>
  <si>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</si>
  <si>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</si>
  <si>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</si>
  <si>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</si>
  <si>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</si>
  <si>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</si>
  <si>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</si>
  <si>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</si>
  <si>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</si>
  <si>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</si>
  <si>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</si>
  <si>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</si>
  <si>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</si>
  <si>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</si>
  <si>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</si>
  <si>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</si>
  <si>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</si>
  <si>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</si>
  <si>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</si>
  <si>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</si>
  <si>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</si>
  <si>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</si>
  <si>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</si>
  <si>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</si>
  <si>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</si>
  <si>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</si>
  <si>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</si>
  <si>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</si>
  <si>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</si>
  <si>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</si>
  <si>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</si>
  <si>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</si>
  <si>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</si>
  <si>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</si>
  <si>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</si>
  <si>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</si>
  <si>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</si>
  <si>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</si>
  <si>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</si>
  <si>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</si>
  <si>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</si>
  <si>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</si>
  <si>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</si>
  <si>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</si>
  <si>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</si>
  <si>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</si>
  <si>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</si>
  <si>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</si>
  <si>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</si>
  <si>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</si>
  <si>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</si>
  <si>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</si>
  <si>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</si>
  <si>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</si>
  <si>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</si>
  <si>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</si>
  <si>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</si>
  <si>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</si>
  <si>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</si>
  <si>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</si>
  <si>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</si>
  <si>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</si>
  <si>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</si>
  <si>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</si>
  <si>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</si>
  <si>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</si>
  <si>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</si>
  <si>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</si>
  <si>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</si>
  <si>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</si>
  <si>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</si>
  <si>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</si>
  <si>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</si>
  <si>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</si>
  <si>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</si>
  <si>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</si>
  <si>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</si>
  <si>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</si>
  <si>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</si>
  <si>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</si>
  <si>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</si>
  <si>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</si>
  <si>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</si>
  <si>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</si>
  <si>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</si>
  <si>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</si>
  <si>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</si>
  <si>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</si>
  <si>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</si>
  <si>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</si>
  <si>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</si>
  <si>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</si>
  <si>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</si>
  <si>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</si>
  <si>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</si>
  <si>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</si>
  <si>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</si>
  <si>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</si>
  <si>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</si>
  <si>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</si>
  <si>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</si>
  <si>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</si>
  <si>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</si>
  <si>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</si>
  <si>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</si>
  <si>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</si>
  <si>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</si>
  <si>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</si>
  <si>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</si>
  <si>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</si>
  <si>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</si>
  <si>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</si>
  <si>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</si>
  <si>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</si>
  <si>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</si>
  <si>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</si>
  <si>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</si>
  <si>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</si>
  <si>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</si>
  <si>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</si>
  <si>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</si>
  <si>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</si>
  <si>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</si>
  <si>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</si>
  <si>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</si>
  <si>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</si>
  <si>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</si>
  <si>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</si>
  <si>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</si>
  <si>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</si>
  <si>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</si>
  <si>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</si>
  <si>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</si>
  <si>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</si>
  <si>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</si>
  <si>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</si>
  <si>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</si>
  <si>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</si>
  <si>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</si>
  <si>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</si>
  <si>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</si>
  <si>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</si>
  <si>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</si>
  <si>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</si>
  <si>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</si>
  <si>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</si>
  <si>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</si>
  <si>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</si>
  <si>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</si>
  <si>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</si>
  <si>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</si>
  <si>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</si>
  <si>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</si>
  <si>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</si>
  <si>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</si>
  <si>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</si>
  <si>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</si>
  <si>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</si>
  <si>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</si>
  <si>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</si>
  <si>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</si>
  <si>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</si>
  <si>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</si>
  <si>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</si>
  <si>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</si>
  <si>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</si>
  <si>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</si>
  <si>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</si>
  <si>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</si>
  <si>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</si>
  <si>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</si>
  <si>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</si>
  <si>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</si>
  <si>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</si>
  <si>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</si>
  <si>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</si>
  <si>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</si>
  <si>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</si>
  <si>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</si>
  <si>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</si>
  <si>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</si>
  <si>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</si>
  <si>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</si>
  <si>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</si>
  <si>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</si>
  <si>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</si>
  <si>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</si>
  <si>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</si>
  <si>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</si>
  <si>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</si>
  <si>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</si>
  <si>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</si>
  <si>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</si>
  <si>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</si>
  <si>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</si>
  <si>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</si>
  <si>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</si>
  <si>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</si>
  <si>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</si>
  <si>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</si>
  <si>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</si>
  <si>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</si>
  <si>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</si>
  <si>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</si>
  <si>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</si>
  <si>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</si>
  <si>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</si>
  <si>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</si>
  <si>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</si>
  <si>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</si>
  <si>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</si>
  <si>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</si>
  <si>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</si>
  <si>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</si>
  <si>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</si>
  <si>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</si>
  <si>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</si>
  <si>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</si>
  <si>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</si>
  <si>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</si>
  <si>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</si>
  <si>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</si>
  <si>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</si>
  <si>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</si>
  <si>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</si>
  <si>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</si>
  <si>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</si>
  <si>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</si>
  <si>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</si>
  <si>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</si>
  <si>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</si>
  <si>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</si>
  <si>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</si>
  <si>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</si>
  <si>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</si>
  <si>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</si>
  <si>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</si>
  <si>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</si>
  <si>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</si>
  <si>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</si>
  <si>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</si>
  <si>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</si>
  <si>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</si>
  <si>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</si>
  <si>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</si>
  <si>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</si>
  <si>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</si>
  <si>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</si>
  <si>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</si>
  <si>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</si>
  <si>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</si>
  <si>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</si>
  <si>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</si>
  <si>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</si>
  <si>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</si>
  <si>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</si>
  <si>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</si>
  <si>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</si>
  <si>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</si>
  <si>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</si>
  <si>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</si>
  <si>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</si>
  <si>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</si>
  <si>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</si>
  <si>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ENT. REP. EQUIPEMENT-SAAQ</t>
  </si>
  <si>
    <t>Année à date Juillet</t>
  </si>
  <si>
    <t>JUILLETS</t>
  </si>
  <si>
    <t>G0827</t>
  </si>
  <si>
    <t>ENT. REP. BATISSE-SAAQ</t>
  </si>
  <si>
    <t>VTES- AUTO AUTRE MARQ</t>
  </si>
  <si>
    <t>COUT- AUTO AUTRE MARQ</t>
  </si>
  <si>
    <t>G33119</t>
  </si>
  <si>
    <t>RESERVE WHOLESALE - AJOUT</t>
  </si>
  <si>
    <t>G24502</t>
  </si>
  <si>
    <t>INVENTAIRE F&amp;I INTERNE</t>
  </si>
  <si>
    <t>14 dossiers</t>
  </si>
  <si>
    <t>14 à 699$ et 38 à 200$ = 52</t>
  </si>
  <si>
    <t>AOUT</t>
  </si>
  <si>
    <t>Vacances ?</t>
  </si>
  <si>
    <t>OK CORRECTION DE JUILLET</t>
  </si>
  <si>
    <t>G27450</t>
  </si>
  <si>
    <t>RRI PAYE D'AVANCE</t>
  </si>
  <si>
    <t>G33250</t>
  </si>
  <si>
    <t>RISTOURNE AXALTA</t>
  </si>
  <si>
    <t>G90820</t>
  </si>
  <si>
    <t>REVENU INTERETS DIVERS</t>
  </si>
  <si>
    <t>G95820</t>
  </si>
  <si>
    <t>DEPENSES INTERETS DIVERS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</si>
</sst>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6">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4" fillId="0" borderId="0" applyFont="0" applyFill="0" applyBorder="0" applyAlignment="0" applyProtection="0"/>
    <xf numFmtId="9" fontId="124" fillId="0" borderId="0" applyFont="0" applyFill="0" applyBorder="0" applyAlignment="0" applyProtection="0"/>
    <xf numFmtId="166" fontId="172" fillId="0" borderId="0"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165" fontId="118" fillId="0" borderId="1" applyFont="0" applyFill="0" applyBorder="0" applyAlignment="0" applyProtection="0"/>
    <xf numFmtId="0" fontId="117" fillId="0" borderId="1"/>
    <xf numFmtId="0" fontId="116" fillId="0" borderId="1"/>
    <xf numFmtId="165" fontId="116" fillId="0" borderId="1" applyFont="0" applyFill="0" applyBorder="0" applyAlignment="0" applyProtection="0"/>
    <xf numFmtId="0" fontId="115" fillId="0" borderId="1"/>
    <xf numFmtId="165" fontId="115" fillId="0" borderId="1" applyFont="0" applyFill="0" applyBorder="0" applyAlignment="0" applyProtection="0"/>
    <xf numFmtId="166" fontId="115" fillId="0" borderId="1" applyFont="0" applyFill="0" applyBorder="0" applyAlignment="0" applyProtection="0"/>
    <xf numFmtId="0" fontId="115" fillId="0" borderId="1"/>
    <xf numFmtId="165" fontId="115" fillId="0" borderId="1" applyFont="0" applyFill="0" applyBorder="0" applyAlignment="0" applyProtection="0"/>
    <xf numFmtId="0" fontId="115" fillId="0" borderId="1"/>
    <xf numFmtId="165" fontId="115" fillId="0" borderId="1" applyFont="0" applyFill="0" applyBorder="0" applyAlignment="0" applyProtection="0"/>
    <xf numFmtId="0" fontId="115" fillId="0" borderId="1"/>
    <xf numFmtId="165" fontId="115" fillId="0" borderId="1" applyFont="0" applyFill="0" applyBorder="0" applyAlignment="0" applyProtection="0"/>
    <xf numFmtId="0" fontId="115" fillId="0" borderId="1"/>
    <xf numFmtId="0" fontId="115" fillId="0" borderId="1"/>
    <xf numFmtId="165" fontId="115" fillId="0" borderId="1" applyFont="0" applyFill="0" applyBorder="0" applyAlignment="0" applyProtection="0"/>
    <xf numFmtId="166"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5" fontId="111" fillId="0" borderId="1" applyFont="0" applyFill="0" applyBorder="0" applyAlignment="0" applyProtection="0"/>
    <xf numFmtId="0" fontId="110" fillId="0" borderId="1"/>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9"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9"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165" fontId="80" fillId="0" borderId="1" applyFont="0" applyFill="0" applyBorder="0" applyAlignment="0" applyProtection="0"/>
    <xf numFmtId="0" fontId="79" fillId="0" borderId="1"/>
    <xf numFmtId="0" fontId="79" fillId="0" borderId="1"/>
    <xf numFmtId="9" fontId="79" fillId="0" borderId="1" applyFont="0" applyFill="0" applyBorder="0" applyAlignment="0" applyProtection="0"/>
    <xf numFmtId="44" fontId="79" fillId="0" borderId="1" applyFont="0" applyFill="0" applyBorder="0" applyAlignment="0" applyProtection="0"/>
    <xf numFmtId="0" fontId="78" fillId="0" borderId="1"/>
    <xf numFmtId="165" fontId="78" fillId="0" borderId="1" applyFont="0" applyFill="0" applyBorder="0" applyAlignment="0" applyProtection="0"/>
    <xf numFmtId="0" fontId="77" fillId="0" borderId="1"/>
    <xf numFmtId="0" fontId="76" fillId="0" borderId="1"/>
    <xf numFmtId="0" fontId="75" fillId="0" borderId="1"/>
    <xf numFmtId="0" fontId="74" fillId="0" borderId="1"/>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9" fontId="73" fillId="0" borderId="1" applyFont="0" applyFill="0" applyBorder="0" applyAlignment="0" applyProtection="0"/>
    <xf numFmtId="164"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0" fontId="73" fillId="0" borderId="1"/>
    <xf numFmtId="0" fontId="73" fillId="0" borderId="1"/>
    <xf numFmtId="0" fontId="72" fillId="0" borderId="1"/>
    <xf numFmtId="0" fontId="71" fillId="0" borderId="1"/>
    <xf numFmtId="0" fontId="70" fillId="0" borderId="1"/>
    <xf numFmtId="0" fontId="69" fillId="0" borderId="1"/>
    <xf numFmtId="0" fontId="68"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9"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xf numFmtId="0" fontId="6" fillId="0" borderId="1"/>
  </cellStyleXfs>
  <cellXfs count="1293">
    <xf numFmtId="0" fontId="0" fillId="0" borderId="0" xfId="0"/>
    <xf numFmtId="0" fontId="121" fillId="0" borderId="0" xfId="0" applyFont="1"/>
    <xf numFmtId="0" fontId="122" fillId="2" borderId="1" xfId="0" applyFont="1" applyFill="1" applyBorder="1" applyAlignment="1">
      <alignment horizontal="center"/>
    </xf>
    <xf numFmtId="0" fontId="122" fillId="0" borderId="0" xfId="0" applyFont="1"/>
    <xf numFmtId="0" fontId="123" fillId="0" borderId="0" xfId="0" applyFont="1" applyAlignment="1">
      <alignment horizontal="center"/>
    </xf>
    <xf numFmtId="0" fontId="124" fillId="0" borderId="0" xfId="0" applyFont="1"/>
    <xf numFmtId="0" fontId="121" fillId="0" borderId="0" xfId="0" applyFont="1" applyAlignment="1">
      <alignment horizontal="center"/>
    </xf>
    <xf numFmtId="167" fontId="122" fillId="0" borderId="0" xfId="0" applyNumberFormat="1" applyFont="1" applyAlignment="1">
      <alignment horizontal="center"/>
    </xf>
    <xf numFmtId="0" fontId="125" fillId="0" borderId="0" xfId="0" applyFont="1" applyAlignment="1">
      <alignment horizontal="left"/>
    </xf>
    <xf numFmtId="0" fontId="126" fillId="0" borderId="0" xfId="0" applyFont="1" applyAlignment="1">
      <alignment horizontal="center"/>
    </xf>
    <xf numFmtId="0" fontId="126" fillId="0" borderId="0" xfId="0" applyFont="1" applyAlignment="1">
      <alignment horizontal="right"/>
    </xf>
    <xf numFmtId="0" fontId="125" fillId="0" borderId="0" xfId="0" applyFont="1"/>
    <xf numFmtId="0" fontId="122" fillId="0" borderId="2" xfId="0" applyFont="1" applyBorder="1"/>
    <xf numFmtId="0" fontId="127" fillId="0" borderId="3" xfId="0" applyFont="1" applyBorder="1"/>
    <xf numFmtId="169" fontId="127" fillId="0" borderId="0" xfId="0" applyNumberFormat="1" applyFont="1"/>
    <xf numFmtId="0" fontId="128" fillId="0" borderId="6" xfId="0" applyFont="1" applyBorder="1"/>
    <xf numFmtId="168" fontId="128" fillId="0" borderId="7" xfId="0" applyNumberFormat="1" applyFont="1" applyBorder="1"/>
    <xf numFmtId="169" fontId="128" fillId="0" borderId="0" xfId="0" applyNumberFormat="1" applyFont="1"/>
    <xf numFmtId="0" fontId="127" fillId="0" borderId="8" xfId="0" applyFont="1" applyBorder="1"/>
    <xf numFmtId="168" fontId="127" fillId="0" borderId="9" xfId="0" applyNumberFormat="1" applyFont="1" applyBorder="1"/>
    <xf numFmtId="0" fontId="128" fillId="0" borderId="8" xfId="0" applyFont="1" applyBorder="1"/>
    <xf numFmtId="0" fontId="128" fillId="3" borderId="10" xfId="0" applyFont="1" applyFill="1" applyBorder="1"/>
    <xf numFmtId="168" fontId="128" fillId="3" borderId="11" xfId="0" applyNumberFormat="1" applyFont="1" applyFill="1" applyBorder="1"/>
    <xf numFmtId="0" fontId="128" fillId="3" borderId="12" xfId="0" applyFont="1" applyFill="1" applyBorder="1"/>
    <xf numFmtId="168" fontId="128" fillId="3" borderId="13" xfId="0" applyNumberFormat="1" applyFont="1" applyFill="1" applyBorder="1"/>
    <xf numFmtId="0" fontId="128" fillId="0" borderId="0" xfId="0" applyFont="1"/>
    <xf numFmtId="169" fontId="122" fillId="0" borderId="0" xfId="0" applyNumberFormat="1" applyFont="1"/>
    <xf numFmtId="0" fontId="122" fillId="0" borderId="8" xfId="0" applyFont="1" applyBorder="1"/>
    <xf numFmtId="168" fontId="122" fillId="0" borderId="9" xfId="0" applyNumberFormat="1" applyFont="1" applyBorder="1"/>
    <xf numFmtId="170" fontId="122" fillId="0" borderId="0" xfId="0" applyNumberFormat="1" applyFont="1"/>
    <xf numFmtId="0" fontId="122" fillId="0" borderId="0" xfId="0" applyFont="1" applyAlignment="1">
      <alignment horizontal="center"/>
    </xf>
    <xf numFmtId="0" fontId="130" fillId="0" borderId="0" xfId="0" applyFont="1" applyAlignment="1">
      <alignment horizontal="center"/>
    </xf>
    <xf numFmtId="0" fontId="126" fillId="4" borderId="15" xfId="0" applyFont="1" applyFill="1" applyBorder="1" applyAlignment="1">
      <alignment horizontal="center"/>
    </xf>
    <xf numFmtId="0" fontId="126" fillId="0" borderId="0" xfId="0" applyFont="1"/>
    <xf numFmtId="171" fontId="131" fillId="0" borderId="0" xfId="0" applyNumberFormat="1" applyFont="1" applyAlignment="1">
      <alignment horizontal="left"/>
    </xf>
    <xf numFmtId="0" fontId="131" fillId="0" borderId="0" xfId="0" applyFont="1"/>
    <xf numFmtId="0" fontId="132" fillId="0" borderId="0" xfId="0" applyFont="1" applyAlignment="1">
      <alignment horizontal="center"/>
    </xf>
    <xf numFmtId="0" fontId="125" fillId="5" borderId="16" xfId="0" applyFont="1" applyFill="1" applyBorder="1" applyAlignment="1">
      <alignment horizontal="center"/>
    </xf>
    <xf numFmtId="0" fontId="132" fillId="0" borderId="0" xfId="0" applyFont="1"/>
    <xf numFmtId="0" fontId="132" fillId="5" borderId="19" xfId="0" applyFont="1" applyFill="1" applyBorder="1"/>
    <xf numFmtId="0" fontId="132" fillId="5" borderId="22" xfId="0" applyFont="1" applyFill="1" applyBorder="1"/>
    <xf numFmtId="0" fontId="132" fillId="5" borderId="20" xfId="0" applyFont="1" applyFill="1" applyBorder="1"/>
    <xf numFmtId="0" fontId="125" fillId="5" borderId="19" xfId="0" applyFont="1" applyFill="1" applyBorder="1"/>
    <xf numFmtId="0" fontId="125" fillId="5" borderId="22" xfId="0" applyFont="1" applyFill="1" applyBorder="1"/>
    <xf numFmtId="0" fontId="125" fillId="5" borderId="20" xfId="0" applyFont="1" applyFill="1" applyBorder="1"/>
    <xf numFmtId="0" fontId="132" fillId="5" borderId="1" xfId="0" applyFont="1" applyFill="1" applyBorder="1"/>
    <xf numFmtId="0" fontId="125" fillId="5" borderId="10" xfId="0" applyFont="1" applyFill="1" applyBorder="1"/>
    <xf numFmtId="0" fontId="125" fillId="5" borderId="12" xfId="0" applyFont="1" applyFill="1" applyBorder="1"/>
    <xf numFmtId="0" fontId="125" fillId="5" borderId="1" xfId="0" applyFont="1" applyFill="1" applyBorder="1"/>
    <xf numFmtId="0" fontId="125" fillId="5" borderId="20" xfId="0" applyFont="1" applyFill="1" applyBorder="1" applyAlignment="1">
      <alignment horizontal="left"/>
    </xf>
    <xf numFmtId="0" fontId="125" fillId="5" borderId="28" xfId="0" applyFont="1" applyFill="1" applyBorder="1"/>
    <xf numFmtId="0" fontId="133" fillId="5" borderId="20" xfId="0" applyFont="1" applyFill="1" applyBorder="1"/>
    <xf numFmtId="0" fontId="133" fillId="5" borderId="22" xfId="0" applyFont="1" applyFill="1" applyBorder="1"/>
    <xf numFmtId="0" fontId="125" fillId="5" borderId="31" xfId="0" applyFont="1" applyFill="1" applyBorder="1"/>
    <xf numFmtId="0" fontId="125" fillId="5" borderId="32" xfId="0" applyFont="1" applyFill="1" applyBorder="1"/>
    <xf numFmtId="0" fontId="134" fillId="5" borderId="1" xfId="0" applyFont="1" applyFill="1" applyBorder="1"/>
    <xf numFmtId="0" fontId="134" fillId="0" borderId="0" xfId="0" applyFont="1"/>
    <xf numFmtId="0" fontId="131" fillId="5" borderId="1" xfId="0" applyFont="1" applyFill="1" applyBorder="1"/>
    <xf numFmtId="0" fontId="126" fillId="5" borderId="1" xfId="0" applyFont="1" applyFill="1" applyBorder="1"/>
    <xf numFmtId="171" fontId="131" fillId="5" borderId="1" xfId="0" applyNumberFormat="1" applyFont="1" applyFill="1" applyBorder="1" applyAlignment="1">
      <alignment horizontal="left"/>
    </xf>
    <xf numFmtId="0" fontId="133" fillId="5" borderId="19" xfId="0" applyFont="1" applyFill="1" applyBorder="1"/>
    <xf numFmtId="0" fontId="125" fillId="5" borderId="33" xfId="0" applyFont="1" applyFill="1" applyBorder="1"/>
    <xf numFmtId="0" fontId="125" fillId="5" borderId="34" xfId="0" applyFont="1" applyFill="1" applyBorder="1"/>
    <xf numFmtId="0" fontId="125" fillId="5" borderId="36" xfId="0" applyFont="1" applyFill="1" applyBorder="1"/>
    <xf numFmtId="0" fontId="135" fillId="5" borderId="1" xfId="0" applyFont="1" applyFill="1" applyBorder="1" applyAlignment="1">
      <alignment horizontal="center" vertical="center"/>
    </xf>
    <xf numFmtId="0" fontId="135" fillId="5" borderId="22" xfId="0" applyFont="1" applyFill="1" applyBorder="1"/>
    <xf numFmtId="0" fontId="135" fillId="5" borderId="20" xfId="0" applyFont="1" applyFill="1" applyBorder="1"/>
    <xf numFmtId="0" fontId="135" fillId="5" borderId="28" xfId="0" applyFont="1" applyFill="1" applyBorder="1"/>
    <xf numFmtId="0" fontId="135" fillId="5" borderId="19" xfId="0" applyFont="1" applyFill="1" applyBorder="1"/>
    <xf numFmtId="0" fontId="135" fillId="5" borderId="36" xfId="0" applyFont="1" applyFill="1" applyBorder="1"/>
    <xf numFmtId="0" fontId="135" fillId="5" borderId="39" xfId="0" applyFont="1" applyFill="1" applyBorder="1"/>
    <xf numFmtId="0" fontId="131" fillId="5" borderId="40" xfId="0" applyFont="1" applyFill="1" applyBorder="1"/>
    <xf numFmtId="0" fontId="133" fillId="5" borderId="40" xfId="0" applyFont="1" applyFill="1" applyBorder="1"/>
    <xf numFmtId="0" fontId="132" fillId="5" borderId="40" xfId="0" applyFont="1" applyFill="1" applyBorder="1"/>
    <xf numFmtId="0" fontId="132" fillId="5" borderId="41" xfId="0" applyFont="1" applyFill="1" applyBorder="1"/>
    <xf numFmtId="0" fontId="135" fillId="5" borderId="42" xfId="0" applyFont="1" applyFill="1" applyBorder="1"/>
    <xf numFmtId="0" fontId="136" fillId="6" borderId="1" xfId="0" applyFont="1" applyFill="1" applyBorder="1"/>
    <xf numFmtId="0" fontId="131" fillId="6" borderId="1" xfId="0" applyFont="1" applyFill="1" applyBorder="1"/>
    <xf numFmtId="0" fontId="137" fillId="6" borderId="1" xfId="0" applyFont="1" applyFill="1" applyBorder="1"/>
    <xf numFmtId="0" fontId="138" fillId="6" borderId="1" xfId="0" applyFont="1" applyFill="1" applyBorder="1" applyAlignment="1">
      <alignment horizontal="center" vertical="center"/>
    </xf>
    <xf numFmtId="0" fontId="131" fillId="6" borderId="1" xfId="0" applyFont="1" applyFill="1" applyBorder="1" applyAlignment="1">
      <alignment horizontal="center" vertical="center"/>
    </xf>
    <xf numFmtId="0" fontId="136" fillId="6" borderId="1" xfId="0" applyFont="1" applyFill="1" applyBorder="1" applyAlignment="1">
      <alignment horizontal="center"/>
    </xf>
    <xf numFmtId="0" fontId="131" fillId="6" borderId="1" xfId="0" applyFont="1" applyFill="1" applyBorder="1" applyAlignment="1">
      <alignment horizontal="center"/>
    </xf>
    <xf numFmtId="0" fontId="139" fillId="6" borderId="1" xfId="0" applyFont="1" applyFill="1" applyBorder="1" applyAlignment="1">
      <alignment horizontal="center"/>
    </xf>
    <xf numFmtId="173" fontId="131" fillId="6" borderId="1" xfId="0" applyNumberFormat="1" applyFont="1" applyFill="1" applyBorder="1"/>
    <xf numFmtId="37" fontId="131" fillId="6" borderId="1" xfId="0" applyNumberFormat="1" applyFont="1" applyFill="1" applyBorder="1"/>
    <xf numFmtId="173" fontId="136" fillId="6" borderId="1" xfId="0" applyNumberFormat="1" applyFont="1" applyFill="1" applyBorder="1"/>
    <xf numFmtId="37" fontId="136" fillId="6" borderId="1" xfId="0" applyNumberFormat="1" applyFont="1" applyFill="1" applyBorder="1"/>
    <xf numFmtId="0" fontId="140" fillId="6" borderId="1" xfId="0" applyFont="1" applyFill="1" applyBorder="1"/>
    <xf numFmtId="0" fontId="139" fillId="6" borderId="1" xfId="0" applyFont="1" applyFill="1" applyBorder="1" applyAlignment="1">
      <alignment horizontal="left"/>
    </xf>
    <xf numFmtId="0" fontId="141" fillId="6" borderId="1" xfId="0" applyFont="1" applyFill="1" applyBorder="1"/>
    <xf numFmtId="37" fontId="131" fillId="0" borderId="0" xfId="0" applyNumberFormat="1" applyFont="1"/>
    <xf numFmtId="0" fontId="142" fillId="0" borderId="0" xfId="0" applyFont="1"/>
    <xf numFmtId="0" fontId="143" fillId="0" borderId="0" xfId="0" applyFont="1"/>
    <xf numFmtId="0" fontId="144" fillId="0" borderId="0" xfId="0" applyFont="1" applyAlignment="1">
      <alignment horizontal="center"/>
    </xf>
    <xf numFmtId="0" fontId="121" fillId="7" borderId="1" xfId="0" applyFont="1" applyFill="1" applyBorder="1" applyAlignment="1">
      <alignment horizontal="center"/>
    </xf>
    <xf numFmtId="0" fontId="121" fillId="8" borderId="44" xfId="0" applyFont="1" applyFill="1" applyBorder="1" applyAlignment="1">
      <alignment horizontal="center" vertical="center" wrapText="1"/>
    </xf>
    <xf numFmtId="0" fontId="121" fillId="8" borderId="45" xfId="0" applyFont="1" applyFill="1" applyBorder="1" applyAlignment="1">
      <alignment horizontal="center" vertical="center" wrapText="1"/>
    </xf>
    <xf numFmtId="0" fontId="121" fillId="8" borderId="46" xfId="0" applyFont="1" applyFill="1" applyBorder="1" applyAlignment="1">
      <alignment horizontal="center" vertical="center" wrapText="1"/>
    </xf>
    <xf numFmtId="0" fontId="121" fillId="8" borderId="47" xfId="0" applyFont="1" applyFill="1" applyBorder="1" applyAlignment="1">
      <alignment horizontal="center" vertical="center" wrapText="1"/>
    </xf>
    <xf numFmtId="167" fontId="145" fillId="9" borderId="51" xfId="0" applyNumberFormat="1" applyFont="1" applyFill="1" applyBorder="1" applyAlignment="1">
      <alignment horizontal="center" vertical="center"/>
    </xf>
    <xf numFmtId="167" fontId="145" fillId="9" borderId="52" xfId="0" applyNumberFormat="1" applyFont="1" applyFill="1" applyBorder="1" applyAlignment="1">
      <alignment horizontal="center" vertical="center"/>
    </xf>
    <xf numFmtId="3" fontId="121" fillId="9" borderId="51" xfId="0" applyNumberFormat="1" applyFont="1" applyFill="1" applyBorder="1" applyAlignment="1">
      <alignment horizontal="center" vertical="center"/>
    </xf>
    <xf numFmtId="3" fontId="121" fillId="9" borderId="52" xfId="0" applyNumberFormat="1" applyFont="1" applyFill="1" applyBorder="1" applyAlignment="1">
      <alignment horizontal="center" vertical="center"/>
    </xf>
    <xf numFmtId="0" fontId="122" fillId="9" borderId="53" xfId="0" applyFont="1" applyFill="1" applyBorder="1" applyAlignment="1">
      <alignment wrapText="1"/>
    </xf>
    <xf numFmtId="0" fontId="122" fillId="0" borderId="43" xfId="0" applyFont="1" applyBorder="1" applyAlignment="1">
      <alignment horizontal="center" vertical="center" wrapText="1"/>
    </xf>
    <xf numFmtId="0" fontId="122" fillId="0" borderId="43" xfId="0" applyFont="1" applyBorder="1" applyAlignment="1">
      <alignment horizontal="center" vertical="center"/>
    </xf>
    <xf numFmtId="0" fontId="122" fillId="0" borderId="54" xfId="0" applyFont="1" applyBorder="1" applyAlignment="1">
      <alignment horizontal="left" vertical="center" wrapText="1"/>
    </xf>
    <xf numFmtId="37" fontId="122" fillId="0" borderId="0" xfId="0" applyNumberFormat="1" applyFont="1" applyAlignment="1">
      <alignment horizontal="center" vertical="center"/>
    </xf>
    <xf numFmtId="37" fontId="122" fillId="0" borderId="55" xfId="0" applyNumberFormat="1" applyFont="1" applyBorder="1" applyAlignment="1">
      <alignment horizontal="center" vertical="center"/>
    </xf>
    <xf numFmtId="0" fontId="122" fillId="0" borderId="56" xfId="0" applyFont="1" applyBorder="1" applyAlignment="1">
      <alignment horizontal="center" vertical="center" wrapText="1"/>
    </xf>
    <xf numFmtId="0" fontId="122" fillId="0" borderId="56" xfId="0" applyFont="1" applyBorder="1" applyAlignment="1">
      <alignment horizontal="center" vertical="center"/>
    </xf>
    <xf numFmtId="0" fontId="122" fillId="0" borderId="55" xfId="0" applyFont="1" applyBorder="1" applyAlignment="1">
      <alignment horizontal="left" vertical="center" wrapText="1"/>
    </xf>
    <xf numFmtId="0" fontId="122" fillId="0" borderId="54" xfId="0" applyFont="1" applyBorder="1" applyAlignment="1">
      <alignment horizontal="center" vertical="center" wrapText="1"/>
    </xf>
    <xf numFmtId="0" fontId="122" fillId="0" borderId="55" xfId="0" applyFont="1" applyBorder="1" applyAlignment="1">
      <alignment horizontal="center" vertical="center" wrapText="1"/>
    </xf>
    <xf numFmtId="0" fontId="122" fillId="0" borderId="48" xfId="0" applyFont="1" applyBorder="1" applyAlignment="1">
      <alignment horizontal="center" vertical="center" wrapText="1"/>
    </xf>
    <xf numFmtId="0" fontId="122" fillId="0" borderId="48" xfId="0" applyFont="1" applyBorder="1" applyAlignment="1">
      <alignment horizontal="center" vertical="center"/>
    </xf>
    <xf numFmtId="0" fontId="122" fillId="0" borderId="57" xfId="0" applyFont="1" applyBorder="1" applyAlignment="1">
      <alignment horizontal="center" vertical="center" wrapText="1"/>
    </xf>
    <xf numFmtId="0" fontId="122" fillId="0" borderId="58" xfId="0" applyFont="1" applyBorder="1" applyAlignment="1">
      <alignment horizontal="center" vertical="center" wrapText="1"/>
    </xf>
    <xf numFmtId="37" fontId="122" fillId="0" borderId="57" xfId="0" applyNumberFormat="1" applyFont="1" applyBorder="1" applyAlignment="1">
      <alignment horizontal="center" vertical="center"/>
    </xf>
    <xf numFmtId="37" fontId="122" fillId="0" borderId="59" xfId="0" applyNumberFormat="1" applyFont="1" applyBorder="1" applyAlignment="1">
      <alignment horizontal="center" vertical="center"/>
    </xf>
    <xf numFmtId="0" fontId="122" fillId="0" borderId="0" xfId="0" applyFont="1" applyAlignment="1">
      <alignment wrapText="1"/>
    </xf>
    <xf numFmtId="0" fontId="122" fillId="0" borderId="0" xfId="0" applyFont="1" applyAlignment="1">
      <alignment horizontal="center" wrapText="1"/>
    </xf>
    <xf numFmtId="0" fontId="122" fillId="0" borderId="0" xfId="0" applyFont="1" applyAlignment="1">
      <alignment horizontal="right"/>
    </xf>
    <xf numFmtId="43" fontId="122" fillId="0" borderId="0" xfId="0" applyNumberFormat="1" applyFont="1" applyAlignment="1">
      <alignment horizontal="center"/>
    </xf>
    <xf numFmtId="0" fontId="122" fillId="0" borderId="60" xfId="0" applyFont="1" applyBorder="1" applyAlignment="1">
      <alignment horizontal="right" vertical="center"/>
    </xf>
    <xf numFmtId="0" fontId="122" fillId="0" borderId="60" xfId="0" applyFont="1" applyBorder="1" applyAlignment="1">
      <alignment vertical="center"/>
    </xf>
    <xf numFmtId="0" fontId="122" fillId="7" borderId="60" xfId="0" applyFont="1" applyFill="1" applyBorder="1" applyAlignment="1">
      <alignment horizontal="right" vertical="center" wrapText="1"/>
    </xf>
    <xf numFmtId="0" fontId="122" fillId="0" borderId="60" xfId="0" applyFont="1" applyBorder="1" applyAlignment="1">
      <alignment horizontal="center" vertical="center"/>
    </xf>
    <xf numFmtId="0" fontId="122" fillId="0" borderId="60" xfId="0" applyFont="1" applyBorder="1" applyAlignment="1">
      <alignment horizontal="center" vertical="center" wrapText="1"/>
    </xf>
    <xf numFmtId="0" fontId="122" fillId="0" borderId="0" xfId="0" applyFont="1" applyAlignment="1">
      <alignment horizontal="left"/>
    </xf>
    <xf numFmtId="43" fontId="122" fillId="0" borderId="0" xfId="0" applyNumberFormat="1" applyFont="1"/>
    <xf numFmtId="43" fontId="122" fillId="0" borderId="61" xfId="0" applyNumberFormat="1" applyFont="1" applyBorder="1"/>
    <xf numFmtId="43" fontId="122" fillId="0" borderId="62" xfId="0" applyNumberFormat="1" applyFont="1" applyBorder="1"/>
    <xf numFmtId="175" fontId="122" fillId="0" borderId="63" xfId="0" applyNumberFormat="1" applyFont="1" applyBorder="1"/>
    <xf numFmtId="0" fontId="123" fillId="0" borderId="0" xfId="0" applyFont="1"/>
    <xf numFmtId="176" fontId="123" fillId="0" borderId="0" xfId="0" applyNumberFormat="1" applyFont="1" applyAlignment="1">
      <alignment horizontal="left"/>
    </xf>
    <xf numFmtId="0" fontId="147" fillId="0" borderId="0" xfId="0" applyFont="1" applyAlignment="1">
      <alignment horizontal="center"/>
    </xf>
    <xf numFmtId="49" fontId="123" fillId="0" borderId="0" xfId="0" applyNumberFormat="1" applyFont="1" applyAlignment="1">
      <alignment horizontal="center" vertical="center"/>
    </xf>
    <xf numFmtId="170" fontId="123" fillId="10" borderId="1" xfId="0" applyNumberFormat="1" applyFont="1" applyFill="1" applyBorder="1" applyAlignment="1">
      <alignment horizontal="center" vertical="center"/>
    </xf>
    <xf numFmtId="170" fontId="123" fillId="10" borderId="1" xfId="0" applyNumberFormat="1" applyFont="1" applyFill="1" applyBorder="1" applyAlignment="1">
      <alignment horizontal="center"/>
    </xf>
    <xf numFmtId="173" fontId="123" fillId="0" borderId="0" xfId="0" applyNumberFormat="1" applyFont="1" applyAlignment="1">
      <alignment horizontal="center"/>
    </xf>
    <xf numFmtId="170" fontId="123" fillId="0" borderId="0" xfId="0" applyNumberFormat="1" applyFont="1"/>
    <xf numFmtId="43" fontId="123" fillId="0" borderId="0" xfId="0" applyNumberFormat="1" applyFont="1" applyAlignment="1">
      <alignment horizontal="center"/>
    </xf>
    <xf numFmtId="0" fontId="123" fillId="11" borderId="1" xfId="0" applyFont="1" applyFill="1" applyBorder="1" applyAlignment="1">
      <alignment horizontal="center"/>
    </xf>
    <xf numFmtId="177" fontId="123" fillId="0" borderId="0" xfId="0" applyNumberFormat="1" applyFont="1"/>
    <xf numFmtId="44" fontId="123" fillId="0" borderId="0" xfId="0" applyNumberFormat="1" applyFont="1"/>
    <xf numFmtId="0" fontId="123" fillId="11" borderId="1" xfId="0" applyFont="1" applyFill="1" applyBorder="1" applyAlignment="1">
      <alignment horizontal="right"/>
    </xf>
    <xf numFmtId="43" fontId="123" fillId="11" borderId="1" xfId="0" applyNumberFormat="1" applyFont="1" applyFill="1" applyBorder="1"/>
    <xf numFmtId="0" fontId="121" fillId="12" borderId="60" xfId="0" applyFont="1" applyFill="1" applyBorder="1" applyAlignment="1">
      <alignment horizontal="center"/>
    </xf>
    <xf numFmtId="0" fontId="121" fillId="12" borderId="64" xfId="0" applyFont="1" applyFill="1" applyBorder="1" applyAlignment="1">
      <alignment horizontal="center"/>
    </xf>
    <xf numFmtId="0" fontId="121" fillId="12" borderId="65" xfId="0" applyFont="1" applyFill="1" applyBorder="1" applyAlignment="1">
      <alignment horizontal="center"/>
    </xf>
    <xf numFmtId="0" fontId="121" fillId="12" borderId="66" xfId="0" applyFont="1" applyFill="1" applyBorder="1" applyAlignment="1">
      <alignment horizontal="center"/>
    </xf>
    <xf numFmtId="0" fontId="121" fillId="12" borderId="67" xfId="0" applyFont="1" applyFill="1" applyBorder="1" applyAlignment="1">
      <alignment horizontal="center"/>
    </xf>
    <xf numFmtId="0" fontId="121" fillId="0" borderId="68" xfId="0" applyFont="1" applyBorder="1"/>
    <xf numFmtId="37" fontId="121" fillId="0" borderId="69" xfId="0" applyNumberFormat="1" applyFont="1" applyBorder="1" applyAlignment="1">
      <alignment horizontal="center"/>
    </xf>
    <xf numFmtId="1" fontId="121" fillId="0" borderId="71" xfId="0" applyNumberFormat="1" applyFont="1" applyBorder="1" applyAlignment="1">
      <alignment horizontal="center"/>
    </xf>
    <xf numFmtId="1" fontId="121" fillId="0" borderId="72" xfId="0" applyNumberFormat="1" applyFont="1" applyBorder="1" applyAlignment="1">
      <alignment horizontal="center"/>
    </xf>
    <xf numFmtId="9" fontId="121" fillId="0" borderId="73" xfId="0" applyNumberFormat="1" applyFont="1" applyBorder="1" applyAlignment="1">
      <alignment horizontal="center"/>
    </xf>
    <xf numFmtId="9" fontId="121" fillId="0" borderId="74" xfId="0" applyNumberFormat="1" applyFont="1" applyBorder="1" applyAlignment="1">
      <alignment horizontal="center"/>
    </xf>
    <xf numFmtId="0" fontId="122" fillId="0" borderId="68" xfId="0" applyFont="1" applyBorder="1"/>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69"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2" fontId="122" fillId="0" borderId="71" xfId="0" applyNumberFormat="1" applyFont="1" applyBorder="1" applyAlignment="1">
      <alignment horizontal="center"/>
    </xf>
    <xf numFmtId="2" fontId="122" fillId="0" borderId="72" xfId="0" applyNumberFormat="1" applyFont="1" applyBorder="1" applyAlignment="1">
      <alignment horizontal="center"/>
    </xf>
    <xf numFmtId="9" fontId="122" fillId="0" borderId="72" xfId="0" applyNumberFormat="1" applyFont="1" applyBorder="1" applyAlignment="1">
      <alignment horizontal="center"/>
    </xf>
    <xf numFmtId="0" fontId="121" fillId="0" borderId="76" xfId="0" applyFont="1" applyBorder="1"/>
    <xf numFmtId="0" fontId="122" fillId="0" borderId="77" xfId="0" applyFont="1" applyBorder="1"/>
    <xf numFmtId="167" fontId="122" fillId="0" borderId="78" xfId="0" applyNumberFormat="1" applyFont="1" applyBorder="1" applyAlignment="1">
      <alignment horizontal="center"/>
    </xf>
    <xf numFmtId="167" fontId="122" fillId="0" borderId="79" xfId="0" applyNumberFormat="1" applyFont="1" applyBorder="1" applyAlignment="1">
      <alignment horizontal="center"/>
    </xf>
    <xf numFmtId="9" fontId="122" fillId="0" borderId="78" xfId="0" applyNumberFormat="1" applyFont="1" applyBorder="1" applyAlignment="1">
      <alignment horizontal="center"/>
    </xf>
    <xf numFmtId="9" fontId="122" fillId="0" borderId="80" xfId="0" applyNumberFormat="1" applyFont="1" applyBorder="1" applyAlignment="1">
      <alignment horizontal="center"/>
    </xf>
    <xf numFmtId="0" fontId="122" fillId="0" borderId="68" xfId="0" applyFont="1" applyBorder="1" applyAlignment="1">
      <alignment horizontal="left"/>
    </xf>
    <xf numFmtId="0" fontId="122" fillId="0" borderId="69" xfId="0" applyFont="1" applyBorder="1" applyAlignment="1">
      <alignment horizontal="center"/>
    </xf>
    <xf numFmtId="0" fontId="122" fillId="0" borderId="81" xfId="0" applyFont="1" applyBorder="1" applyAlignment="1">
      <alignment horizontal="left"/>
    </xf>
    <xf numFmtId="167" fontId="122" fillId="0" borderId="82" xfId="0" applyNumberFormat="1" applyFont="1" applyBorder="1" applyAlignment="1">
      <alignment horizontal="center"/>
    </xf>
    <xf numFmtId="167" fontId="122" fillId="0" borderId="84" xfId="0" applyNumberFormat="1" applyFont="1" applyBorder="1" applyAlignment="1">
      <alignment horizontal="center"/>
    </xf>
    <xf numFmtId="167" fontId="122" fillId="0" borderId="85" xfId="0" applyNumberFormat="1" applyFont="1" applyBorder="1" applyAlignment="1">
      <alignment horizontal="center"/>
    </xf>
    <xf numFmtId="9" fontId="122" fillId="0" borderId="84" xfId="0" applyNumberFormat="1" applyFont="1" applyBorder="1" applyAlignment="1">
      <alignment horizontal="center"/>
    </xf>
    <xf numFmtId="9" fontId="122" fillId="0" borderId="86" xfId="0" applyNumberFormat="1" applyFont="1" applyBorder="1" applyAlignment="1">
      <alignment horizontal="center"/>
    </xf>
    <xf numFmtId="167" fontId="122" fillId="0" borderId="0" xfId="0" applyNumberFormat="1" applyFont="1"/>
    <xf numFmtId="0" fontId="121" fillId="14" borderId="60" xfId="0" applyFont="1" applyFill="1" applyBorder="1" applyAlignment="1">
      <alignment horizontal="center"/>
    </xf>
    <xf numFmtId="0" fontId="121" fillId="14" borderId="64" xfId="0" applyFont="1" applyFill="1" applyBorder="1" applyAlignment="1">
      <alignment horizontal="center"/>
    </xf>
    <xf numFmtId="0" fontId="121" fillId="14" borderId="65" xfId="0" applyFont="1" applyFill="1" applyBorder="1" applyAlignment="1">
      <alignment horizontal="center"/>
    </xf>
    <xf numFmtId="0" fontId="121" fillId="14" borderId="67" xfId="0" applyFont="1" applyFill="1" applyBorder="1" applyAlignment="1">
      <alignment horizontal="center"/>
    </xf>
    <xf numFmtId="0" fontId="121" fillId="15" borderId="60" xfId="0" applyFont="1" applyFill="1" applyBorder="1" applyAlignment="1">
      <alignment horizontal="center"/>
    </xf>
    <xf numFmtId="177" fontId="122" fillId="0" borderId="69" xfId="0" applyNumberFormat="1" applyFont="1" applyBorder="1" applyAlignment="1">
      <alignment horizontal="center"/>
    </xf>
    <xf numFmtId="0" fontId="121" fillId="9" borderId="60" xfId="0" applyFont="1" applyFill="1" applyBorder="1" applyAlignment="1">
      <alignment horizontal="center"/>
    </xf>
    <xf numFmtId="0" fontId="121" fillId="9" borderId="64" xfId="0" applyFont="1" applyFill="1" applyBorder="1" applyAlignment="1">
      <alignment horizontal="center"/>
    </xf>
    <xf numFmtId="0" fontId="121" fillId="9" borderId="65" xfId="0" applyFont="1" applyFill="1" applyBorder="1" applyAlignment="1">
      <alignment horizontal="center"/>
    </xf>
    <xf numFmtId="0" fontId="121" fillId="9" borderId="67" xfId="0" applyFont="1" applyFill="1" applyBorder="1" applyAlignment="1">
      <alignment horizontal="center"/>
    </xf>
    <xf numFmtId="167" fontId="121" fillId="0" borderId="69" xfId="0" applyNumberFormat="1" applyFont="1" applyBorder="1" applyAlignment="1">
      <alignment horizontal="center"/>
    </xf>
    <xf numFmtId="167" fontId="121" fillId="0" borderId="71" xfId="0" applyNumberFormat="1" applyFont="1" applyBorder="1" applyAlignment="1">
      <alignment horizontal="center"/>
    </xf>
    <xf numFmtId="167" fontId="121" fillId="0" borderId="72" xfId="0" applyNumberFormat="1" applyFont="1" applyBorder="1" applyAlignment="1">
      <alignment horizontal="center"/>
    </xf>
    <xf numFmtId="9" fontId="121" fillId="0" borderId="71" xfId="0" applyNumberFormat="1" applyFont="1" applyBorder="1" applyAlignment="1">
      <alignment horizontal="center"/>
    </xf>
    <xf numFmtId="9" fontId="121" fillId="0" borderId="75" xfId="0" applyNumberFormat="1" applyFont="1" applyBorder="1" applyAlignment="1">
      <alignment horizontal="center"/>
    </xf>
    <xf numFmtId="0" fontId="122" fillId="0" borderId="81" xfId="0" applyFont="1" applyBorder="1"/>
    <xf numFmtId="0" fontId="121" fillId="8" borderId="60" xfId="0" applyFont="1" applyFill="1" applyBorder="1" applyAlignment="1">
      <alignment horizontal="center"/>
    </xf>
    <xf numFmtId="0" fontId="121" fillId="8" borderId="64" xfId="0" applyFont="1" applyFill="1" applyBorder="1" applyAlignment="1">
      <alignment horizontal="center"/>
    </xf>
    <xf numFmtId="0" fontId="121" fillId="8" borderId="65" xfId="0" applyFont="1" applyFill="1" applyBorder="1" applyAlignment="1">
      <alignment horizontal="center"/>
    </xf>
    <xf numFmtId="0" fontId="121" fillId="8" borderId="67" xfId="0" applyFont="1" applyFill="1" applyBorder="1" applyAlignment="1">
      <alignment horizontal="center"/>
    </xf>
    <xf numFmtId="0" fontId="121" fillId="16" borderId="60" xfId="0" applyFont="1" applyFill="1" applyBorder="1" applyAlignment="1">
      <alignment horizontal="center"/>
    </xf>
    <xf numFmtId="0" fontId="121" fillId="0" borderId="68" xfId="0" applyFont="1" applyBorder="1" applyAlignment="1">
      <alignment horizontal="left"/>
    </xf>
    <xf numFmtId="0" fontId="121" fillId="17" borderId="60" xfId="0" applyFont="1" applyFill="1" applyBorder="1" applyAlignment="1">
      <alignment horizontal="center"/>
    </xf>
    <xf numFmtId="0" fontId="121" fillId="17" borderId="64" xfId="0" applyFont="1" applyFill="1" applyBorder="1" applyAlignment="1">
      <alignment horizontal="center"/>
    </xf>
    <xf numFmtId="0" fontId="121" fillId="17" borderId="65" xfId="0" applyFont="1" applyFill="1" applyBorder="1" applyAlignment="1">
      <alignment horizontal="center"/>
    </xf>
    <xf numFmtId="0" fontId="121" fillId="17" borderId="67" xfId="0" applyFont="1" applyFill="1" applyBorder="1" applyAlignment="1">
      <alignment horizontal="center"/>
    </xf>
    <xf numFmtId="0" fontId="121" fillId="18" borderId="87" xfId="0" applyFont="1" applyFill="1" applyBorder="1" applyAlignment="1">
      <alignment horizontal="center"/>
    </xf>
    <xf numFmtId="1"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0" fontId="121" fillId="19" borderId="60" xfId="0" applyFont="1" applyFill="1" applyBorder="1" applyAlignment="1">
      <alignment horizontal="center"/>
    </xf>
    <xf numFmtId="0" fontId="121" fillId="19" borderId="64" xfId="0" applyFont="1" applyFill="1" applyBorder="1" applyAlignment="1">
      <alignment horizontal="center"/>
    </xf>
    <xf numFmtId="0" fontId="121" fillId="19" borderId="65" xfId="0" applyFont="1" applyFill="1" applyBorder="1" applyAlignment="1">
      <alignment horizontal="center"/>
    </xf>
    <xf numFmtId="0" fontId="121" fillId="19" borderId="67" xfId="0" applyFont="1" applyFill="1" applyBorder="1" applyAlignment="1">
      <alignment horizontal="center"/>
    </xf>
    <xf numFmtId="0" fontId="121" fillId="20" borderId="60" xfId="0" applyFont="1" applyFill="1" applyBorder="1" applyAlignment="1">
      <alignment horizontal="center"/>
    </xf>
    <xf numFmtId="167" fontId="122" fillId="0" borderId="73" xfId="0" applyNumberFormat="1" applyFont="1" applyBorder="1" applyAlignment="1">
      <alignment horizontal="center"/>
    </xf>
    <xf numFmtId="167" fontId="122" fillId="0" borderId="89" xfId="0" applyNumberFormat="1" applyFont="1" applyBorder="1" applyAlignment="1">
      <alignment horizontal="center"/>
    </xf>
    <xf numFmtId="173" fontId="122" fillId="0" borderId="69" xfId="0" applyNumberFormat="1" applyFont="1" applyBorder="1" applyAlignment="1">
      <alignment horizontal="center"/>
    </xf>
    <xf numFmtId="173" fontId="122" fillId="0" borderId="82" xfId="0" applyNumberFormat="1" applyFont="1" applyBorder="1" applyAlignment="1">
      <alignment horizontal="center"/>
    </xf>
    <xf numFmtId="2" fontId="122" fillId="0" borderId="84" xfId="0" applyNumberFormat="1" applyFont="1" applyBorder="1" applyAlignment="1">
      <alignment horizontal="center"/>
    </xf>
    <xf numFmtId="2" fontId="122" fillId="0" borderId="85" xfId="0" applyNumberFormat="1" applyFont="1" applyBorder="1" applyAlignment="1">
      <alignment horizontal="center"/>
    </xf>
    <xf numFmtId="0" fontId="126" fillId="0" borderId="0" xfId="0" applyFont="1" applyAlignment="1">
      <alignment horizontal="center" vertical="center"/>
    </xf>
    <xf numFmtId="0" fontId="131" fillId="0" borderId="0" xfId="0" applyFont="1" applyAlignment="1">
      <alignment horizontal="center"/>
    </xf>
    <xf numFmtId="0" fontId="150" fillId="21" borderId="10" xfId="0" applyFont="1" applyFill="1" applyBorder="1"/>
    <xf numFmtId="0" fontId="151" fillId="21" borderId="11" xfId="0" applyFont="1" applyFill="1" applyBorder="1"/>
    <xf numFmtId="0" fontId="132" fillId="0" borderId="3" xfId="0" applyFont="1" applyBorder="1"/>
    <xf numFmtId="0" fontId="152" fillId="21" borderId="20" xfId="0" applyFont="1" applyFill="1" applyBorder="1"/>
    <xf numFmtId="10" fontId="152" fillId="21" borderId="21" xfId="0" applyNumberFormat="1" applyFont="1" applyFill="1" applyBorder="1"/>
    <xf numFmtId="0" fontId="132" fillId="0" borderId="6" xfId="0" applyFont="1" applyBorder="1"/>
    <xf numFmtId="3" fontId="132" fillId="0" borderId="90" xfId="0" applyNumberFormat="1" applyFont="1" applyBorder="1" applyAlignment="1">
      <alignment horizontal="center"/>
    </xf>
    <xf numFmtId="3" fontId="132" fillId="0" borderId="0" xfId="0" applyNumberFormat="1" applyFont="1" applyAlignment="1">
      <alignment horizontal="center"/>
    </xf>
    <xf numFmtId="3" fontId="132" fillId="0" borderId="9" xfId="0" applyNumberFormat="1" applyFont="1" applyBorder="1" applyAlignment="1">
      <alignment horizontal="center"/>
    </xf>
    <xf numFmtId="3" fontId="132" fillId="0" borderId="8" xfId="0" applyNumberFormat="1" applyFont="1" applyBorder="1" applyAlignment="1">
      <alignment horizontal="center"/>
    </xf>
    <xf numFmtId="0" fontId="132" fillId="0" borderId="91" xfId="0" applyFont="1" applyBorder="1"/>
    <xf numFmtId="3" fontId="132" fillId="0" borderId="14" xfId="0" applyNumberFormat="1" applyFont="1" applyBorder="1" applyAlignment="1">
      <alignment horizontal="center"/>
    </xf>
    <xf numFmtId="3" fontId="132" fillId="0" borderId="5" xfId="0" applyNumberFormat="1" applyFont="1" applyBorder="1"/>
    <xf numFmtId="3" fontId="132" fillId="0" borderId="14" xfId="0" applyNumberFormat="1" applyFont="1" applyBorder="1" applyAlignment="1">
      <alignment horizontal="right"/>
    </xf>
    <xf numFmtId="3" fontId="132" fillId="0" borderId="91" xfId="0" applyNumberFormat="1" applyFont="1" applyBorder="1" applyAlignment="1">
      <alignment horizontal="center"/>
    </xf>
    <xf numFmtId="0" fontId="132" fillId="0" borderId="8" xfId="0" applyFont="1" applyBorder="1"/>
    <xf numFmtId="3" fontId="132" fillId="0" borderId="0" xfId="0" applyNumberFormat="1" applyFont="1"/>
    <xf numFmtId="3" fontId="132" fillId="0" borderId="8" xfId="0" applyNumberFormat="1" applyFont="1" applyBorder="1"/>
    <xf numFmtId="3" fontId="132" fillId="0" borderId="9" xfId="0" applyNumberFormat="1" applyFont="1" applyBorder="1"/>
    <xf numFmtId="0" fontId="151" fillId="21" borderId="12" xfId="0" applyFont="1" applyFill="1" applyBorder="1"/>
    <xf numFmtId="10" fontId="152" fillId="21" borderId="13" xfId="0" applyNumberFormat="1" applyFont="1" applyFill="1" applyBorder="1"/>
    <xf numFmtId="0" fontId="125" fillId="0" borderId="6" xfId="0" applyFont="1" applyBorder="1"/>
    <xf numFmtId="3" fontId="125" fillId="0" borderId="90" xfId="0" applyNumberFormat="1" applyFont="1" applyBorder="1"/>
    <xf numFmtId="3" fontId="125" fillId="0" borderId="7" xfId="0" applyNumberFormat="1" applyFont="1" applyBorder="1"/>
    <xf numFmtId="3" fontId="125" fillId="0" borderId="6" xfId="0" applyNumberFormat="1" applyFont="1" applyBorder="1"/>
    <xf numFmtId="0" fontId="132" fillId="0" borderId="9" xfId="0" applyFont="1" applyBorder="1"/>
    <xf numFmtId="173" fontId="125" fillId="0" borderId="8" xfId="0" applyNumberFormat="1" applyFont="1" applyBorder="1"/>
    <xf numFmtId="173" fontId="125" fillId="0" borderId="9" xfId="0" applyNumberFormat="1" applyFont="1" applyBorder="1"/>
    <xf numFmtId="0" fontId="125" fillId="0" borderId="91" xfId="0" applyFont="1" applyBorder="1"/>
    <xf numFmtId="3" fontId="132" fillId="0" borderId="91" xfId="0" applyNumberFormat="1" applyFont="1" applyBorder="1"/>
    <xf numFmtId="3" fontId="125" fillId="0" borderId="91" xfId="0" applyNumberFormat="1" applyFont="1" applyBorder="1"/>
    <xf numFmtId="3" fontId="125" fillId="0" borderId="14" xfId="0" applyNumberFormat="1" applyFont="1" applyBorder="1"/>
    <xf numFmtId="0" fontId="125" fillId="0" borderId="8" xfId="0" applyFont="1" applyBorder="1"/>
    <xf numFmtId="3" fontId="132" fillId="0" borderId="90" xfId="0" applyNumberFormat="1" applyFont="1" applyBorder="1"/>
    <xf numFmtId="3" fontId="132" fillId="0" borderId="7" xfId="0" applyNumberFormat="1" applyFont="1" applyBorder="1"/>
    <xf numFmtId="3" fontId="132" fillId="0" borderId="6" xfId="0" applyNumberFormat="1" applyFont="1" applyBorder="1"/>
    <xf numFmtId="43" fontId="132" fillId="0" borderId="0" xfId="0" applyNumberFormat="1" applyFont="1"/>
    <xf numFmtId="3" fontId="125" fillId="0" borderId="8" xfId="0" applyNumberFormat="1" applyFont="1" applyBorder="1"/>
    <xf numFmtId="37" fontId="132" fillId="0" borderId="9" xfId="0" applyNumberFormat="1" applyFont="1" applyBorder="1"/>
    <xf numFmtId="37" fontId="132" fillId="0" borderId="8" xfId="0" applyNumberFormat="1" applyFont="1" applyBorder="1"/>
    <xf numFmtId="0" fontId="125" fillId="3" borderId="10" xfId="0" applyFont="1" applyFill="1" applyBorder="1"/>
    <xf numFmtId="37" fontId="125" fillId="3" borderId="26" xfId="0" applyNumberFormat="1" applyFont="1" applyFill="1" applyBorder="1"/>
    <xf numFmtId="3" fontId="125" fillId="3" borderId="26" xfId="0" applyNumberFormat="1" applyFont="1" applyFill="1" applyBorder="1"/>
    <xf numFmtId="37" fontId="125" fillId="3" borderId="11" xfId="0" applyNumberFormat="1" applyFont="1" applyFill="1" applyBorder="1"/>
    <xf numFmtId="37" fontId="125" fillId="3" borderId="10" xfId="0" applyNumberFormat="1" applyFont="1" applyFill="1" applyBorder="1"/>
    <xf numFmtId="0" fontId="125" fillId="3" borderId="12" xfId="0" applyFont="1" applyFill="1" applyBorder="1"/>
    <xf numFmtId="0" fontId="125" fillId="3" borderId="27" xfId="0" applyFont="1" applyFill="1" applyBorder="1"/>
    <xf numFmtId="0" fontId="125" fillId="3" borderId="13" xfId="0" applyFont="1" applyFill="1" applyBorder="1"/>
    <xf numFmtId="173" fontId="125" fillId="3" borderId="12" xfId="0" applyNumberFormat="1" applyFont="1" applyFill="1" applyBorder="1"/>
    <xf numFmtId="173" fontId="125" fillId="3" borderId="13" xfId="0" applyNumberFormat="1" applyFont="1" applyFill="1" applyBorder="1"/>
    <xf numFmtId="0" fontId="125" fillId="0" borderId="9" xfId="0" applyFont="1" applyBorder="1"/>
    <xf numFmtId="0" fontId="125" fillId="0" borderId="8" xfId="0" applyFont="1" applyBorder="1" applyAlignment="1">
      <alignment horizontal="left"/>
    </xf>
    <xf numFmtId="173" fontId="132" fillId="0" borderId="0" xfId="0" applyNumberFormat="1" applyFont="1" applyAlignment="1">
      <alignment horizontal="right"/>
    </xf>
    <xf numFmtId="37" fontId="132" fillId="0" borderId="0" xfId="0" applyNumberFormat="1" applyFont="1"/>
    <xf numFmtId="173" fontId="132" fillId="0" borderId="8" xfId="0" applyNumberFormat="1" applyFont="1" applyBorder="1"/>
    <xf numFmtId="173" fontId="132" fillId="0" borderId="14" xfId="0" applyNumberFormat="1" applyFont="1" applyBorder="1" applyAlignment="1">
      <alignment horizontal="right"/>
    </xf>
    <xf numFmtId="37" fontId="132" fillId="0" borderId="14" xfId="0" applyNumberFormat="1" applyFont="1" applyBorder="1"/>
    <xf numFmtId="173" fontId="132" fillId="0" borderId="91" xfId="0" applyNumberFormat="1" applyFont="1" applyBorder="1"/>
    <xf numFmtId="37" fontId="132" fillId="0" borderId="5" xfId="0" applyNumberFormat="1" applyFont="1" applyBorder="1"/>
    <xf numFmtId="0" fontId="132" fillId="0" borderId="0" xfId="0" applyFont="1" applyAlignment="1">
      <alignment horizontal="right"/>
    </xf>
    <xf numFmtId="0" fontId="132" fillId="0" borderId="8" xfId="0" applyFont="1" applyBorder="1" applyAlignment="1">
      <alignment horizontal="right"/>
    </xf>
    <xf numFmtId="0" fontId="132" fillId="0" borderId="14" xfId="0" applyFont="1" applyBorder="1" applyAlignment="1">
      <alignment horizontal="right"/>
    </xf>
    <xf numFmtId="0" fontId="132" fillId="0" borderId="91" xfId="0" applyFont="1" applyBorder="1" applyAlignment="1">
      <alignment horizontal="right"/>
    </xf>
    <xf numFmtId="0" fontId="125" fillId="3" borderId="28" xfId="0" applyFont="1" applyFill="1" applyBorder="1"/>
    <xf numFmtId="0" fontId="125" fillId="3" borderId="29" xfId="0" applyFont="1" applyFill="1" applyBorder="1" applyAlignment="1">
      <alignment horizontal="center"/>
    </xf>
    <xf numFmtId="173" fontId="125" fillId="3" borderId="29" xfId="0" applyNumberFormat="1" applyFont="1" applyFill="1" applyBorder="1"/>
    <xf numFmtId="37" fontId="125" fillId="3" borderId="30" xfId="0" applyNumberFormat="1" applyFont="1" applyFill="1" applyBorder="1"/>
    <xf numFmtId="0" fontId="125" fillId="3" borderId="28" xfId="0" applyFont="1" applyFill="1" applyBorder="1" applyAlignment="1">
      <alignment horizontal="center"/>
    </xf>
    <xf numFmtId="0" fontId="132" fillId="3" borderId="31" xfId="0" applyFont="1" applyFill="1" applyBorder="1"/>
    <xf numFmtId="0" fontId="132" fillId="3" borderId="28" xfId="0" applyFont="1" applyFill="1" applyBorder="1"/>
    <xf numFmtId="0" fontId="133" fillId="0" borderId="8" xfId="0" applyFont="1" applyBorder="1"/>
    <xf numFmtId="0" fontId="133" fillId="0" borderId="91" xfId="0" applyFont="1" applyBorder="1"/>
    <xf numFmtId="0" fontId="132" fillId="0" borderId="90" xfId="0" applyFont="1" applyBorder="1" applyAlignment="1">
      <alignment horizontal="right"/>
    </xf>
    <xf numFmtId="0" fontId="132" fillId="0" borderId="90" xfId="0" applyFont="1" applyBorder="1"/>
    <xf numFmtId="0" fontId="132" fillId="0" borderId="6" xfId="0" applyFont="1" applyBorder="1" applyAlignment="1">
      <alignment horizontal="right"/>
    </xf>
    <xf numFmtId="37" fontId="132" fillId="0" borderId="7" xfId="0" applyNumberFormat="1" applyFont="1" applyBorder="1"/>
    <xf numFmtId="0" fontId="132" fillId="0" borderId="14" xfId="0" applyFont="1" applyBorder="1"/>
    <xf numFmtId="37" fontId="125" fillId="0" borderId="0" xfId="0" applyNumberFormat="1" applyFont="1"/>
    <xf numFmtId="1" fontId="132" fillId="0" borderId="8" xfId="0" applyNumberFormat="1" applyFont="1" applyBorder="1"/>
    <xf numFmtId="170" fontId="132" fillId="0" borderId="0" xfId="0" applyNumberFormat="1" applyFont="1"/>
    <xf numFmtId="0" fontId="125" fillId="6" borderId="20" xfId="0" applyFont="1" applyFill="1" applyBorder="1"/>
    <xf numFmtId="0" fontId="132" fillId="6" borderId="1" xfId="0" applyFont="1" applyFill="1" applyBorder="1"/>
    <xf numFmtId="0" fontId="125" fillId="6" borderId="1" xfId="0" applyFont="1" applyFill="1" applyBorder="1"/>
    <xf numFmtId="37" fontId="125" fillId="6" borderId="21" xfId="0" applyNumberFormat="1" applyFont="1" applyFill="1" applyBorder="1"/>
    <xf numFmtId="0" fontId="132" fillId="6" borderId="20" xfId="0" applyFont="1" applyFill="1" applyBorder="1"/>
    <xf numFmtId="0" fontId="132" fillId="6" borderId="22" xfId="0" applyFont="1" applyFill="1" applyBorder="1"/>
    <xf numFmtId="0" fontId="132" fillId="6" borderId="23" xfId="0" applyFont="1" applyFill="1" applyBorder="1"/>
    <xf numFmtId="37" fontId="125" fillId="6" borderId="24" xfId="0" applyNumberFormat="1" applyFont="1" applyFill="1" applyBorder="1"/>
    <xf numFmtId="1" fontId="134" fillId="0" borderId="0" xfId="0" applyNumberFormat="1" applyFont="1"/>
    <xf numFmtId="37" fontId="134" fillId="0" borderId="0" xfId="0" applyNumberFormat="1" applyFont="1"/>
    <xf numFmtId="0" fontId="132" fillId="0" borderId="9" xfId="0" applyFont="1" applyBorder="1" applyAlignment="1">
      <alignment horizontal="center"/>
    </xf>
    <xf numFmtId="0" fontId="132" fillId="0" borderId="8" xfId="0" applyFont="1" applyBorder="1" applyAlignment="1">
      <alignment horizontal="center"/>
    </xf>
    <xf numFmtId="0" fontId="132" fillId="0" borderId="91" xfId="0" applyFont="1" applyBorder="1" applyAlignment="1">
      <alignment horizontal="center"/>
    </xf>
    <xf numFmtId="0" fontId="132" fillId="0" borderId="5" xfId="0" applyFont="1" applyBorder="1" applyAlignment="1">
      <alignment horizontal="center"/>
    </xf>
    <xf numFmtId="0" fontId="154" fillId="0" borderId="0" xfId="0" applyFont="1"/>
    <xf numFmtId="39" fontId="132" fillId="0" borderId="0" xfId="0" applyNumberFormat="1" applyFont="1"/>
    <xf numFmtId="3" fontId="125" fillId="0" borderId="5" xfId="0" applyNumberFormat="1" applyFont="1" applyBorder="1"/>
    <xf numFmtId="172" fontId="132" fillId="0" borderId="0" xfId="0" applyNumberFormat="1" applyFont="1"/>
    <xf numFmtId="173" fontId="125" fillId="9" borderId="13" xfId="0" applyNumberFormat="1" applyFont="1" applyFill="1" applyBorder="1"/>
    <xf numFmtId="173" fontId="132" fillId="0" borderId="0" xfId="0" applyNumberFormat="1" applyFont="1"/>
    <xf numFmtId="173" fontId="132" fillId="0" borderId="14" xfId="0" applyNumberFormat="1" applyFont="1" applyBorder="1"/>
    <xf numFmtId="0" fontId="125" fillId="0" borderId="0" xfId="0" applyFont="1" applyAlignment="1">
      <alignment horizontal="center"/>
    </xf>
    <xf numFmtId="173" fontId="125" fillId="0" borderId="0" xfId="0" applyNumberFormat="1" applyFont="1"/>
    <xf numFmtId="0" fontId="125" fillId="0" borderId="8" xfId="0" applyFont="1" applyBorder="1" applyAlignment="1">
      <alignment horizontal="center"/>
    </xf>
    <xf numFmtId="173" fontId="132" fillId="0" borderId="9" xfId="0" applyNumberFormat="1" applyFont="1" applyBorder="1"/>
    <xf numFmtId="39" fontId="132" fillId="0" borderId="14" xfId="0" applyNumberFormat="1" applyFont="1" applyBorder="1" applyAlignment="1">
      <alignment horizontal="center"/>
    </xf>
    <xf numFmtId="173" fontId="132" fillId="0" borderId="5" xfId="0" applyNumberFormat="1" applyFont="1" applyBorder="1"/>
    <xf numFmtId="37" fontId="132" fillId="0" borderId="91" xfId="0" applyNumberFormat="1" applyFont="1" applyBorder="1"/>
    <xf numFmtId="37" fontId="132" fillId="0" borderId="90" xfId="0" applyNumberFormat="1" applyFont="1" applyBorder="1"/>
    <xf numFmtId="37" fontId="132" fillId="0" borderId="6" xfId="0" applyNumberFormat="1" applyFont="1" applyBorder="1"/>
    <xf numFmtId="10" fontId="132" fillId="0" borderId="0" xfId="0" applyNumberFormat="1" applyFont="1"/>
    <xf numFmtId="173" fontId="125" fillId="0" borderId="5" xfId="0" applyNumberFormat="1" applyFont="1" applyBorder="1"/>
    <xf numFmtId="173" fontId="132" fillId="0" borderId="6" xfId="0" applyNumberFormat="1" applyFont="1" applyBorder="1"/>
    <xf numFmtId="172" fontId="125" fillId="0" borderId="0" xfId="0" applyNumberFormat="1" applyFont="1"/>
    <xf numFmtId="37" fontId="125" fillId="0" borderId="8" xfId="0" applyNumberFormat="1" applyFont="1" applyBorder="1"/>
    <xf numFmtId="37" fontId="125" fillId="0" borderId="9" xfId="0" applyNumberFormat="1" applyFont="1" applyBorder="1"/>
    <xf numFmtId="37" fontId="125" fillId="0" borderId="5" xfId="0" applyNumberFormat="1" applyFont="1" applyBorder="1"/>
    <xf numFmtId="37" fontId="132" fillId="0" borderId="93" xfId="0" applyNumberFormat="1" applyFont="1" applyBorder="1"/>
    <xf numFmtId="0" fontId="125" fillId="6" borderId="10" xfId="0" applyFont="1" applyFill="1" applyBorder="1"/>
    <xf numFmtId="37" fontId="125" fillId="6" borderId="26" xfId="0" applyNumberFormat="1" applyFont="1" applyFill="1" applyBorder="1"/>
    <xf numFmtId="37" fontId="125" fillId="6" borderId="11" xfId="0" applyNumberFormat="1" applyFont="1" applyFill="1" applyBorder="1"/>
    <xf numFmtId="37" fontId="125" fillId="6" borderId="10" xfId="0" applyNumberFormat="1" applyFont="1" applyFill="1" applyBorder="1"/>
    <xf numFmtId="0" fontId="125" fillId="6" borderId="22" xfId="0" applyFont="1" applyFill="1" applyBorder="1"/>
    <xf numFmtId="37" fontId="125" fillId="6" borderId="23" xfId="0" applyNumberFormat="1" applyFont="1" applyFill="1" applyBorder="1"/>
    <xf numFmtId="39" fontId="125" fillId="6" borderId="23" xfId="0" applyNumberFormat="1" applyFont="1" applyFill="1" applyBorder="1" applyAlignment="1">
      <alignment horizontal="center"/>
    </xf>
    <xf numFmtId="173" fontId="125" fillId="6" borderId="24" xfId="0" applyNumberFormat="1" applyFont="1" applyFill="1" applyBorder="1"/>
    <xf numFmtId="37" fontId="125" fillId="6" borderId="22" xfId="0" applyNumberFormat="1" applyFont="1" applyFill="1" applyBorder="1"/>
    <xf numFmtId="37" fontId="125" fillId="0" borderId="90" xfId="0" applyNumberFormat="1" applyFont="1" applyBorder="1"/>
    <xf numFmtId="37" fontId="125" fillId="0" borderId="7" xfId="0" applyNumberFormat="1" applyFont="1" applyBorder="1"/>
    <xf numFmtId="37" fontId="125" fillId="0" borderId="6" xfId="0" applyNumberFormat="1" applyFont="1" applyBorder="1"/>
    <xf numFmtId="0" fontId="125" fillId="6" borderId="19" xfId="0" applyFont="1" applyFill="1" applyBorder="1"/>
    <xf numFmtId="37" fontId="125" fillId="6" borderId="15" xfId="0" applyNumberFormat="1" applyFont="1" applyFill="1" applyBorder="1"/>
    <xf numFmtId="172" fontId="125" fillId="6" borderId="15" xfId="0" applyNumberFormat="1" applyFont="1" applyFill="1" applyBorder="1"/>
    <xf numFmtId="37" fontId="125" fillId="6" borderId="25" xfId="0" applyNumberFormat="1" applyFont="1" applyFill="1" applyBorder="1"/>
    <xf numFmtId="37" fontId="125" fillId="6" borderId="19" xfId="0" applyNumberFormat="1" applyFont="1" applyFill="1" applyBorder="1"/>
    <xf numFmtId="173" fontId="125" fillId="3" borderId="10" xfId="0" applyNumberFormat="1" applyFont="1" applyFill="1" applyBorder="1"/>
    <xf numFmtId="37" fontId="132" fillId="0" borderId="0" xfId="0" applyNumberFormat="1" applyFont="1" applyAlignment="1">
      <alignment horizontal="center"/>
    </xf>
    <xf numFmtId="0" fontId="132" fillId="0" borderId="14" xfId="0" applyFont="1" applyBorder="1" applyAlignment="1">
      <alignment horizontal="center"/>
    </xf>
    <xf numFmtId="1" fontId="132" fillId="0" borderId="6" xfId="0" applyNumberFormat="1" applyFont="1" applyBorder="1"/>
    <xf numFmtId="172" fontId="132" fillId="0" borderId="14" xfId="0" applyNumberFormat="1" applyFont="1" applyBorder="1"/>
    <xf numFmtId="2" fontId="132" fillId="0" borderId="14" xfId="0" applyNumberFormat="1" applyFont="1" applyBorder="1"/>
    <xf numFmtId="0" fontId="133" fillId="0" borderId="6" xfId="0" applyFont="1" applyBorder="1"/>
    <xf numFmtId="173" fontId="125" fillId="0" borderId="90" xfId="0" applyNumberFormat="1" applyFont="1" applyBorder="1"/>
    <xf numFmtId="173" fontId="125" fillId="0" borderId="6" xfId="0" applyNumberFormat="1" applyFont="1" applyBorder="1"/>
    <xf numFmtId="0" fontId="132" fillId="0" borderId="5" xfId="0" applyFont="1" applyBorder="1"/>
    <xf numFmtId="173" fontId="125" fillId="3" borderId="26" xfId="0" applyNumberFormat="1" applyFont="1" applyFill="1" applyBorder="1"/>
    <xf numFmtId="6" fontId="132" fillId="0" borderId="0" xfId="0" applyNumberFormat="1" applyFont="1"/>
    <xf numFmtId="0" fontId="155" fillId="22" borderId="1" xfId="0" applyFont="1" applyFill="1" applyBorder="1"/>
    <xf numFmtId="0" fontId="135" fillId="0" borderId="0" xfId="0" applyFont="1" applyAlignment="1">
      <alignment horizontal="center" vertical="center"/>
    </xf>
    <xf numFmtId="0" fontId="132" fillId="0" borderId="96" xfId="0" applyFont="1" applyBorder="1" applyAlignment="1">
      <alignment horizontal="left"/>
    </xf>
    <xf numFmtId="0" fontId="125" fillId="0" borderId="97" xfId="0" applyFont="1" applyBorder="1" applyAlignment="1">
      <alignment horizontal="center" vertical="center"/>
    </xf>
    <xf numFmtId="0" fontId="132" fillId="0" borderId="85" xfId="0" applyFont="1" applyBorder="1" applyAlignment="1">
      <alignment horizontal="center"/>
    </xf>
    <xf numFmtId="0" fontId="132" fillId="0" borderId="83" xfId="0" applyFont="1" applyBorder="1" applyAlignment="1">
      <alignment horizontal="center"/>
    </xf>
    <xf numFmtId="0" fontId="132" fillId="0" borderId="101" xfId="0" applyFont="1" applyBorder="1" applyAlignment="1">
      <alignment horizontal="center"/>
    </xf>
    <xf numFmtId="0" fontId="133" fillId="0" borderId="14" xfId="0" applyFont="1" applyBorder="1"/>
    <xf numFmtId="37" fontId="133" fillId="0" borderId="85" xfId="0" applyNumberFormat="1" applyFont="1" applyBorder="1"/>
    <xf numFmtId="37" fontId="133" fillId="0" borderId="83" xfId="0" applyNumberFormat="1" applyFont="1" applyBorder="1"/>
    <xf numFmtId="37" fontId="133" fillId="0" borderId="14" xfId="0" applyNumberFormat="1" applyFont="1" applyBorder="1"/>
    <xf numFmtId="173" fontId="133" fillId="0" borderId="14" xfId="0" applyNumberFormat="1" applyFont="1" applyBorder="1"/>
    <xf numFmtId="37" fontId="133" fillId="0" borderId="101" xfId="0" applyNumberFormat="1" applyFont="1" applyBorder="1"/>
    <xf numFmtId="173" fontId="133" fillId="0" borderId="5" xfId="0" applyNumberFormat="1" applyFont="1" applyBorder="1"/>
    <xf numFmtId="0" fontId="135" fillId="3" borderId="22" xfId="0" applyFont="1" applyFill="1" applyBorder="1"/>
    <xf numFmtId="0" fontId="135" fillId="3" borderId="23" xfId="0" applyFont="1" applyFill="1" applyBorder="1"/>
    <xf numFmtId="37" fontId="135" fillId="3" borderId="102" xfId="0" applyNumberFormat="1" applyFont="1" applyFill="1" applyBorder="1"/>
    <xf numFmtId="37" fontId="135" fillId="3" borderId="103" xfId="0" applyNumberFormat="1" applyFont="1" applyFill="1" applyBorder="1"/>
    <xf numFmtId="37" fontId="135" fillId="3" borderId="23" xfId="0" applyNumberFormat="1" applyFont="1" applyFill="1" applyBorder="1"/>
    <xf numFmtId="173" fontId="135" fillId="3" borderId="23" xfId="0" applyNumberFormat="1" applyFont="1" applyFill="1" applyBorder="1"/>
    <xf numFmtId="37" fontId="135" fillId="3" borderId="104" xfId="0" applyNumberFormat="1" applyFont="1" applyFill="1" applyBorder="1"/>
    <xf numFmtId="173" fontId="135" fillId="3" borderId="24" xfId="0" applyNumberFormat="1" applyFont="1" applyFill="1" applyBorder="1"/>
    <xf numFmtId="0" fontId="135" fillId="0" borderId="8" xfId="0" applyFont="1" applyBorder="1"/>
    <xf numFmtId="0" fontId="133" fillId="0" borderId="0" xfId="0" applyFont="1"/>
    <xf numFmtId="37" fontId="133" fillId="0" borderId="72" xfId="0" applyNumberFormat="1" applyFont="1" applyBorder="1"/>
    <xf numFmtId="37" fontId="133" fillId="0" borderId="70" xfId="0" applyNumberFormat="1" applyFont="1" applyBorder="1"/>
    <xf numFmtId="37" fontId="133" fillId="0" borderId="0" xfId="0" applyNumberFormat="1" applyFont="1"/>
    <xf numFmtId="173" fontId="133" fillId="0" borderId="0" xfId="0" applyNumberFormat="1" applyFont="1"/>
    <xf numFmtId="37" fontId="133" fillId="0" borderId="55" xfId="0" applyNumberFormat="1" applyFont="1" applyBorder="1"/>
    <xf numFmtId="173" fontId="133" fillId="0" borderId="7" xfId="0" applyNumberFormat="1" applyFont="1" applyBorder="1"/>
    <xf numFmtId="0" fontId="133" fillId="0" borderId="0" xfId="0" applyFont="1" applyAlignment="1">
      <alignment horizontal="right"/>
    </xf>
    <xf numFmtId="172" fontId="133" fillId="0" borderId="0" xfId="0" applyNumberFormat="1" applyFont="1"/>
    <xf numFmtId="0" fontId="133" fillId="0" borderId="70" xfId="0" applyFont="1" applyBorder="1"/>
    <xf numFmtId="173" fontId="133" fillId="0" borderId="9" xfId="0" applyNumberFormat="1" applyFont="1" applyBorder="1"/>
    <xf numFmtId="0" fontId="133" fillId="0" borderId="14" xfId="0" applyFont="1" applyBorder="1" applyAlignment="1">
      <alignment horizontal="right"/>
    </xf>
    <xf numFmtId="172" fontId="133" fillId="0" borderId="14" xfId="0" applyNumberFormat="1" applyFont="1" applyBorder="1"/>
    <xf numFmtId="0" fontId="133" fillId="0" borderId="83" xfId="0" applyFont="1" applyBorder="1"/>
    <xf numFmtId="173" fontId="133" fillId="0" borderId="85" xfId="0" applyNumberFormat="1" applyFont="1" applyBorder="1"/>
    <xf numFmtId="0" fontId="135" fillId="3" borderId="28" xfId="0" applyFont="1" applyFill="1" applyBorder="1"/>
    <xf numFmtId="0" fontId="135" fillId="3" borderId="29" xfId="0" applyFont="1" applyFill="1" applyBorder="1"/>
    <xf numFmtId="173" fontId="135" fillId="3" borderId="29" xfId="0" applyNumberFormat="1" applyFont="1" applyFill="1" applyBorder="1"/>
    <xf numFmtId="37" fontId="135" fillId="3" borderId="67" xfId="0" applyNumberFormat="1" applyFont="1" applyFill="1" applyBorder="1"/>
    <xf numFmtId="173" fontId="135" fillId="3" borderId="31" xfId="0" applyNumberFormat="1" applyFont="1" applyFill="1" applyBorder="1"/>
    <xf numFmtId="0" fontId="135" fillId="3" borderId="31" xfId="0" applyFont="1" applyFill="1" applyBorder="1"/>
    <xf numFmtId="37" fontId="135" fillId="3" borderId="29" xfId="0" applyNumberFormat="1" applyFont="1" applyFill="1" applyBorder="1"/>
    <xf numFmtId="173" fontId="133" fillId="0" borderId="72" xfId="0" applyNumberFormat="1" applyFont="1" applyBorder="1"/>
    <xf numFmtId="172" fontId="135" fillId="3" borderId="29" xfId="0" applyNumberFormat="1" applyFont="1" applyFill="1" applyBorder="1"/>
    <xf numFmtId="37" fontId="135" fillId="3" borderId="31" xfId="0" applyNumberFormat="1" applyFont="1" applyFill="1" applyBorder="1"/>
    <xf numFmtId="37" fontId="135" fillId="3" borderId="106" xfId="0" applyNumberFormat="1" applyFont="1" applyFill="1" applyBorder="1"/>
    <xf numFmtId="0" fontId="133" fillId="0" borderId="90" xfId="0" applyFont="1" applyBorder="1" applyAlignment="1">
      <alignment horizontal="right"/>
    </xf>
    <xf numFmtId="0" fontId="133" fillId="0" borderId="90" xfId="0" applyFont="1" applyBorder="1"/>
    <xf numFmtId="37" fontId="133" fillId="0" borderId="89" xfId="0" applyNumberFormat="1" applyFont="1" applyBorder="1"/>
    <xf numFmtId="0" fontId="133" fillId="0" borderId="88" xfId="0" applyFont="1" applyBorder="1"/>
    <xf numFmtId="172" fontId="133" fillId="0" borderId="90" xfId="0" applyNumberFormat="1" applyFont="1" applyBorder="1"/>
    <xf numFmtId="37" fontId="133" fillId="0" borderId="90" xfId="0" applyNumberFormat="1" applyFont="1" applyBorder="1"/>
    <xf numFmtId="173" fontId="133" fillId="0" borderId="90" xfId="0" applyNumberFormat="1" applyFont="1" applyBorder="1"/>
    <xf numFmtId="37" fontId="133" fillId="0" borderId="107" xfId="0" applyNumberFormat="1" applyFont="1" applyBorder="1"/>
    <xf numFmtId="9" fontId="123" fillId="0" borderId="0" xfId="0" applyNumberFormat="1" applyFont="1"/>
    <xf numFmtId="37" fontId="133" fillId="0" borderId="88" xfId="0" applyNumberFormat="1" applyFont="1" applyBorder="1"/>
    <xf numFmtId="0" fontId="133" fillId="3" borderId="29" xfId="0" applyFont="1" applyFill="1" applyBorder="1"/>
    <xf numFmtId="3" fontId="135" fillId="3" borderId="29" xfId="0" applyNumberFormat="1" applyFont="1" applyFill="1" applyBorder="1" applyAlignment="1">
      <alignment horizontal="center"/>
    </xf>
    <xf numFmtId="173" fontId="135" fillId="3" borderId="30" xfId="0" applyNumberFormat="1" applyFont="1" applyFill="1" applyBorder="1"/>
    <xf numFmtId="173" fontId="135" fillId="0" borderId="0" xfId="0" applyNumberFormat="1" applyFont="1"/>
    <xf numFmtId="0" fontId="135" fillId="0" borderId="0" xfId="0" applyFont="1"/>
    <xf numFmtId="173" fontId="133" fillId="0" borderId="89" xfId="0" applyNumberFormat="1" applyFont="1" applyBorder="1"/>
    <xf numFmtId="0" fontId="133" fillId="0" borderId="72" xfId="0" applyFont="1" applyBorder="1"/>
    <xf numFmtId="0" fontId="133" fillId="0" borderId="55" xfId="0" applyFont="1" applyBorder="1"/>
    <xf numFmtId="173" fontId="133" fillId="0" borderId="108" xfId="0" applyNumberFormat="1" applyFont="1" applyBorder="1"/>
    <xf numFmtId="173" fontId="135" fillId="0" borderId="90" xfId="0" applyNumberFormat="1" applyFont="1" applyBorder="1"/>
    <xf numFmtId="0" fontId="135" fillId="0" borderId="90" xfId="0" applyFont="1" applyBorder="1"/>
    <xf numFmtId="173" fontId="135" fillId="0" borderId="88" xfId="0" applyNumberFormat="1" applyFont="1" applyBorder="1"/>
    <xf numFmtId="37" fontId="135" fillId="0" borderId="88" xfId="0" applyNumberFormat="1" applyFont="1" applyBorder="1"/>
    <xf numFmtId="37" fontId="135" fillId="0" borderId="90" xfId="0" applyNumberFormat="1" applyFont="1" applyBorder="1"/>
    <xf numFmtId="37" fontId="135" fillId="0" borderId="0" xfId="0" applyNumberFormat="1" applyFont="1"/>
    <xf numFmtId="1" fontId="135" fillId="0" borderId="0" xfId="0" applyNumberFormat="1" applyFont="1"/>
    <xf numFmtId="37" fontId="135" fillId="0" borderId="70" xfId="0" applyNumberFormat="1" applyFont="1" applyBorder="1"/>
    <xf numFmtId="173" fontId="135" fillId="0" borderId="70" xfId="0" applyNumberFormat="1" applyFont="1" applyBorder="1"/>
    <xf numFmtId="43" fontId="135" fillId="0" borderId="70" xfId="0" applyNumberFormat="1" applyFont="1" applyBorder="1"/>
    <xf numFmtId="37" fontId="133" fillId="3" borderId="106" xfId="0" applyNumberFormat="1" applyFont="1" applyFill="1" applyBorder="1"/>
    <xf numFmtId="0" fontId="135" fillId="6" borderId="19" xfId="0" applyFont="1" applyFill="1" applyBorder="1"/>
    <xf numFmtId="0" fontId="135" fillId="6" borderId="15" xfId="0" applyFont="1" applyFill="1" applyBorder="1"/>
    <xf numFmtId="37" fontId="135" fillId="6" borderId="15" xfId="0" applyNumberFormat="1" applyFont="1" applyFill="1" applyBorder="1"/>
    <xf numFmtId="37" fontId="133" fillId="6" borderId="109" xfId="0" applyNumberFormat="1" applyFont="1" applyFill="1" applyBorder="1"/>
    <xf numFmtId="0" fontId="133" fillId="6" borderId="15" xfId="0" applyFont="1" applyFill="1" applyBorder="1"/>
    <xf numFmtId="37" fontId="133" fillId="6" borderId="110" xfId="0" applyNumberFormat="1" applyFont="1" applyFill="1" applyBorder="1"/>
    <xf numFmtId="37" fontId="133" fillId="6" borderId="1" xfId="0" applyNumberFormat="1" applyFont="1" applyFill="1" applyBorder="1"/>
    <xf numFmtId="173" fontId="133" fillId="6" borderId="1" xfId="0" applyNumberFormat="1" applyFont="1" applyFill="1" applyBorder="1"/>
    <xf numFmtId="37" fontId="133" fillId="6" borderId="111" xfId="0" applyNumberFormat="1" applyFont="1" applyFill="1" applyBorder="1"/>
    <xf numFmtId="173" fontId="133" fillId="0" borderId="94" xfId="0" applyNumberFormat="1" applyFont="1" applyBorder="1"/>
    <xf numFmtId="0" fontId="135" fillId="3" borderId="36" xfId="0" applyFont="1" applyFill="1" applyBorder="1"/>
    <xf numFmtId="0" fontId="135" fillId="3" borderId="37" xfId="0" applyFont="1" applyFill="1" applyBorder="1"/>
    <xf numFmtId="0" fontId="135" fillId="3" borderId="37" xfId="0" applyFont="1" applyFill="1" applyBorder="1" applyAlignment="1">
      <alignment horizontal="center"/>
    </xf>
    <xf numFmtId="173" fontId="135" fillId="3" borderId="37" xfId="0" applyNumberFormat="1" applyFont="1" applyFill="1" applyBorder="1"/>
    <xf numFmtId="37" fontId="135" fillId="3" borderId="112" xfId="0" applyNumberFormat="1" applyFont="1" applyFill="1" applyBorder="1"/>
    <xf numFmtId="37" fontId="135" fillId="3" borderId="37" xfId="0" applyNumberFormat="1" applyFont="1" applyFill="1" applyBorder="1"/>
    <xf numFmtId="37" fontId="135" fillId="3" borderId="113" xfId="0" applyNumberFormat="1" applyFont="1" applyFill="1" applyBorder="1"/>
    <xf numFmtId="173" fontId="135" fillId="3" borderId="114" xfId="0" applyNumberFormat="1" applyFont="1" applyFill="1" applyBorder="1"/>
    <xf numFmtId="37" fontId="135" fillId="3" borderId="115" xfId="0" applyNumberFormat="1" applyFont="1" applyFill="1" applyBorder="1"/>
    <xf numFmtId="173" fontId="135" fillId="3" borderId="13" xfId="0" applyNumberFormat="1" applyFont="1" applyFill="1" applyBorder="1"/>
    <xf numFmtId="37" fontId="135" fillId="3" borderId="116" xfId="0" applyNumberFormat="1" applyFont="1" applyFill="1" applyBorder="1"/>
    <xf numFmtId="37" fontId="135" fillId="3" borderId="117" xfId="0" applyNumberFormat="1" applyFont="1" applyFill="1" applyBorder="1"/>
    <xf numFmtId="173" fontId="135" fillId="3" borderId="118" xfId="0" applyNumberFormat="1" applyFont="1" applyFill="1" applyBorder="1"/>
    <xf numFmtId="0" fontId="131" fillId="0" borderId="8" xfId="0" applyFont="1" applyBorder="1"/>
    <xf numFmtId="37" fontId="131" fillId="0" borderId="72" xfId="0" applyNumberFormat="1" applyFont="1" applyBorder="1"/>
    <xf numFmtId="0" fontId="131" fillId="0" borderId="72" xfId="0" applyFont="1" applyBorder="1"/>
    <xf numFmtId="0" fontId="131" fillId="0" borderId="55" xfId="0" applyFont="1" applyBorder="1"/>
    <xf numFmtId="0" fontId="131" fillId="0" borderId="9" xfId="0" applyFont="1" applyBorder="1"/>
    <xf numFmtId="173" fontId="135" fillId="3" borderId="38" xfId="0" applyNumberFormat="1" applyFont="1" applyFill="1" applyBorder="1"/>
    <xf numFmtId="176" fontId="131" fillId="0" borderId="0" xfId="0" applyNumberFormat="1" applyFont="1" applyAlignment="1">
      <alignment horizontal="right"/>
    </xf>
    <xf numFmtId="43" fontId="131" fillId="0" borderId="0" xfId="0" applyNumberFormat="1" applyFont="1"/>
    <xf numFmtId="0" fontId="156" fillId="0" borderId="0" xfId="0" applyFont="1" applyAlignment="1">
      <alignment horizontal="center" vertical="top"/>
    </xf>
    <xf numFmtId="0" fontId="158" fillId="23" borderId="122" xfId="0" applyFont="1" applyFill="1" applyBorder="1" applyAlignment="1">
      <alignment horizontal="center" vertical="center" wrapText="1"/>
    </xf>
    <xf numFmtId="0" fontId="122" fillId="8" borderId="1" xfId="0" applyFont="1" applyFill="1" applyBorder="1" applyAlignment="1">
      <alignment horizontal="center"/>
    </xf>
    <xf numFmtId="178" fontId="123" fillId="0" borderId="0" xfId="0" applyNumberFormat="1" applyFont="1" applyAlignment="1">
      <alignment horizontal="center"/>
    </xf>
    <xf numFmtId="0" fontId="121" fillId="7" borderId="1" xfId="0" applyFont="1" applyFill="1" applyBorder="1"/>
    <xf numFmtId="0" fontId="122" fillId="7" borderId="1" xfId="0" applyFont="1" applyFill="1" applyBorder="1"/>
    <xf numFmtId="0" fontId="160" fillId="0" borderId="0" xfId="0" applyFont="1"/>
    <xf numFmtId="0" fontId="161" fillId="25" borderId="123" xfId="0" applyFont="1" applyFill="1" applyBorder="1"/>
    <xf numFmtId="0" fontId="161" fillId="25" borderId="124" xfId="0" applyFont="1" applyFill="1" applyBorder="1"/>
    <xf numFmtId="0" fontId="161" fillId="25" borderId="125" xfId="0" applyFont="1" applyFill="1" applyBorder="1"/>
    <xf numFmtId="3" fontId="162" fillId="25" borderId="126" xfId="0" applyNumberFormat="1" applyFont="1" applyFill="1" applyBorder="1" applyAlignment="1">
      <alignment horizontal="center"/>
    </xf>
    <xf numFmtId="3" fontId="162" fillId="25" borderId="0" xfId="0" applyNumberFormat="1" applyFont="1" applyFill="1" applyAlignment="1">
      <alignment horizontal="center"/>
    </xf>
    <xf numFmtId="3" fontId="162" fillId="25" borderId="127" xfId="0" applyNumberFormat="1" applyFont="1" applyFill="1" applyBorder="1" applyAlignment="1">
      <alignment horizontal="center"/>
    </xf>
    <xf numFmtId="3" fontId="162" fillId="25" borderId="128" xfId="0" applyNumberFormat="1" applyFont="1" applyFill="1" applyBorder="1" applyAlignment="1">
      <alignment horizontal="center"/>
    </xf>
    <xf numFmtId="3" fontId="162" fillId="25" borderId="129" xfId="0" applyNumberFormat="1" applyFont="1" applyFill="1" applyBorder="1" applyAlignment="1">
      <alignment horizontal="center"/>
    </xf>
    <xf numFmtId="3" fontId="162" fillId="25" borderId="130" xfId="0" applyNumberFormat="1" applyFont="1" applyFill="1" applyBorder="1" applyAlignment="1">
      <alignment horizontal="right"/>
    </xf>
    <xf numFmtId="3" fontId="162" fillId="25" borderId="130" xfId="0" applyNumberFormat="1" applyFont="1" applyFill="1" applyBorder="1" applyAlignment="1" applyProtection="1">
      <alignment horizontal="right"/>
      <protection locked="0"/>
    </xf>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3" fontId="162" fillId="25" borderId="126" xfId="0" applyNumberFormat="1" applyFont="1" applyFill="1" applyBorder="1" applyProtection="1">
      <protection locked="0"/>
    </xf>
    <xf numFmtId="3" fontId="162" fillId="25" borderId="127" xfId="0" applyNumberFormat="1" applyFont="1" applyFill="1" applyBorder="1" applyProtection="1">
      <protection locked="0"/>
    </xf>
    <xf numFmtId="0" fontId="162" fillId="25" borderId="126" xfId="0" applyFont="1" applyFill="1" applyBorder="1"/>
    <xf numFmtId="0" fontId="162" fillId="25" borderId="127" xfId="0" applyFont="1" applyFill="1" applyBorder="1"/>
    <xf numFmtId="3" fontId="162" fillId="25" borderId="131" xfId="0" applyNumberFormat="1" applyFont="1" applyFill="1" applyBorder="1"/>
    <xf numFmtId="3" fontId="162" fillId="25" borderId="132" xfId="0" applyNumberFormat="1" applyFont="1" applyFill="1" applyBorder="1"/>
    <xf numFmtId="3" fontId="162" fillId="25" borderId="133" xfId="0" applyNumberFormat="1" applyFont="1" applyFill="1" applyBorder="1"/>
    <xf numFmtId="3" fontId="162" fillId="25" borderId="131" xfId="0" applyNumberFormat="1" applyFont="1" applyFill="1" applyBorder="1" applyProtection="1">
      <protection locked="0"/>
    </xf>
    <xf numFmtId="3" fontId="162" fillId="25" borderId="133" xfId="0" applyNumberFormat="1" applyFont="1" applyFill="1" applyBorder="1" applyProtection="1">
      <protection locked="0"/>
    </xf>
    <xf numFmtId="0" fontId="162" fillId="25" borderId="0" xfId="0" applyFont="1" applyFill="1"/>
    <xf numFmtId="37" fontId="162" fillId="25" borderId="127" xfId="0" applyNumberFormat="1" applyFont="1" applyFill="1" applyBorder="1"/>
    <xf numFmtId="37" fontId="161" fillId="26" borderId="134" xfId="0" applyNumberFormat="1" applyFont="1" applyFill="1" applyBorder="1"/>
    <xf numFmtId="172" fontId="161" fillId="26" borderId="135" xfId="0" applyNumberFormat="1" applyFont="1" applyFill="1" applyBorder="1"/>
    <xf numFmtId="37" fontId="161" fillId="26" borderId="136" xfId="0" applyNumberFormat="1" applyFont="1" applyFill="1" applyBorder="1"/>
    <xf numFmtId="0" fontId="161" fillId="26" borderId="137" xfId="0" applyFont="1" applyFill="1" applyBorder="1"/>
    <xf numFmtId="0" fontId="161" fillId="26" borderId="138" xfId="0" applyFont="1" applyFill="1" applyBorder="1"/>
    <xf numFmtId="0" fontId="161" fillId="26" borderId="139" xfId="0" applyFont="1" applyFill="1" applyBorder="1"/>
    <xf numFmtId="0" fontId="161" fillId="27" borderId="126" xfId="0" applyFont="1" applyFill="1" applyBorder="1"/>
    <xf numFmtId="0" fontId="161" fillId="27" borderId="0" xfId="0" applyFont="1" applyFill="1"/>
    <xf numFmtId="0" fontId="161" fillId="27" borderId="127" xfId="0" applyFont="1" applyFill="1" applyBorder="1"/>
    <xf numFmtId="0" fontId="162" fillId="25" borderId="0" xfId="0" applyFont="1" applyFill="1" applyAlignment="1">
      <alignment horizontal="center"/>
    </xf>
    <xf numFmtId="9" fontId="162" fillId="25" borderId="126" xfId="2" applyFont="1" applyFill="1" applyBorder="1"/>
    <xf numFmtId="37" fontId="162" fillId="25" borderId="0" xfId="0" applyNumberFormat="1" applyFont="1" applyFill="1"/>
    <xf numFmtId="37" fontId="162" fillId="25" borderId="127" xfId="0" applyNumberFormat="1" applyFont="1" applyFill="1" applyBorder="1" applyProtection="1">
      <protection locked="0"/>
    </xf>
    <xf numFmtId="9" fontId="162" fillId="25" borderId="128" xfId="2" applyFont="1" applyFill="1" applyBorder="1"/>
    <xf numFmtId="37" fontId="162" fillId="25" borderId="129" xfId="0" applyNumberFormat="1" applyFont="1" applyFill="1" applyBorder="1"/>
    <xf numFmtId="37" fontId="162" fillId="25" borderId="130" xfId="0" applyNumberFormat="1" applyFont="1" applyFill="1" applyBorder="1"/>
    <xf numFmtId="37" fontId="162" fillId="25" borderId="130" xfId="0" applyNumberFormat="1" applyFont="1" applyFill="1" applyBorder="1" applyProtection="1">
      <protection locked="0"/>
    </xf>
    <xf numFmtId="0" fontId="162" fillId="25" borderId="128" xfId="0" applyFont="1" applyFill="1" applyBorder="1"/>
    <xf numFmtId="0" fontId="162" fillId="25" borderId="129" xfId="0" applyFont="1" applyFill="1" applyBorder="1"/>
    <xf numFmtId="0" fontId="162" fillId="25" borderId="131" xfId="0" applyFont="1" applyFill="1" applyBorder="1"/>
    <xf numFmtId="0" fontId="162" fillId="25" borderId="132" xfId="0" applyFont="1" applyFill="1" applyBorder="1"/>
    <xf numFmtId="37" fontId="162" fillId="25" borderId="133" xfId="0" applyNumberFormat="1" applyFont="1" applyFill="1" applyBorder="1"/>
    <xf numFmtId="37" fontId="162" fillId="25" borderId="133" xfId="0" applyNumberFormat="1" applyFont="1" applyFill="1" applyBorder="1" applyProtection="1">
      <protection locked="0"/>
    </xf>
    <xf numFmtId="0" fontId="161" fillId="26" borderId="140" xfId="0" applyFont="1" applyFill="1" applyBorder="1" applyAlignment="1">
      <alignment horizontal="center"/>
    </xf>
    <xf numFmtId="37" fontId="161" fillId="26" borderId="141" xfId="0" applyNumberFormat="1" applyFont="1" applyFill="1" applyBorder="1"/>
    <xf numFmtId="0" fontId="162" fillId="27" borderId="128" xfId="0" applyFont="1" applyFill="1" applyBorder="1"/>
    <xf numFmtId="0" fontId="162" fillId="27" borderId="129" xfId="0" applyFont="1" applyFill="1" applyBorder="1"/>
    <xf numFmtId="37" fontId="161" fillId="27" borderId="127" xfId="0" applyNumberFormat="1" applyFont="1" applyFill="1" applyBorder="1"/>
    <xf numFmtId="0" fontId="163" fillId="25" borderId="0" xfId="0" applyFont="1" applyFill="1"/>
    <xf numFmtId="37" fontId="163" fillId="25" borderId="0" xfId="0" applyNumberFormat="1" applyFont="1" applyFill="1"/>
    <xf numFmtId="0" fontId="164" fillId="25" borderId="0" xfId="0" applyFont="1" applyFill="1"/>
    <xf numFmtId="0" fontId="165" fillId="25" borderId="0" xfId="0" applyFont="1" applyFill="1"/>
    <xf numFmtId="0" fontId="162" fillId="25" borderId="126" xfId="0" applyFont="1" applyFill="1" applyBorder="1" applyAlignment="1">
      <alignment horizontal="center"/>
    </xf>
    <xf numFmtId="0" fontId="162" fillId="25" borderId="127" xfId="0" applyFont="1" applyFill="1" applyBorder="1" applyAlignment="1">
      <alignment horizontal="center"/>
    </xf>
    <xf numFmtId="3" fontId="162" fillId="25" borderId="130" xfId="0" applyNumberFormat="1" applyFont="1" applyFill="1" applyBorder="1" applyAlignment="1" applyProtection="1">
      <alignment horizontal="center"/>
      <protection locked="0"/>
    </xf>
    <xf numFmtId="3" fontId="162" fillId="25" borderId="128" xfId="0" applyNumberFormat="1" applyFont="1" applyFill="1" applyBorder="1"/>
    <xf numFmtId="3" fontId="162" fillId="25" borderId="129" xfId="0" applyNumberFormat="1" applyFont="1" applyFill="1" applyBorder="1"/>
    <xf numFmtId="3" fontId="162" fillId="25" borderId="130" xfId="0" applyNumberFormat="1" applyFont="1" applyFill="1" applyBorder="1"/>
    <xf numFmtId="0" fontId="161" fillId="25" borderId="126" xfId="0" applyFont="1" applyFill="1" applyBorder="1"/>
    <xf numFmtId="0" fontId="161" fillId="25" borderId="0" xfId="0" applyFont="1" applyFill="1"/>
    <xf numFmtId="0" fontId="161" fillId="25" borderId="127" xfId="0" applyFont="1" applyFill="1" applyBorder="1"/>
    <xf numFmtId="0" fontId="162" fillId="25" borderId="126" xfId="0" applyFont="1" applyFill="1" applyBorder="1" applyAlignment="1">
      <alignment horizontal="right"/>
    </xf>
    <xf numFmtId="173" fontId="162" fillId="25" borderId="0" xfId="0" applyNumberFormat="1" applyFont="1" applyFill="1"/>
    <xf numFmtId="37" fontId="164" fillId="25" borderId="0" xfId="0" applyNumberFormat="1" applyFont="1" applyFill="1"/>
    <xf numFmtId="37" fontId="162" fillId="25" borderId="126" xfId="0" applyNumberFormat="1" applyFont="1" applyFill="1" applyBorder="1"/>
    <xf numFmtId="37" fontId="162" fillId="25" borderId="126" xfId="0" applyNumberFormat="1" applyFont="1" applyFill="1" applyBorder="1" applyProtection="1">
      <protection locked="0"/>
    </xf>
    <xf numFmtId="37" fontId="162" fillId="25" borderId="0" xfId="0" applyNumberFormat="1" applyFont="1" applyFill="1" applyProtection="1">
      <protection locked="0"/>
    </xf>
    <xf numFmtId="173" fontId="162" fillId="25" borderId="127" xfId="0" applyNumberFormat="1" applyFont="1" applyFill="1" applyBorder="1"/>
    <xf numFmtId="37" fontId="162" fillId="25" borderId="128" xfId="0" applyNumberFormat="1" applyFont="1" applyFill="1" applyBorder="1"/>
    <xf numFmtId="2" fontId="162" fillId="25" borderId="129" xfId="0" applyNumberFormat="1" applyFont="1" applyFill="1" applyBorder="1"/>
    <xf numFmtId="173" fontId="162" fillId="25" borderId="130" xfId="0" applyNumberFormat="1" applyFont="1" applyFill="1" applyBorder="1"/>
    <xf numFmtId="172" fontId="162" fillId="25" borderId="0" xfId="0" applyNumberFormat="1" applyFont="1" applyFill="1"/>
    <xf numFmtId="174" fontId="162" fillId="25" borderId="0" xfId="0" applyNumberFormat="1" applyFont="1" applyFill="1"/>
    <xf numFmtId="37" fontId="161" fillId="25" borderId="126" xfId="0" applyNumberFormat="1" applyFont="1" applyFill="1" applyBorder="1"/>
    <xf numFmtId="172" fontId="161" fillId="25" borderId="0" xfId="0" applyNumberFormat="1" applyFont="1" applyFill="1"/>
    <xf numFmtId="37" fontId="161" fillId="25" borderId="128" xfId="0" applyNumberFormat="1" applyFont="1" applyFill="1" applyBorder="1"/>
    <xf numFmtId="174" fontId="162" fillId="25" borderId="129" xfId="0" applyNumberFormat="1" applyFont="1" applyFill="1" applyBorder="1"/>
    <xf numFmtId="37" fontId="161" fillId="27" borderId="134" xfId="0" applyNumberFormat="1" applyFont="1" applyFill="1" applyBorder="1"/>
    <xf numFmtId="37" fontId="161" fillId="27" borderId="135" xfId="0" applyNumberFormat="1" applyFont="1" applyFill="1" applyBorder="1"/>
    <xf numFmtId="37" fontId="161" fillId="27" borderId="136" xfId="0" applyNumberFormat="1" applyFont="1" applyFill="1" applyBorder="1"/>
    <xf numFmtId="37" fontId="161" fillId="27" borderId="128" xfId="0" applyNumberFormat="1" applyFont="1" applyFill="1" applyBorder="1"/>
    <xf numFmtId="39" fontId="161" fillId="27" borderId="129" xfId="0" applyNumberFormat="1" applyFont="1" applyFill="1" applyBorder="1"/>
    <xf numFmtId="173" fontId="161" fillId="25" borderId="127" xfId="0" applyNumberFormat="1" applyFont="1" applyFill="1" applyBorder="1"/>
    <xf numFmtId="172" fontId="162" fillId="25" borderId="0" xfId="0" applyNumberFormat="1" applyFont="1" applyFill="1" applyProtection="1">
      <protection locked="0"/>
    </xf>
    <xf numFmtId="172" fontId="162" fillId="25" borderId="129" xfId="0" applyNumberFormat="1" applyFont="1" applyFill="1" applyBorder="1"/>
    <xf numFmtId="37" fontId="161" fillId="26" borderId="135" xfId="0" applyNumberFormat="1" applyFont="1" applyFill="1" applyBorder="1"/>
    <xf numFmtId="173" fontId="161" fillId="26" borderId="139" xfId="0" applyNumberFormat="1" applyFont="1" applyFill="1" applyBorder="1"/>
    <xf numFmtId="173" fontId="161" fillId="27" borderId="127" xfId="0" applyNumberFormat="1" applyFont="1" applyFill="1" applyBorder="1"/>
    <xf numFmtId="0" fontId="162" fillId="25" borderId="130" xfId="0" applyFont="1" applyFill="1" applyBorder="1"/>
    <xf numFmtId="173" fontId="162" fillId="25" borderId="0" xfId="2" applyNumberFormat="1" applyFont="1" applyFill="1"/>
    <xf numFmtId="173" fontId="162" fillId="25" borderId="132" xfId="0" applyNumberFormat="1" applyFont="1" applyFill="1" applyBorder="1"/>
    <xf numFmtId="37" fontId="162" fillId="25" borderId="131" xfId="0" applyNumberFormat="1" applyFont="1" applyFill="1" applyBorder="1" applyProtection="1">
      <protection locked="0"/>
    </xf>
    <xf numFmtId="173" fontId="161" fillId="26" borderId="135" xfId="0" applyNumberFormat="1" applyFont="1" applyFill="1" applyBorder="1"/>
    <xf numFmtId="37" fontId="161" fillId="27" borderId="126" xfId="0" applyNumberFormat="1" applyFont="1" applyFill="1" applyBorder="1"/>
    <xf numFmtId="172" fontId="161" fillId="27" borderId="0" xfId="0" applyNumberFormat="1" applyFont="1" applyFill="1"/>
    <xf numFmtId="37" fontId="161" fillId="25" borderId="0" xfId="0" applyNumberFormat="1" applyFont="1" applyFill="1"/>
    <xf numFmtId="0" fontId="162" fillId="26" borderId="142" xfId="0" applyFont="1" applyFill="1" applyBorder="1"/>
    <xf numFmtId="0" fontId="162" fillId="26" borderId="143" xfId="0" applyFont="1" applyFill="1" applyBorder="1"/>
    <xf numFmtId="37" fontId="161" fillId="26" borderId="144" xfId="0" applyNumberFormat="1" applyFont="1" applyFill="1" applyBorder="1"/>
    <xf numFmtId="0" fontId="164" fillId="25" borderId="0" xfId="0" applyFont="1" applyFill="1" applyAlignment="1">
      <alignment horizontal="center"/>
    </xf>
    <xf numFmtId="0" fontId="164" fillId="25" borderId="138" xfId="0" applyFont="1" applyFill="1" applyBorder="1" applyAlignment="1">
      <alignment horizontal="center"/>
    </xf>
    <xf numFmtId="37" fontId="164" fillId="25" borderId="138" xfId="0" applyNumberFormat="1" applyFont="1" applyFill="1" applyBorder="1" applyAlignment="1">
      <alignment horizontal="center"/>
    </xf>
    <xf numFmtId="0" fontId="162" fillId="25" borderId="145" xfId="0" applyFont="1" applyFill="1" applyBorder="1" applyAlignment="1">
      <alignment horizontal="center"/>
    </xf>
    <xf numFmtId="0" fontId="162" fillId="25" borderId="129" xfId="0" applyFont="1" applyFill="1" applyBorder="1" applyAlignment="1">
      <alignment horizontal="center"/>
    </xf>
    <xf numFmtId="0" fontId="162" fillId="25" borderId="146" xfId="0" applyFont="1" applyFill="1" applyBorder="1" applyAlignment="1">
      <alignment horizontal="center"/>
    </xf>
    <xf numFmtId="37" fontId="166" fillId="25" borderId="145" xfId="0" applyNumberFormat="1" applyFont="1" applyFill="1" applyBorder="1"/>
    <xf numFmtId="37" fontId="166" fillId="25" borderId="129" xfId="0" applyNumberFormat="1" applyFont="1" applyFill="1" applyBorder="1"/>
    <xf numFmtId="37" fontId="166" fillId="25" borderId="146" xfId="0" applyNumberFormat="1" applyFont="1" applyFill="1" applyBorder="1"/>
    <xf numFmtId="37" fontId="167" fillId="26" borderId="145" xfId="0" applyNumberFormat="1" applyFont="1" applyFill="1" applyBorder="1"/>
    <xf numFmtId="37" fontId="167" fillId="26" borderId="129" xfId="0" applyNumberFormat="1" applyFont="1" applyFill="1" applyBorder="1"/>
    <xf numFmtId="37" fontId="167" fillId="26" borderId="146" xfId="0" applyNumberFormat="1" applyFont="1" applyFill="1" applyBorder="1"/>
    <xf numFmtId="37" fontId="166" fillId="25" borderId="147" xfId="0" applyNumberFormat="1" applyFont="1" applyFill="1" applyBorder="1"/>
    <xf numFmtId="0" fontId="166" fillId="25" borderId="0" xfId="0" applyFont="1" applyFill="1"/>
    <xf numFmtId="37" fontId="166" fillId="25" borderId="148" xfId="0" applyNumberFormat="1" applyFont="1" applyFill="1" applyBorder="1"/>
    <xf numFmtId="173" fontId="166" fillId="25" borderId="147" xfId="2" applyNumberFormat="1" applyFont="1" applyFill="1" applyBorder="1"/>
    <xf numFmtId="172" fontId="166" fillId="25" borderId="0" xfId="0" applyNumberFormat="1" applyFont="1" applyFill="1"/>
    <xf numFmtId="0" fontId="166" fillId="25" borderId="147" xfId="0" applyFont="1" applyFill="1" applyBorder="1"/>
    <xf numFmtId="173" fontId="166" fillId="25" borderId="145" xfId="2" applyNumberFormat="1" applyFont="1" applyFill="1" applyBorder="1"/>
    <xf numFmtId="172" fontId="166" fillId="25" borderId="129" xfId="0" applyNumberFormat="1" applyFont="1" applyFill="1" applyBorder="1"/>
    <xf numFmtId="0" fontId="166" fillId="25" borderId="145" xfId="0" applyFont="1" applyFill="1" applyBorder="1"/>
    <xf numFmtId="37" fontId="166" fillId="25" borderId="148" xfId="0" applyNumberFormat="1" applyFont="1" applyFill="1" applyBorder="1" applyProtection="1">
      <protection locked="0"/>
    </xf>
    <xf numFmtId="173" fontId="166" fillId="25" borderId="129" xfId="2" applyNumberFormat="1" applyFont="1" applyFill="1" applyBorder="1"/>
    <xf numFmtId="173" fontId="166" fillId="25" borderId="0" xfId="2" applyNumberFormat="1" applyFont="1" applyFill="1"/>
    <xf numFmtId="0" fontId="166" fillId="25" borderId="149" xfId="0" applyFont="1" applyFill="1" applyBorder="1"/>
    <xf numFmtId="172" fontId="166" fillId="25" borderId="132" xfId="0" applyNumberFormat="1" applyFont="1" applyFill="1" applyBorder="1"/>
    <xf numFmtId="37" fontId="166" fillId="25" borderId="150" xfId="0" applyNumberFormat="1" applyFont="1" applyFill="1" applyBorder="1"/>
    <xf numFmtId="37" fontId="166" fillId="25" borderId="146" xfId="0" applyNumberFormat="1" applyFont="1" applyFill="1" applyBorder="1" applyProtection="1">
      <protection locked="0"/>
    </xf>
    <xf numFmtId="0" fontId="168" fillId="25" borderId="147" xfId="0" applyFont="1" applyFill="1" applyBorder="1"/>
    <xf numFmtId="0" fontId="168" fillId="25" borderId="0" xfId="0" applyFont="1" applyFill="1"/>
    <xf numFmtId="37" fontId="168" fillId="25" borderId="148" xfId="0" applyNumberFormat="1" applyFont="1" applyFill="1" applyBorder="1"/>
    <xf numFmtId="173" fontId="167" fillId="25" borderId="147" xfId="0" applyNumberFormat="1" applyFont="1" applyFill="1" applyBorder="1"/>
    <xf numFmtId="0" fontId="167" fillId="25" borderId="0" xfId="0" applyFont="1" applyFill="1"/>
    <xf numFmtId="173" fontId="167" fillId="25" borderId="145" xfId="0" applyNumberFormat="1" applyFont="1" applyFill="1" applyBorder="1"/>
    <xf numFmtId="0" fontId="167" fillId="26" borderId="151" xfId="0" applyFont="1" applyFill="1" applyBorder="1" applyAlignment="1">
      <alignment horizontal="center"/>
    </xf>
    <xf numFmtId="173" fontId="167" fillId="26" borderId="152" xfId="0" applyNumberFormat="1" applyFont="1" applyFill="1" applyBorder="1"/>
    <xf numFmtId="37" fontId="167" fillId="26" borderId="153" xfId="0" applyNumberFormat="1" applyFont="1" applyFill="1" applyBorder="1"/>
    <xf numFmtId="0" fontId="167" fillId="26" borderId="154" xfId="0" applyFont="1" applyFill="1" applyBorder="1" applyAlignment="1">
      <alignment horizontal="center"/>
    </xf>
    <xf numFmtId="173" fontId="167" fillId="26" borderId="143" xfId="0" applyNumberFormat="1" applyFont="1" applyFill="1" applyBorder="1"/>
    <xf numFmtId="37" fontId="167" fillId="26" borderId="155" xfId="0" applyNumberFormat="1" applyFont="1" applyFill="1" applyBorder="1"/>
    <xf numFmtId="39" fontId="166" fillId="25" borderId="0" xfId="0" applyNumberFormat="1" applyFont="1" applyFill="1"/>
    <xf numFmtId="0" fontId="167" fillId="26" borderId="156" xfId="0" applyFont="1" applyFill="1" applyBorder="1" applyAlignment="1">
      <alignment horizontal="center"/>
    </xf>
    <xf numFmtId="173" fontId="167" fillId="26" borderId="156" xfId="0" applyNumberFormat="1" applyFont="1" applyFill="1" applyBorder="1"/>
    <xf numFmtId="37" fontId="167" fillId="26" borderId="156" xfId="0" applyNumberFormat="1" applyFont="1" applyFill="1" applyBorder="1"/>
    <xf numFmtId="0" fontId="167" fillId="26" borderId="157" xfId="0" applyFont="1" applyFill="1" applyBorder="1" applyAlignment="1">
      <alignment horizontal="center"/>
    </xf>
    <xf numFmtId="37" fontId="167" fillId="26" borderId="158" xfId="0" applyNumberFormat="1" applyFont="1" applyFill="1" applyBorder="1"/>
    <xf numFmtId="0" fontId="170" fillId="25" borderId="0" xfId="0" applyFont="1" applyFill="1"/>
    <xf numFmtId="0" fontId="170" fillId="25" borderId="147" xfId="0" applyFont="1" applyFill="1" applyBorder="1"/>
    <xf numFmtId="0" fontId="170" fillId="25" borderId="148" xfId="0" applyFont="1" applyFill="1" applyBorder="1"/>
    <xf numFmtId="37" fontId="166" fillId="25" borderId="0" xfId="0" applyNumberFormat="1" applyFont="1" applyFill="1"/>
    <xf numFmtId="0" fontId="164" fillId="25" borderId="147" xfId="0" applyFont="1" applyFill="1" applyBorder="1"/>
    <xf numFmtId="0" fontId="162" fillId="25" borderId="147" xfId="0" applyFont="1" applyFill="1" applyBorder="1"/>
    <xf numFmtId="0" fontId="161" fillId="25" borderId="147" xfId="0" applyFont="1" applyFill="1" applyBorder="1"/>
    <xf numFmtId="0" fontId="167" fillId="26" borderId="159" xfId="0" applyFont="1" applyFill="1" applyBorder="1" applyAlignment="1">
      <alignment horizontal="center"/>
    </xf>
    <xf numFmtId="173" fontId="167" fillId="26" borderId="159" xfId="0" applyNumberFormat="1" applyFont="1" applyFill="1" applyBorder="1"/>
    <xf numFmtId="37" fontId="167" fillId="26" borderId="159" xfId="0" applyNumberFormat="1" applyFont="1" applyFill="1" applyBorder="1"/>
    <xf numFmtId="0" fontId="167" fillId="26" borderId="160" xfId="0" applyFont="1" applyFill="1" applyBorder="1" applyAlignment="1">
      <alignment horizontal="center"/>
    </xf>
    <xf numFmtId="37" fontId="167" fillId="26" borderId="161" xfId="0" applyNumberFormat="1" applyFont="1" applyFill="1" applyBorder="1"/>
    <xf numFmtId="0" fontId="153" fillId="28" borderId="1" xfId="0" applyFont="1" applyFill="1" applyBorder="1"/>
    <xf numFmtId="0" fontId="153" fillId="28" borderId="1" xfId="0" applyFont="1" applyFill="1" applyBorder="1" applyAlignment="1">
      <alignment horizontal="center" vertical="center"/>
    </xf>
    <xf numFmtId="0" fontId="153" fillId="28" borderId="1" xfId="0" applyFont="1" applyFill="1" applyBorder="1" applyAlignment="1">
      <alignment horizontal="right"/>
    </xf>
    <xf numFmtId="0" fontId="153" fillId="28" borderId="1" xfId="0" applyFont="1" applyFill="1" applyBorder="1" applyAlignment="1">
      <alignment vertical="center"/>
    </xf>
    <xf numFmtId="43" fontId="131" fillId="0" borderId="0" xfId="1" applyFont="1"/>
    <xf numFmtId="37" fontId="132" fillId="0" borderId="21" xfId="0" applyNumberFormat="1" applyFont="1" applyBorder="1"/>
    <xf numFmtId="37" fontId="133" fillId="0" borderId="1" xfId="0" applyNumberFormat="1" applyFont="1" applyBorder="1"/>
    <xf numFmtId="0" fontId="121" fillId="0" borderId="162" xfId="0" applyFont="1" applyBorder="1" applyAlignment="1">
      <alignment horizontal="center" vertical="center"/>
    </xf>
    <xf numFmtId="0" fontId="122" fillId="0" borderId="164" xfId="0" applyFont="1" applyBorder="1" applyAlignment="1">
      <alignment horizontal="center" vertical="center"/>
    </xf>
    <xf numFmtId="167" fontId="121" fillId="0" borderId="165" xfId="0" applyNumberFormat="1" applyFont="1" applyBorder="1" applyAlignment="1">
      <alignment horizontal="center" vertical="center"/>
    </xf>
    <xf numFmtId="167" fontId="122" fillId="0" borderId="165" xfId="0" applyNumberFormat="1" applyFont="1" applyBorder="1" applyAlignment="1">
      <alignment horizontal="center" vertical="center"/>
    </xf>
    <xf numFmtId="0" fontId="122" fillId="0" borderId="166" xfId="0" applyFont="1" applyBorder="1" applyAlignment="1">
      <alignment horizontal="center" vertical="center"/>
    </xf>
    <xf numFmtId="167" fontId="122" fillId="0" borderId="167" xfId="0" applyNumberFormat="1" applyFont="1" applyBorder="1" applyAlignment="1">
      <alignment horizontal="center" vertical="center"/>
    </xf>
    <xf numFmtId="0" fontId="161" fillId="25" borderId="123" xfId="0" applyFont="1" applyFill="1" applyBorder="1" applyAlignment="1">
      <alignment horizontal="center"/>
    </xf>
    <xf numFmtId="0" fontId="161" fillId="25" borderId="124" xfId="0" applyFont="1" applyFill="1" applyBorder="1" applyAlignment="1">
      <alignment horizontal="center"/>
    </xf>
    <xf numFmtId="0" fontId="161" fillId="25" borderId="125" xfId="0" applyFont="1" applyFill="1" applyBorder="1" applyAlignment="1">
      <alignment horizontal="center"/>
    </xf>
    <xf numFmtId="0" fontId="126" fillId="0" borderId="14" xfId="0" applyFont="1" applyBorder="1" applyAlignment="1">
      <alignment horizontal="center"/>
    </xf>
    <xf numFmtId="0" fontId="129" fillId="0" borderId="14" xfId="0" applyFont="1" applyBorder="1"/>
    <xf numFmtId="167" fontId="121" fillId="0" borderId="1" xfId="0" applyNumberFormat="1" applyFont="1" applyBorder="1" applyAlignment="1">
      <alignment horizontal="center" vertical="center"/>
    </xf>
    <xf numFmtId="167" fontId="122" fillId="0" borderId="1" xfId="0" applyNumberFormat="1" applyFont="1" applyBorder="1" applyAlignment="1">
      <alignment horizontal="center" vertical="center"/>
    </xf>
    <xf numFmtId="0" fontId="149" fillId="0" borderId="168" xfId="0" applyFont="1" applyBorder="1" applyAlignment="1">
      <alignment horizontal="center" vertical="center"/>
    </xf>
    <xf numFmtId="0" fontId="146" fillId="0" borderId="163" xfId="0" applyFont="1" applyBorder="1" applyAlignment="1">
      <alignment horizontal="center" vertical="center"/>
    </xf>
    <xf numFmtId="167" fontId="122" fillId="0" borderId="169" xfId="0" applyNumberFormat="1" applyFont="1" applyBorder="1" applyAlignment="1">
      <alignment horizontal="center" vertical="center"/>
    </xf>
    <xf numFmtId="173" fontId="135" fillId="0" borderId="8" xfId="0" applyNumberFormat="1" applyFont="1" applyBorder="1" applyAlignment="1">
      <alignment vertical="center"/>
    </xf>
    <xf numFmtId="0" fontId="171" fillId="0" borderId="0" xfId="0" applyFont="1"/>
    <xf numFmtId="0" fontId="171" fillId="0" borderId="0" xfId="0" applyFont="1" applyAlignment="1">
      <alignment horizontal="center"/>
    </xf>
    <xf numFmtId="0" fontId="171" fillId="0" borderId="0" xfId="0" applyFont="1" applyAlignment="1">
      <alignment horizontal="right"/>
    </xf>
    <xf numFmtId="0" fontId="132" fillId="0" borderId="1" xfId="0" applyFont="1" applyBorder="1"/>
    <xf numFmtId="0" fontId="132" fillId="0" borderId="20" xfId="0" applyFont="1" applyBorder="1"/>
    <xf numFmtId="14" fontId="123" fillId="0" borderId="0" xfId="0" applyNumberFormat="1" applyFont="1" applyAlignment="1">
      <alignment horizontal="left"/>
    </xf>
    <xf numFmtId="0" fontId="122" fillId="0" borderId="162" xfId="0" applyFont="1" applyBorder="1"/>
    <xf numFmtId="0" fontId="148" fillId="0" borderId="168" xfId="0" applyFont="1" applyBorder="1"/>
    <xf numFmtId="0" fontId="122" fillId="0" borderId="163" xfId="0" applyFont="1" applyBorder="1"/>
    <xf numFmtId="0" fontId="121" fillId="0" borderId="164" xfId="0" applyFont="1" applyBorder="1" applyAlignment="1">
      <alignment horizontal="left"/>
    </xf>
    <xf numFmtId="167" fontId="121" fillId="0" borderId="1" xfId="0" applyNumberFormat="1" applyFont="1" applyBorder="1" applyAlignment="1">
      <alignment horizontal="center"/>
    </xf>
    <xf numFmtId="0" fontId="122" fillId="0" borderId="165" xfId="0" applyFont="1" applyBorder="1"/>
    <xf numFmtId="167" fontId="122" fillId="0" borderId="1" xfId="0" applyNumberFormat="1" applyFont="1" applyBorder="1" applyAlignment="1">
      <alignment horizontal="right"/>
    </xf>
    <xf numFmtId="0" fontId="122" fillId="0" borderId="164" xfId="0" applyFont="1" applyBorder="1"/>
    <xf numFmtId="0" fontId="122" fillId="0" borderId="1" xfId="0" applyFont="1" applyBorder="1"/>
    <xf numFmtId="0" fontId="121" fillId="0" borderId="166" xfId="0" applyFont="1" applyBorder="1" applyAlignment="1">
      <alignment horizontal="left"/>
    </xf>
    <xf numFmtId="167" fontId="122" fillId="0" borderId="169" xfId="0" applyNumberFormat="1" applyFont="1" applyBorder="1" applyAlignment="1">
      <alignment horizontal="right"/>
    </xf>
    <xf numFmtId="175" fontId="123" fillId="0" borderId="0" xfId="0" applyNumberFormat="1" applyFont="1"/>
    <xf numFmtId="3" fontId="0" fillId="0" borderId="0" xfId="0" applyNumberFormat="1"/>
    <xf numFmtId="179" fontId="123" fillId="0" borderId="0" xfId="3" applyNumberFormat="1" applyFont="1"/>
    <xf numFmtId="179" fontId="123" fillId="10" borderId="1" xfId="3" applyNumberFormat="1" applyFont="1" applyFill="1" applyBorder="1" applyAlignment="1">
      <alignment horizontal="center" vertical="center"/>
    </xf>
    <xf numFmtId="179" fontId="123" fillId="10" borderId="1" xfId="3" applyNumberFormat="1" applyFont="1" applyFill="1" applyBorder="1" applyAlignment="1">
      <alignment horizontal="center"/>
    </xf>
    <xf numFmtId="17" fontId="131" fillId="0" borderId="0" xfId="0" applyNumberFormat="1" applyFont="1" applyAlignment="1">
      <alignment horizontal="right"/>
    </xf>
    <xf numFmtId="10" fontId="0" fillId="0" borderId="0" xfId="0" applyNumberFormat="1"/>
    <xf numFmtId="10" fontId="122" fillId="0" borderId="165" xfId="0" applyNumberFormat="1" applyFont="1" applyBorder="1" applyAlignment="1">
      <alignment horizontal="center"/>
    </xf>
    <xf numFmtId="0" fontId="123" fillId="30" borderId="0" xfId="0" applyFont="1" applyFill="1" applyAlignment="1">
      <alignment horizontal="center"/>
    </xf>
    <xf numFmtId="0" fontId="123" fillId="31" borderId="0" xfId="0" applyFont="1" applyFill="1" applyAlignment="1">
      <alignment horizontal="center"/>
    </xf>
    <xf numFmtId="37" fontId="133" fillId="0" borderId="105" xfId="0" applyNumberFormat="1" applyFont="1" applyBorder="1"/>
    <xf numFmtId="170" fontId="132" fillId="0" borderId="0" xfId="1" applyNumberFormat="1" applyFont="1"/>
    <xf numFmtId="0" fontId="0" fillId="32" borderId="0" xfId="0" applyFill="1"/>
    <xf numFmtId="49" fontId="117" fillId="0" borderId="1" xfId="10" applyNumberFormat="1" applyAlignment="1">
      <alignment horizontal="left" vertical="center"/>
    </xf>
    <xf numFmtId="43" fontId="117" fillId="0" borderId="1" xfId="1" applyFont="1" applyBorder="1" applyAlignment="1">
      <alignment horizontal="left" vertical="center"/>
    </xf>
    <xf numFmtId="37" fontId="0" fillId="0" borderId="0" xfId="0" applyNumberFormat="1"/>
    <xf numFmtId="0" fontId="159" fillId="22" borderId="0" xfId="0" applyFont="1" applyFill="1" applyAlignment="1">
      <alignment horizontal="left" vertical="top"/>
    </xf>
    <xf numFmtId="3" fontId="125" fillId="0" borderId="0" xfId="0" applyNumberFormat="1" applyFont="1"/>
    <xf numFmtId="0" fontId="86" fillId="29" borderId="1" xfId="2755" applyFill="1"/>
    <xf numFmtId="180" fontId="86" fillId="29" borderId="1" xfId="2755" applyNumberFormat="1" applyFill="1" applyAlignment="1">
      <alignment horizontal="right" vertical="center"/>
    </xf>
    <xf numFmtId="181" fontId="86" fillId="29" borderId="1" xfId="2755" applyNumberFormat="1" applyFill="1" applyAlignment="1">
      <alignment horizontal="right" vertical="center"/>
    </xf>
    <xf numFmtId="49" fontId="86" fillId="29" borderId="1" xfId="2755" applyNumberFormat="1" applyFill="1" applyAlignment="1">
      <alignment horizontal="left" vertical="center"/>
    </xf>
    <xf numFmtId="181" fontId="82" fillId="30" borderId="1" xfId="2811" applyNumberFormat="1" applyFill="1" applyAlignment="1">
      <alignment horizontal="right" vertical="center"/>
    </xf>
    <xf numFmtId="0" fontId="82" fillId="0" borderId="1" xfId="2811"/>
    <xf numFmtId="49" fontId="173" fillId="0" borderId="1" xfId="2811" applyNumberFormat="1" applyFont="1" applyAlignment="1">
      <alignment horizontal="left" vertical="center"/>
    </xf>
    <xf numFmtId="49" fontId="82" fillId="0" borderId="1" xfId="2811" applyNumberFormat="1" applyAlignment="1">
      <alignment horizontal="left" vertical="center"/>
    </xf>
    <xf numFmtId="180" fontId="173" fillId="0" borderId="1" xfId="2811" applyNumberFormat="1" applyFont="1" applyAlignment="1">
      <alignment horizontal="right" vertical="center"/>
    </xf>
    <xf numFmtId="180" fontId="82" fillId="0" borderId="1" xfId="2811" applyNumberFormat="1" applyAlignment="1">
      <alignment horizontal="right" vertical="center"/>
    </xf>
    <xf numFmtId="181" fontId="173" fillId="0" borderId="1" xfId="2811" applyNumberFormat="1" applyFont="1" applyAlignment="1">
      <alignment horizontal="right" vertical="center"/>
    </xf>
    <xf numFmtId="181" fontId="82" fillId="0" borderId="1" xfId="2811" applyNumberFormat="1" applyAlignment="1">
      <alignment horizontal="right" vertical="center"/>
    </xf>
    <xf numFmtId="49" fontId="146" fillId="0" borderId="1" xfId="4224" applyNumberFormat="1" applyFont="1" applyAlignment="1">
      <alignment horizontal="center" vertical="center"/>
    </xf>
    <xf numFmtId="181" fontId="82" fillId="30" borderId="1" xfId="5565" applyNumberFormat="1" applyFill="1" applyAlignment="1">
      <alignment horizontal="right" vertical="center"/>
    </xf>
    <xf numFmtId="0" fontId="82" fillId="0" borderId="1" xfId="5565"/>
    <xf numFmtId="49" fontId="173" fillId="0" borderId="1" xfId="5565" applyNumberFormat="1" applyFont="1" applyAlignment="1">
      <alignment horizontal="left" vertical="center"/>
    </xf>
    <xf numFmtId="49" fontId="82" fillId="0" borderId="1" xfId="5565" applyNumberFormat="1" applyAlignment="1">
      <alignment horizontal="left" vertical="center"/>
    </xf>
    <xf numFmtId="180" fontId="173" fillId="0" borderId="1" xfId="5565" applyNumberFormat="1" applyFont="1" applyAlignment="1">
      <alignment horizontal="right" vertical="center"/>
    </xf>
    <xf numFmtId="180" fontId="82" fillId="0" borderId="1" xfId="5565" applyNumberFormat="1" applyAlignment="1">
      <alignment horizontal="right" vertical="center"/>
    </xf>
    <xf numFmtId="181" fontId="173" fillId="0" borderId="1" xfId="5565" applyNumberFormat="1" applyFont="1" applyAlignment="1">
      <alignment horizontal="right" vertical="center"/>
    </xf>
    <xf numFmtId="181" fontId="82" fillId="0" borderId="1" xfId="5565" applyNumberFormat="1" applyAlignment="1">
      <alignment horizontal="right" vertical="center"/>
    </xf>
    <xf numFmtId="49" fontId="146" fillId="0" borderId="1" xfId="5551" applyNumberFormat="1" applyFont="1" applyAlignment="1">
      <alignment horizontal="center" vertical="center"/>
    </xf>
    <xf numFmtId="165" fontId="132" fillId="0" borderId="8" xfId="0" applyNumberFormat="1" applyFont="1" applyBorder="1"/>
    <xf numFmtId="165" fontId="131" fillId="0" borderId="0" xfId="0" applyNumberFormat="1" applyFont="1"/>
    <xf numFmtId="3" fontId="132" fillId="0" borderId="20" xfId="0" applyNumberFormat="1" applyFont="1" applyBorder="1"/>
    <xf numFmtId="173" fontId="132" fillId="0" borderId="0" xfId="2" applyNumberFormat="1" applyFont="1"/>
    <xf numFmtId="173" fontId="133" fillId="0" borderId="14" xfId="2" applyNumberFormat="1" applyFont="1" applyBorder="1"/>
    <xf numFmtId="173" fontId="133" fillId="0" borderId="0" xfId="2" applyNumberFormat="1" applyFont="1"/>
    <xf numFmtId="10" fontId="122" fillId="0" borderId="167" xfId="0" applyNumberFormat="1" applyFont="1" applyBorder="1" applyAlignment="1">
      <alignment horizontal="center"/>
    </xf>
    <xf numFmtId="0" fontId="67" fillId="0" borderId="0" xfId="0" applyFont="1"/>
    <xf numFmtId="9" fontId="132" fillId="0" borderId="0" xfId="2" applyFont="1" applyAlignment="1">
      <alignment horizontal="right"/>
    </xf>
    <xf numFmtId="9" fontId="132" fillId="0" borderId="0" xfId="2" applyFont="1"/>
    <xf numFmtId="9" fontId="132" fillId="0" borderId="8" xfId="2" applyFont="1" applyFill="1" applyBorder="1"/>
    <xf numFmtId="173" fontId="132" fillId="0" borderId="0" xfId="2" applyNumberFormat="1" applyFont="1" applyFill="1"/>
    <xf numFmtId="9" fontId="134" fillId="0" borderId="0" xfId="2" applyFont="1"/>
    <xf numFmtId="0" fontId="60" fillId="0" borderId="0" xfId="0" applyFont="1"/>
    <xf numFmtId="0" fontId="135" fillId="3" borderId="119" xfId="0" applyFont="1" applyFill="1" applyBorder="1"/>
    <xf numFmtId="0" fontId="135" fillId="3" borderId="120" xfId="0" applyFont="1" applyFill="1" applyBorder="1"/>
    <xf numFmtId="0" fontId="135" fillId="3" borderId="120" xfId="0" applyFont="1" applyFill="1" applyBorder="1" applyAlignment="1">
      <alignment horizontal="center"/>
    </xf>
    <xf numFmtId="173" fontId="135" fillId="3" borderId="120" xfId="0" applyNumberFormat="1" applyFont="1" applyFill="1" applyBorder="1"/>
    <xf numFmtId="37" fontId="135" fillId="3" borderId="120" xfId="0" applyNumberFormat="1" applyFont="1" applyFill="1" applyBorder="1"/>
    <xf numFmtId="173" fontId="135" fillId="3" borderId="121" xfId="0" applyNumberFormat="1" applyFont="1" applyFill="1" applyBorder="1"/>
    <xf numFmtId="9" fontId="135" fillId="3" borderId="103" xfId="2" applyFont="1" applyFill="1" applyBorder="1"/>
    <xf numFmtId="9" fontId="132" fillId="0" borderId="14" xfId="2" applyFont="1" applyBorder="1" applyAlignment="1">
      <alignment horizontal="right"/>
    </xf>
    <xf numFmtId="0" fontId="38" fillId="0" borderId="0" xfId="0" applyFont="1"/>
    <xf numFmtId="3" fontId="48" fillId="0" borderId="0" xfId="0" applyNumberFormat="1" applyFont="1"/>
    <xf numFmtId="173" fontId="132" fillId="0" borderId="1" xfId="0" applyNumberFormat="1" applyFont="1" applyBorder="1"/>
    <xf numFmtId="0" fontId="162" fillId="25" borderId="171" xfId="0" applyFont="1" applyFill="1" applyBorder="1"/>
    <xf numFmtId="0" fontId="161" fillId="25" borderId="171" xfId="0" applyFont="1" applyFill="1" applyBorder="1"/>
    <xf numFmtId="3" fontId="161" fillId="25" borderId="171" xfId="0" applyNumberFormat="1" applyFont="1" applyFill="1" applyBorder="1"/>
    <xf numFmtId="3" fontId="161" fillId="25" borderId="172" xfId="0" applyNumberFormat="1" applyFont="1" applyFill="1" applyBorder="1"/>
    <xf numFmtId="3" fontId="161" fillId="25" borderId="173" xfId="0" applyNumberFormat="1" applyFont="1" applyFill="1" applyBorder="1"/>
    <xf numFmtId="0" fontId="161" fillId="25" borderId="13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1" fillId="25" borderId="128" xfId="0" applyFont="1" applyFill="1" applyBorder="1"/>
    <xf numFmtId="0" fontId="161" fillId="26" borderId="134" xfId="0" applyFont="1" applyFill="1" applyBorder="1"/>
    <xf numFmtId="0" fontId="161" fillId="25" borderId="126" xfId="0" applyFont="1" applyFill="1" applyBorder="1" applyAlignment="1">
      <alignment horizontal="left"/>
    </xf>
    <xf numFmtId="0" fontId="161" fillId="26" borderId="174" xfId="0" applyFont="1" applyFill="1" applyBorder="1"/>
    <xf numFmtId="0" fontId="161" fillId="26" borderId="174" xfId="0" applyFont="1" applyFill="1" applyBorder="1" applyAlignment="1">
      <alignment horizontal="center"/>
    </xf>
    <xf numFmtId="173" fontId="161" fillId="26" borderId="175" xfId="0" applyNumberFormat="1" applyFont="1" applyFill="1" applyBorder="1"/>
    <xf numFmtId="37" fontId="161" fillId="26" borderId="176" xfId="0" applyNumberFormat="1" applyFont="1" applyFill="1" applyBorder="1"/>
    <xf numFmtId="0" fontId="166" fillId="25" borderId="126" xfId="0" applyFont="1" applyFill="1" applyBorder="1"/>
    <xf numFmtId="0" fontId="166" fillId="25" borderId="128" xfId="0" applyFont="1" applyFill="1" applyBorder="1"/>
    <xf numFmtId="0" fontId="162" fillId="25" borderId="172" xfId="0" applyFont="1" applyFill="1" applyBorder="1"/>
    <xf numFmtId="37" fontId="162" fillId="25" borderId="173" xfId="0" applyNumberFormat="1" applyFont="1" applyFill="1" applyBorder="1"/>
    <xf numFmtId="37" fontId="162" fillId="25" borderId="173" xfId="0" applyNumberFormat="1" applyFont="1" applyFill="1" applyBorder="1" applyProtection="1">
      <protection locked="0"/>
    </xf>
    <xf numFmtId="0" fontId="166" fillId="27" borderId="126" xfId="0" applyFont="1" applyFill="1" applyBorder="1"/>
    <xf numFmtId="0" fontId="161" fillId="26" borderId="177" xfId="0" applyFont="1" applyFill="1" applyBorder="1"/>
    <xf numFmtId="37" fontId="161" fillId="26" borderId="178" xfId="0" applyNumberFormat="1" applyFont="1" applyFill="1" applyBorder="1"/>
    <xf numFmtId="0" fontId="161" fillId="26" borderId="170" xfId="0" applyFont="1" applyFill="1" applyBorder="1"/>
    <xf numFmtId="173" fontId="161" fillId="26" borderId="179" xfId="0" applyNumberFormat="1" applyFont="1" applyFill="1" applyBorder="1"/>
    <xf numFmtId="0" fontId="161" fillId="26" borderId="180" xfId="0" applyFont="1" applyFill="1" applyBorder="1"/>
    <xf numFmtId="0" fontId="162" fillId="26" borderId="180" xfId="0" applyFont="1" applyFill="1" applyBorder="1"/>
    <xf numFmtId="10" fontId="162" fillId="26" borderId="181" xfId="2" applyNumberFormat="1" applyFont="1" applyFill="1" applyBorder="1"/>
    <xf numFmtId="37" fontId="161" fillId="26" borderId="182" xfId="0" applyNumberFormat="1" applyFont="1" applyFill="1" applyBorder="1"/>
    <xf numFmtId="0" fontId="162" fillId="26" borderId="181" xfId="0" applyFont="1" applyFill="1" applyBorder="1"/>
    <xf numFmtId="0" fontId="175" fillId="25" borderId="0" xfId="0" applyFont="1" applyFill="1"/>
    <xf numFmtId="171" fontId="164" fillId="25" borderId="0" xfId="0" applyNumberFormat="1" applyFont="1" applyFill="1" applyAlignment="1">
      <alignment horizontal="left"/>
    </xf>
    <xf numFmtId="173" fontId="162" fillId="25" borderId="126" xfId="2" applyNumberFormat="1" applyFont="1" applyFill="1" applyBorder="1"/>
    <xf numFmtId="0" fontId="161" fillId="26" borderId="177" xfId="0" applyFont="1" applyFill="1" applyBorder="1" applyAlignment="1">
      <alignment horizontal="center"/>
    </xf>
    <xf numFmtId="173" fontId="161" fillId="26" borderId="183" xfId="0" applyNumberFormat="1" applyFont="1" applyFill="1" applyBorder="1"/>
    <xf numFmtId="10" fontId="161" fillId="26" borderId="181" xfId="2" applyNumberFormat="1" applyFont="1" applyFill="1" applyBorder="1"/>
    <xf numFmtId="0" fontId="161" fillId="26" borderId="181" xfId="0" applyFont="1" applyFill="1" applyBorder="1"/>
    <xf numFmtId="37" fontId="162" fillId="25" borderId="171" xfId="0" applyNumberFormat="1" applyFont="1" applyFill="1" applyBorder="1"/>
    <xf numFmtId="37" fontId="162" fillId="25" borderId="172" xfId="0" applyNumberFormat="1" applyFont="1" applyFill="1" applyBorder="1"/>
    <xf numFmtId="37" fontId="162" fillId="25" borderId="171" xfId="0" applyNumberFormat="1" applyFont="1" applyFill="1" applyBorder="1" applyProtection="1">
      <protection locked="0"/>
    </xf>
    <xf numFmtId="37" fontId="162" fillId="25" borderId="172" xfId="0" applyNumberFormat="1" applyFont="1" applyFill="1" applyBorder="1" applyProtection="1">
      <protection locked="0"/>
    </xf>
    <xf numFmtId="0" fontId="161" fillId="27" borderId="134" xfId="0" applyFont="1" applyFill="1" applyBorder="1"/>
    <xf numFmtId="0" fontId="161" fillId="27" borderId="128" xfId="0" applyFont="1" applyFill="1" applyBorder="1"/>
    <xf numFmtId="0" fontId="161" fillId="27" borderId="171" xfId="0" applyFont="1" applyFill="1" applyBorder="1"/>
    <xf numFmtId="37" fontId="162" fillId="25" borderId="184" xfId="0" applyNumberFormat="1" applyFont="1" applyFill="1" applyBorder="1"/>
    <xf numFmtId="0" fontId="162" fillId="27" borderId="126" xfId="0" applyFont="1" applyFill="1" applyBorder="1"/>
    <xf numFmtId="170" fontId="162" fillId="25" borderId="0" xfId="1" applyNumberFormat="1" applyFont="1" applyFill="1"/>
    <xf numFmtId="170" fontId="162" fillId="25" borderId="0" xfId="1" applyNumberFormat="1" applyFont="1" applyFill="1" applyProtection="1">
      <protection locked="0"/>
    </xf>
    <xf numFmtId="0" fontId="162" fillId="27" borderId="185" xfId="0" applyFont="1" applyFill="1" applyBorder="1"/>
    <xf numFmtId="170" fontId="162" fillId="25" borderId="172" xfId="1" applyNumberFormat="1" applyFont="1" applyFill="1" applyBorder="1"/>
    <xf numFmtId="37" fontId="161" fillId="27" borderId="171" xfId="0" applyNumberFormat="1" applyFont="1" applyFill="1" applyBorder="1"/>
    <xf numFmtId="172" fontId="161" fillId="27" borderId="172" xfId="0" applyNumberFormat="1" applyFont="1" applyFill="1" applyBorder="1"/>
    <xf numFmtId="37" fontId="161" fillId="27" borderId="173" xfId="0" applyNumberFormat="1" applyFont="1" applyFill="1" applyBorder="1"/>
    <xf numFmtId="173" fontId="161" fillId="26" borderId="181" xfId="2" applyNumberFormat="1" applyFont="1" applyFill="1" applyBorder="1"/>
    <xf numFmtId="0" fontId="166" fillId="25" borderId="171" xfId="0" applyFont="1" applyFill="1" applyBorder="1"/>
    <xf numFmtId="0" fontId="161" fillId="26" borderId="186" xfId="0" applyFont="1" applyFill="1" applyBorder="1"/>
    <xf numFmtId="37" fontId="161" fillId="25" borderId="171" xfId="0" applyNumberFormat="1" applyFont="1" applyFill="1" applyBorder="1"/>
    <xf numFmtId="173" fontId="161" fillId="25" borderId="172" xfId="0" applyNumberFormat="1" applyFont="1" applyFill="1" applyBorder="1"/>
    <xf numFmtId="37" fontId="161" fillId="25" borderId="173" xfId="0" applyNumberFormat="1" applyFont="1" applyFill="1" applyBorder="1"/>
    <xf numFmtId="0" fontId="161" fillId="26" borderId="187" xfId="0" applyFont="1" applyFill="1" applyBorder="1"/>
    <xf numFmtId="37" fontId="161" fillId="26" borderId="187" xfId="0" applyNumberFormat="1" applyFont="1" applyFill="1" applyBorder="1"/>
    <xf numFmtId="172" fontId="161" fillId="26" borderId="188" xfId="0" applyNumberFormat="1" applyFont="1" applyFill="1" applyBorder="1"/>
    <xf numFmtId="37" fontId="161" fillId="26" borderId="189" xfId="0" applyNumberFormat="1" applyFont="1" applyFill="1" applyBorder="1"/>
    <xf numFmtId="43" fontId="161" fillId="26" borderId="181" xfId="1" applyFont="1" applyFill="1" applyBorder="1"/>
    <xf numFmtId="0" fontId="166" fillId="25" borderId="185" xfId="0" applyFont="1" applyFill="1" applyBorder="1"/>
    <xf numFmtId="0" fontId="161" fillId="26" borderId="142" xfId="0" applyFont="1" applyFill="1" applyBorder="1"/>
    <xf numFmtId="0" fontId="167" fillId="25" borderId="0" xfId="0" applyFont="1" applyFill="1" applyAlignment="1">
      <alignment horizontal="center" vertical="center"/>
    </xf>
    <xf numFmtId="0" fontId="161" fillId="25" borderId="190" xfId="0" applyFont="1" applyFill="1" applyBorder="1" applyAlignment="1">
      <alignment horizontal="center"/>
    </xf>
    <xf numFmtId="0" fontId="162" fillId="25" borderId="145" xfId="0" applyFont="1" applyFill="1" applyBorder="1"/>
    <xf numFmtId="0" fontId="167" fillId="26" borderId="145" xfId="0" applyFont="1" applyFill="1" applyBorder="1"/>
    <xf numFmtId="0" fontId="167" fillId="25" borderId="147" xfId="0" applyFont="1" applyFill="1" applyBorder="1"/>
    <xf numFmtId="0" fontId="167" fillId="26" borderId="191" xfId="0" applyFont="1" applyFill="1" applyBorder="1"/>
    <xf numFmtId="173" fontId="167" fillId="26" borderId="191" xfId="0" applyNumberFormat="1" applyFont="1" applyFill="1" applyBorder="1"/>
    <xf numFmtId="170" fontId="167" fillId="26" borderId="175" xfId="1" applyNumberFormat="1" applyFont="1" applyFill="1" applyBorder="1"/>
    <xf numFmtId="37" fontId="167" fillId="26" borderId="192" xfId="0" applyNumberFormat="1" applyFont="1" applyFill="1" applyBorder="1"/>
    <xf numFmtId="0" fontId="167" fillId="26" borderId="175" xfId="0" applyFont="1" applyFill="1" applyBorder="1"/>
    <xf numFmtId="0" fontId="166" fillId="27" borderId="147" xfId="0" applyFont="1" applyFill="1" applyBorder="1"/>
    <xf numFmtId="172" fontId="167" fillId="26" borderId="175" xfId="0" applyNumberFormat="1" applyFont="1" applyFill="1" applyBorder="1"/>
    <xf numFmtId="0" fontId="166" fillId="25" borderId="193" xfId="0" applyFont="1" applyFill="1" applyBorder="1"/>
    <xf numFmtId="172" fontId="166" fillId="25" borderId="172" xfId="0" applyNumberFormat="1" applyFont="1" applyFill="1" applyBorder="1"/>
    <xf numFmtId="37" fontId="166" fillId="25" borderId="194" xfId="0" applyNumberFormat="1" applyFont="1" applyFill="1" applyBorder="1"/>
    <xf numFmtId="0" fontId="166" fillId="25" borderId="148" xfId="0" applyFont="1" applyFill="1" applyBorder="1"/>
    <xf numFmtId="173" fontId="167" fillId="25" borderId="193" xfId="0" applyNumberFormat="1" applyFont="1" applyFill="1" applyBorder="1"/>
    <xf numFmtId="0" fontId="167" fillId="25" borderId="172" xfId="0" applyFont="1" applyFill="1" applyBorder="1"/>
    <xf numFmtId="37" fontId="166" fillId="27" borderId="194" xfId="0" applyNumberFormat="1" applyFont="1" applyFill="1" applyBorder="1"/>
    <xf numFmtId="0" fontId="166" fillId="26" borderId="175" xfId="0" applyFont="1" applyFill="1" applyBorder="1"/>
    <xf numFmtId="0" fontId="167" fillId="27" borderId="193" xfId="0" applyFont="1" applyFill="1" applyBorder="1"/>
    <xf numFmtId="0" fontId="166" fillId="27" borderId="172" xfId="0" applyFont="1" applyFill="1" applyBorder="1"/>
    <xf numFmtId="0" fontId="167" fillId="26" borderId="151" xfId="0" applyFont="1" applyFill="1" applyBorder="1"/>
    <xf numFmtId="0" fontId="167" fillId="26" borderId="195" xfId="0" applyFont="1" applyFill="1" applyBorder="1"/>
    <xf numFmtId="0" fontId="170" fillId="25" borderId="196" xfId="0" applyFont="1" applyFill="1" applyBorder="1"/>
    <xf numFmtId="0" fontId="166" fillId="25" borderId="196" xfId="0" applyFont="1" applyFill="1" applyBorder="1"/>
    <xf numFmtId="0" fontId="162" fillId="25" borderId="196" xfId="0" applyFont="1" applyFill="1" applyBorder="1"/>
    <xf numFmtId="0" fontId="162" fillId="25" borderId="197" xfId="0" applyFont="1" applyFill="1" applyBorder="1"/>
    <xf numFmtId="0" fontId="167" fillId="26" borderId="198" xfId="0" applyFont="1" applyFill="1" applyBorder="1"/>
    <xf numFmtId="37" fontId="161" fillId="25" borderId="136" xfId="0" applyNumberFormat="1" applyFont="1" applyFill="1" applyBorder="1"/>
    <xf numFmtId="0" fontId="161" fillId="25" borderId="139" xfId="0" applyFont="1" applyFill="1" applyBorder="1"/>
    <xf numFmtId="37" fontId="162" fillId="33" borderId="127" xfId="0" applyNumberFormat="1" applyFont="1" applyFill="1" applyBorder="1" applyProtection="1">
      <protection locked="0"/>
    </xf>
    <xf numFmtId="37" fontId="162" fillId="33" borderId="130" xfId="0" applyNumberFormat="1" applyFont="1" applyFill="1" applyBorder="1" applyProtection="1">
      <protection locked="0"/>
    </xf>
    <xf numFmtId="37" fontId="161" fillId="25" borderId="176" xfId="0" applyNumberFormat="1" applyFont="1" applyFill="1" applyBorder="1"/>
    <xf numFmtId="37" fontId="162" fillId="33" borderId="173" xfId="0" applyNumberFormat="1" applyFont="1" applyFill="1" applyBorder="1" applyProtection="1">
      <protection locked="0"/>
    </xf>
    <xf numFmtId="37" fontId="162" fillId="33" borderId="133" xfId="0" applyNumberFormat="1" applyFont="1" applyFill="1" applyBorder="1" applyProtection="1">
      <protection locked="0"/>
    </xf>
    <xf numFmtId="37" fontId="161" fillId="25" borderId="178" xfId="0" applyNumberFormat="1" applyFont="1" applyFill="1" applyBorder="1"/>
    <xf numFmtId="37" fontId="161" fillId="25" borderId="141" xfId="0" applyNumberFormat="1" applyFont="1" applyFill="1" applyBorder="1"/>
    <xf numFmtId="37" fontId="161" fillId="25" borderId="127" xfId="0" applyNumberFormat="1" applyFont="1" applyFill="1" applyBorder="1"/>
    <xf numFmtId="37" fontId="161" fillId="25" borderId="182" xfId="0" applyNumberFormat="1" applyFont="1" applyFill="1" applyBorder="1"/>
    <xf numFmtId="3" fontId="161" fillId="25" borderId="126" xfId="0" applyNumberFormat="1" applyFont="1" applyFill="1" applyBorder="1"/>
    <xf numFmtId="3" fontId="161" fillId="25" borderId="0" xfId="0" applyNumberFormat="1" applyFont="1" applyFill="1"/>
    <xf numFmtId="3" fontId="161" fillId="25" borderId="127" xfId="0" applyNumberFormat="1" applyFont="1" applyFill="1" applyBorder="1"/>
    <xf numFmtId="9" fontId="162" fillId="25" borderId="126" xfId="0" applyNumberFormat="1" applyFont="1" applyFill="1" applyBorder="1"/>
    <xf numFmtId="9" fontId="162" fillId="25" borderId="131" xfId="0" applyNumberFormat="1" applyFont="1" applyFill="1" applyBorder="1"/>
    <xf numFmtId="0" fontId="162" fillId="25" borderId="140" xfId="0" applyFont="1" applyFill="1" applyBorder="1" applyAlignment="1">
      <alignment horizontal="right"/>
    </xf>
    <xf numFmtId="37" fontId="162" fillId="32" borderId="0" xfId="0" applyNumberFormat="1" applyFont="1" applyFill="1" applyProtection="1">
      <protection locked="0"/>
    </xf>
    <xf numFmtId="37" fontId="162" fillId="32" borderId="127" xfId="0" applyNumberFormat="1" applyFont="1" applyFill="1" applyBorder="1" applyProtection="1">
      <protection locked="0"/>
    </xf>
    <xf numFmtId="172" fontId="162" fillId="25" borderId="172" xfId="0" applyNumberFormat="1" applyFont="1" applyFill="1" applyBorder="1" applyProtection="1">
      <protection locked="0"/>
    </xf>
    <xf numFmtId="37" fontId="162" fillId="0" borderId="171" xfId="0" applyNumberFormat="1" applyFont="1" applyBorder="1" applyProtection="1">
      <protection locked="0"/>
    </xf>
    <xf numFmtId="173" fontId="161" fillId="25" borderId="139" xfId="0" applyNumberFormat="1" applyFont="1" applyFill="1" applyBorder="1"/>
    <xf numFmtId="37" fontId="161" fillId="25" borderId="189" xfId="0" applyNumberFormat="1" applyFont="1" applyFill="1" applyBorder="1"/>
    <xf numFmtId="0" fontId="178" fillId="25" borderId="0" xfId="0" applyFont="1" applyFill="1"/>
    <xf numFmtId="37" fontId="162" fillId="32" borderId="173" xfId="0" applyNumberFormat="1" applyFont="1" applyFill="1" applyBorder="1" applyProtection="1">
      <protection locked="0"/>
    </xf>
    <xf numFmtId="37" fontId="162" fillId="33" borderId="130" xfId="0" applyNumberFormat="1" applyFont="1" applyFill="1" applyBorder="1"/>
    <xf numFmtId="37" fontId="161" fillId="25" borderId="144" xfId="0" applyNumberFormat="1" applyFont="1" applyFill="1" applyBorder="1"/>
    <xf numFmtId="37" fontId="167" fillId="25" borderId="146" xfId="0" applyNumberFormat="1" applyFont="1" applyFill="1" applyBorder="1"/>
    <xf numFmtId="37" fontId="167" fillId="25" borderId="192" xfId="0" applyNumberFormat="1" applyFont="1" applyFill="1" applyBorder="1"/>
    <xf numFmtId="37" fontId="166" fillId="33" borderId="148" xfId="0" applyNumberFormat="1" applyFont="1" applyFill="1" applyBorder="1" applyProtection="1">
      <protection locked="0"/>
    </xf>
    <xf numFmtId="37" fontId="166" fillId="32" borderId="148" xfId="0" applyNumberFormat="1" applyFont="1" applyFill="1" applyBorder="1"/>
    <xf numFmtId="37" fontId="166" fillId="32" borderId="148" xfId="0" applyNumberFormat="1" applyFont="1" applyFill="1" applyBorder="1" applyProtection="1">
      <protection locked="0"/>
    </xf>
    <xf numFmtId="37" fontId="166" fillId="32" borderId="146" xfId="0" applyNumberFormat="1" applyFont="1" applyFill="1" applyBorder="1" applyProtection="1">
      <protection locked="0"/>
    </xf>
    <xf numFmtId="37" fontId="166" fillId="34" borderId="194" xfId="0" applyNumberFormat="1" applyFont="1" applyFill="1" applyBorder="1"/>
    <xf numFmtId="0" fontId="169" fillId="27" borderId="193" xfId="0" applyFont="1" applyFill="1" applyBorder="1"/>
    <xf numFmtId="0" fontId="168" fillId="27" borderId="172" xfId="0" applyFont="1" applyFill="1" applyBorder="1"/>
    <xf numFmtId="37" fontId="168" fillId="27" borderId="194" xfId="0" applyNumberFormat="1" applyFont="1" applyFill="1" applyBorder="1"/>
    <xf numFmtId="37" fontId="168" fillId="25" borderId="194" xfId="0" applyNumberFormat="1" applyFont="1" applyFill="1" applyBorder="1"/>
    <xf numFmtId="37" fontId="167" fillId="25" borderId="155" xfId="0" applyNumberFormat="1" applyFont="1" applyFill="1" applyBorder="1"/>
    <xf numFmtId="37" fontId="167" fillId="25" borderId="158" xfId="0" applyNumberFormat="1" applyFont="1" applyFill="1" applyBorder="1"/>
    <xf numFmtId="37" fontId="167" fillId="25" borderId="161" xfId="0" applyNumberFormat="1" applyFont="1" applyFill="1" applyBorder="1"/>
    <xf numFmtId="0" fontId="18" fillId="0" borderId="0" xfId="0" applyFont="1"/>
    <xf numFmtId="0" fontId="10" fillId="0" borderId="0" xfId="0" applyFont="1"/>
    <xf numFmtId="37" fontId="123" fillId="0" borderId="0" xfId="0" applyNumberFormat="1" applyFont="1"/>
    <xf numFmtId="43" fontId="0" fillId="0" borderId="0" xfId="1" applyFont="1"/>
    <xf numFmtId="0" fontId="158" fillId="24" borderId="0" xfId="0" applyFont="1" applyFill="1" applyAlignment="1">
      <alignment horizontal="left" vertical="top"/>
    </xf>
    <xf numFmtId="0" fontId="159" fillId="22" borderId="0" xfId="0" applyFont="1" applyFill="1" applyAlignment="1">
      <alignment horizontal="center" vertical="top"/>
    </xf>
    <xf numFmtId="43" fontId="156" fillId="0" borderId="0" xfId="1" applyFont="1" applyAlignment="1">
      <alignment horizontal="center" vertical="top"/>
    </xf>
    <xf numFmtId="43" fontId="157" fillId="0" borderId="0" xfId="1" applyFont="1" applyAlignment="1">
      <alignment horizontal="center" vertical="top"/>
    </xf>
    <xf numFmtId="43" fontId="0" fillId="0" borderId="0" xfId="0" applyNumberFormat="1"/>
    <xf numFmtId="43" fontId="0" fillId="0" borderId="0" xfId="1" applyFont="1" applyFill="1"/>
    <xf numFmtId="0" fontId="132" fillId="0" borderId="199" xfId="0" applyFont="1" applyBorder="1"/>
    <xf numFmtId="0" fontId="132" fillId="0" borderId="200" xfId="0" applyFont="1" applyBorder="1"/>
    <xf numFmtId="0" fontId="132" fillId="0" borderId="201" xfId="0" applyFont="1" applyBorder="1"/>
    <xf numFmtId="0" fontId="125" fillId="0" borderId="200" xfId="0" applyFont="1" applyBorder="1"/>
    <xf numFmtId="0" fontId="179" fillId="35" borderId="0" xfId="0" applyFont="1" applyFill="1" applyAlignment="1">
      <alignment horizontal="center" vertical="center"/>
    </xf>
    <xf numFmtId="0" fontId="153" fillId="35" borderId="0" xfId="0" applyFont="1" applyFill="1" applyAlignment="1">
      <alignment horizontal="center" vertical="center"/>
    </xf>
    <xf numFmtId="0" fontId="180" fillId="35" borderId="0" xfId="0" applyFont="1" applyFill="1" applyAlignment="1">
      <alignment horizontal="left" vertical="center"/>
    </xf>
    <xf numFmtId="0" fontId="153" fillId="35" borderId="0" xfId="0" applyFont="1" applyFill="1"/>
    <xf numFmtId="0" fontId="153" fillId="35" borderId="0" xfId="0" applyFont="1" applyFill="1" applyAlignment="1">
      <alignment horizontal="center"/>
    </xf>
    <xf numFmtId="3" fontId="153" fillId="35" borderId="0" xfId="0" applyNumberFormat="1" applyFont="1" applyFill="1"/>
    <xf numFmtId="0" fontId="153" fillId="35" borderId="1" xfId="0" applyFont="1" applyFill="1" applyBorder="1"/>
    <xf numFmtId="0" fontId="153" fillId="35" borderId="1" xfId="0" applyFont="1" applyFill="1" applyBorder="1" applyAlignment="1">
      <alignment horizontal="center" vertical="center"/>
    </xf>
    <xf numFmtId="0" fontId="153" fillId="35" borderId="1" xfId="0" applyFont="1" applyFill="1" applyBorder="1" applyAlignment="1">
      <alignment horizontal="right" vertical="center"/>
    </xf>
    <xf numFmtId="0" fontId="132" fillId="0" borderId="20" xfId="0" applyFont="1" applyBorder="1" applyAlignment="1">
      <alignment horizontal="center"/>
    </xf>
    <xf numFmtId="0" fontId="132" fillId="0" borderId="21" xfId="0" applyFont="1" applyBorder="1" applyAlignment="1">
      <alignment horizontal="center"/>
    </xf>
    <xf numFmtId="0" fontId="132" fillId="0" borderId="1" xfId="0" applyFont="1" applyBorder="1" applyAlignment="1">
      <alignment horizontal="center"/>
    </xf>
    <xf numFmtId="37" fontId="132" fillId="0" borderId="1" xfId="0" applyNumberFormat="1" applyFont="1" applyBorder="1"/>
    <xf numFmtId="1" fontId="132" fillId="0" borderId="20" xfId="0" applyNumberFormat="1" applyFont="1" applyBorder="1"/>
    <xf numFmtId="37" fontId="132" fillId="0" borderId="20" xfId="0" applyNumberFormat="1" applyFont="1" applyBorder="1"/>
    <xf numFmtId="173" fontId="132" fillId="0" borderId="20" xfId="0" applyNumberFormat="1" applyFont="1" applyBorder="1"/>
    <xf numFmtId="0" fontId="132" fillId="0" borderId="202" xfId="0" applyFont="1" applyBorder="1"/>
    <xf numFmtId="173" fontId="132" fillId="0" borderId="21" xfId="0" applyNumberFormat="1" applyFont="1" applyBorder="1"/>
    <xf numFmtId="173" fontId="125" fillId="0" borderId="20" xfId="0" applyNumberFormat="1" applyFont="1" applyBorder="1"/>
    <xf numFmtId="173" fontId="125" fillId="0" borderId="21" xfId="0" applyNumberFormat="1" applyFont="1" applyBorder="1"/>
    <xf numFmtId="0" fontId="132" fillId="0" borderId="203" xfId="0" applyFont="1" applyBorder="1"/>
    <xf numFmtId="0" fontId="132" fillId="0" borderId="203" xfId="0" applyFont="1" applyBorder="1" applyAlignment="1">
      <alignment horizontal="center"/>
    </xf>
    <xf numFmtId="0" fontId="132" fillId="0" borderId="204" xfId="0" applyFont="1" applyBorder="1" applyAlignment="1">
      <alignment horizontal="center"/>
    </xf>
    <xf numFmtId="173" fontId="132" fillId="0" borderId="203" xfId="0" applyNumberFormat="1" applyFont="1" applyBorder="1"/>
    <xf numFmtId="37" fontId="132" fillId="0" borderId="204" xfId="0" applyNumberFormat="1" applyFont="1" applyBorder="1"/>
    <xf numFmtId="0" fontId="181" fillId="0" borderId="0" xfId="0" applyFont="1"/>
    <xf numFmtId="0" fontId="133" fillId="0" borderId="0" xfId="0" applyFont="1" applyAlignment="1">
      <alignment horizontal="center"/>
    </xf>
    <xf numFmtId="0" fontId="0" fillId="36" borderId="0" xfId="0" applyFill="1"/>
    <xf numFmtId="0" fontId="159" fillId="37" borderId="0" xfId="0" applyFont="1" applyFill="1" applyAlignment="1">
      <alignment horizontal="left" vertical="top"/>
    </xf>
    <xf numFmtId="0" fontId="159" fillId="37" borderId="0" xfId="0" applyFont="1" applyFill="1" applyAlignment="1">
      <alignment horizontal="center" vertical="top"/>
    </xf>
    <xf numFmtId="0" fontId="132" fillId="32" borderId="8" xfId="0" applyFont="1" applyFill="1" applyBorder="1"/>
    <xf numFmtId="0" fontId="0" fillId="38" borderId="0" xfId="0" applyFill="1"/>
    <xf numFmtId="43" fontId="157" fillId="0" borderId="0" xfId="1" applyFont="1" applyFill="1" applyAlignment="1">
      <alignment horizontal="center" vertical="top"/>
    </xf>
    <xf numFmtId="43" fontId="156" fillId="0" borderId="0" xfId="1" applyFont="1" applyFill="1" applyAlignment="1">
      <alignment horizontal="center" vertical="top"/>
    </xf>
    <xf numFmtId="0" fontId="123" fillId="0" borderId="1" xfId="0" applyFont="1" applyBorder="1"/>
    <xf numFmtId="37" fontId="125" fillId="3" borderId="27" xfId="0" applyNumberFormat="1" applyFont="1" applyFill="1" applyBorder="1"/>
    <xf numFmtId="168" fontId="127" fillId="0" borderId="4" xfId="0" applyNumberFormat="1" applyFont="1" applyBorder="1"/>
    <xf numFmtId="169" fontId="127" fillId="0" borderId="5" xfId="0" applyNumberFormat="1" applyFont="1" applyBorder="1"/>
    <xf numFmtId="168" fontId="127" fillId="0" borderId="7" xfId="0" applyNumberFormat="1" applyFont="1" applyBorder="1"/>
    <xf numFmtId="3" fontId="132" fillId="0" borderId="14" xfId="0" applyNumberFormat="1" applyFont="1" applyBorder="1"/>
    <xf numFmtId="3" fontId="132" fillId="0" borderId="5" xfId="0" applyNumberFormat="1" applyFont="1" applyBorder="1" applyAlignment="1">
      <alignment horizontal="center"/>
    </xf>
    <xf numFmtId="173" fontId="135" fillId="0" borderId="9" xfId="0" applyNumberFormat="1" applyFont="1" applyBorder="1" applyAlignment="1">
      <alignment vertical="center"/>
    </xf>
    <xf numFmtId="37" fontId="132" fillId="0" borderId="205" xfId="0" applyNumberFormat="1" applyFont="1" applyBorder="1"/>
    <xf numFmtId="0" fontId="125" fillId="3" borderId="93" xfId="0" applyFont="1" applyFill="1" applyBorder="1"/>
    <xf numFmtId="0" fontId="125" fillId="3" borderId="35" xfId="0" applyFont="1" applyFill="1" applyBorder="1" applyAlignment="1">
      <alignment horizontal="center"/>
    </xf>
    <xf numFmtId="173" fontId="125" fillId="3" borderId="35" xfId="0" applyNumberFormat="1" applyFont="1" applyFill="1" applyBorder="1"/>
    <xf numFmtId="37" fontId="125" fillId="3" borderId="94" xfId="0" applyNumberFormat="1" applyFont="1" applyFill="1" applyBorder="1"/>
    <xf numFmtId="0" fontId="125" fillId="3" borderId="93" xfId="0" applyFont="1" applyFill="1" applyBorder="1" applyAlignment="1">
      <alignment horizontal="center"/>
    </xf>
    <xf numFmtId="0" fontId="132" fillId="3" borderId="206" xfId="0" applyFont="1" applyFill="1" applyBorder="1"/>
    <xf numFmtId="0" fontId="132" fillId="3" borderId="93" xfId="0" applyFont="1" applyFill="1" applyBorder="1"/>
    <xf numFmtId="37" fontId="125" fillId="3" borderId="13" xfId="2" applyNumberFormat="1" applyFont="1" applyFill="1" applyBorder="1"/>
    <xf numFmtId="37" fontId="132" fillId="0" borderId="92" xfId="0" applyNumberFormat="1" applyFont="1" applyBorder="1"/>
    <xf numFmtId="37" fontId="132" fillId="0" borderId="5" xfId="0" applyNumberFormat="1" applyFont="1" applyBorder="1" applyAlignment="1">
      <alignment horizontal="center"/>
    </xf>
    <xf numFmtId="37" fontId="132" fillId="0" borderId="91" xfId="0" applyNumberFormat="1" applyFont="1" applyBorder="1" applyAlignment="1">
      <alignment horizontal="center"/>
    </xf>
    <xf numFmtId="3" fontId="132" fillId="0" borderId="1" xfId="0" applyNumberFormat="1" applyFont="1" applyBorder="1"/>
    <xf numFmtId="3" fontId="132" fillId="0" borderId="23" xfId="0" applyNumberFormat="1" applyFont="1" applyBorder="1"/>
    <xf numFmtId="37" fontId="132" fillId="0" borderId="23" xfId="0" applyNumberFormat="1" applyFont="1" applyBorder="1"/>
    <xf numFmtId="3" fontId="132" fillId="0" borderId="21" xfId="0" applyNumberFormat="1" applyFont="1" applyBorder="1"/>
    <xf numFmtId="173" fontId="135" fillId="0" borderId="8" xfId="0" applyNumberFormat="1" applyFont="1" applyBorder="1"/>
    <xf numFmtId="173" fontId="135" fillId="0" borderId="9" xfId="0" applyNumberFormat="1" applyFont="1" applyBorder="1"/>
    <xf numFmtId="0" fontId="125" fillId="0" borderId="20" xfId="0" applyFont="1" applyBorder="1"/>
    <xf numFmtId="9" fontId="132" fillId="0" borderId="0" xfId="2" applyFont="1" applyFill="1"/>
    <xf numFmtId="37" fontId="132" fillId="0" borderId="21" xfId="0" applyNumberFormat="1" applyFont="1" applyBorder="1" applyAlignment="1">
      <alignment horizontal="center"/>
    </xf>
    <xf numFmtId="37" fontId="125" fillId="0" borderId="10" xfId="0" applyNumberFormat="1" applyFont="1" applyBorder="1"/>
    <xf numFmtId="37" fontId="125" fillId="0" borderId="26" xfId="0" applyNumberFormat="1" applyFont="1" applyBorder="1"/>
    <xf numFmtId="37" fontId="125" fillId="0" borderId="11" xfId="0" applyNumberFormat="1" applyFont="1" applyBorder="1"/>
    <xf numFmtId="173" fontId="125" fillId="0" borderId="10" xfId="0" applyNumberFormat="1" applyFont="1" applyBorder="1"/>
    <xf numFmtId="37" fontId="125" fillId="0" borderId="22" xfId="0" applyNumberFormat="1" applyFont="1" applyBorder="1"/>
    <xf numFmtId="39" fontId="125" fillId="0" borderId="23" xfId="0" applyNumberFormat="1" applyFont="1" applyBorder="1" applyAlignment="1">
      <alignment horizontal="center"/>
    </xf>
    <xf numFmtId="173" fontId="125" fillId="0" borderId="24" xfId="0" applyNumberFormat="1" applyFont="1" applyBorder="1"/>
    <xf numFmtId="3" fontId="132" fillId="0" borderId="132" xfId="0" applyNumberFormat="1" applyFont="1" applyBorder="1"/>
    <xf numFmtId="3" fontId="132" fillId="0" borderId="203" xfId="0" applyNumberFormat="1" applyFont="1" applyBorder="1"/>
    <xf numFmtId="37" fontId="132" fillId="0" borderId="132" xfId="0" applyNumberFormat="1" applyFont="1" applyBorder="1"/>
    <xf numFmtId="3" fontId="132" fillId="0" borderId="204" xfId="0" applyNumberFormat="1" applyFont="1" applyBorder="1"/>
    <xf numFmtId="173" fontId="125" fillId="0" borderId="204" xfId="0" applyNumberFormat="1" applyFont="1" applyBorder="1"/>
    <xf numFmtId="0" fontId="132" fillId="0" borderId="132" xfId="0" applyFont="1" applyBorder="1"/>
    <xf numFmtId="173" fontId="132" fillId="0" borderId="204" xfId="0" applyNumberFormat="1" applyFont="1" applyBorder="1"/>
    <xf numFmtId="173" fontId="125" fillId="0" borderId="203" xfId="0" applyNumberFormat="1" applyFont="1" applyBorder="1"/>
    <xf numFmtId="173" fontId="133" fillId="0" borderId="8" xfId="0" applyNumberFormat="1" applyFont="1" applyBorder="1" applyAlignment="1">
      <alignment vertical="center"/>
    </xf>
    <xf numFmtId="173" fontId="133" fillId="0" borderId="203" xfId="0" applyNumberFormat="1" applyFont="1" applyBorder="1" applyAlignment="1">
      <alignment vertical="center"/>
    </xf>
    <xf numFmtId="172" fontId="132" fillId="0" borderId="90" xfId="0" applyNumberFormat="1" applyFont="1" applyBorder="1"/>
    <xf numFmtId="37" fontId="133" fillId="0" borderId="207" xfId="0" applyNumberFormat="1" applyFont="1" applyBorder="1"/>
    <xf numFmtId="0" fontId="133" fillId="0" borderId="20" xfId="0" applyFont="1" applyBorder="1"/>
    <xf numFmtId="0" fontId="133" fillId="0" borderId="1" xfId="0" applyFont="1" applyBorder="1" applyAlignment="1">
      <alignment horizontal="center"/>
    </xf>
    <xf numFmtId="0" fontId="133" fillId="0" borderId="20" xfId="0" applyFont="1" applyBorder="1" applyAlignment="1">
      <alignment horizontal="center"/>
    </xf>
    <xf numFmtId="37" fontId="133" fillId="0" borderId="21" xfId="0" applyNumberFormat="1" applyFont="1" applyBorder="1"/>
    <xf numFmtId="37" fontId="133" fillId="0" borderId="21" xfId="0" applyNumberFormat="1" applyFont="1" applyBorder="1" applyAlignment="1">
      <alignment horizontal="center"/>
    </xf>
    <xf numFmtId="0" fontId="133" fillId="0" borderId="203" xfId="0" applyFont="1" applyBorder="1"/>
    <xf numFmtId="0" fontId="133" fillId="0" borderId="132" xfId="0" applyFont="1" applyBorder="1" applyAlignment="1">
      <alignment horizontal="center"/>
    </xf>
    <xf numFmtId="10" fontId="133" fillId="0" borderId="132" xfId="0" applyNumberFormat="1" applyFont="1" applyBorder="1" applyAlignment="1">
      <alignment horizontal="center"/>
    </xf>
    <xf numFmtId="0" fontId="133" fillId="0" borderId="203" xfId="0" applyFont="1" applyBorder="1" applyAlignment="1">
      <alignment horizontal="center"/>
    </xf>
    <xf numFmtId="173" fontId="133" fillId="0" borderId="203" xfId="0" applyNumberFormat="1" applyFont="1" applyBorder="1"/>
    <xf numFmtId="37" fontId="133" fillId="0" borderId="204" xfId="0" applyNumberFormat="1" applyFont="1" applyBorder="1"/>
    <xf numFmtId="37" fontId="133" fillId="0" borderId="132" xfId="0" applyNumberFormat="1" applyFont="1" applyBorder="1" applyAlignment="1">
      <alignment horizontal="center"/>
    </xf>
    <xf numFmtId="37" fontId="133" fillId="0" borderId="204" xfId="0" applyNumberFormat="1" applyFont="1" applyBorder="1" applyAlignment="1">
      <alignment horizontal="center"/>
    </xf>
    <xf numFmtId="37" fontId="135" fillId="39" borderId="179" xfId="0" applyNumberFormat="1" applyFont="1" applyFill="1" applyBorder="1" applyAlignment="1">
      <alignment horizontal="center"/>
    </xf>
    <xf numFmtId="37" fontId="135" fillId="39" borderId="179" xfId="0" applyNumberFormat="1" applyFont="1" applyFill="1" applyBorder="1"/>
    <xf numFmtId="10" fontId="135" fillId="39" borderId="179" xfId="0" applyNumberFormat="1" applyFont="1" applyFill="1" applyBorder="1"/>
    <xf numFmtId="1" fontId="135" fillId="39" borderId="208" xfId="0" applyNumberFormat="1" applyFont="1" applyFill="1" applyBorder="1"/>
    <xf numFmtId="37" fontId="135" fillId="39" borderId="208" xfId="0" applyNumberFormat="1" applyFont="1" applyFill="1" applyBorder="1"/>
    <xf numFmtId="173" fontId="135" fillId="39" borderId="208" xfId="0" applyNumberFormat="1" applyFont="1" applyFill="1" applyBorder="1"/>
    <xf numFmtId="37" fontId="135" fillId="39" borderId="209" xfId="0" applyNumberFormat="1" applyFont="1" applyFill="1" applyBorder="1"/>
    <xf numFmtId="173" fontId="133" fillId="0" borderId="21" xfId="0" applyNumberFormat="1" applyFont="1" applyBorder="1"/>
    <xf numFmtId="173" fontId="135" fillId="0" borderId="20" xfId="0" applyNumberFormat="1" applyFont="1" applyBorder="1"/>
    <xf numFmtId="173" fontId="135" fillId="0" borderId="21" xfId="0" applyNumberFormat="1" applyFont="1" applyBorder="1"/>
    <xf numFmtId="37" fontId="135" fillId="0" borderId="21" xfId="0" applyNumberFormat="1" applyFont="1" applyBorder="1"/>
    <xf numFmtId="0" fontId="135" fillId="3" borderId="10" xfId="0" applyFont="1" applyFill="1" applyBorder="1"/>
    <xf numFmtId="37" fontId="135" fillId="3" borderId="26" xfId="0" applyNumberFormat="1" applyFont="1" applyFill="1" applyBorder="1"/>
    <xf numFmtId="10" fontId="135" fillId="3" borderId="26" xfId="0" applyNumberFormat="1" applyFont="1" applyFill="1" applyBorder="1"/>
    <xf numFmtId="37" fontId="135" fillId="3" borderId="10" xfId="0" applyNumberFormat="1" applyFont="1" applyFill="1" applyBorder="1"/>
    <xf numFmtId="173" fontId="135" fillId="3" borderId="10" xfId="0" applyNumberFormat="1" applyFont="1" applyFill="1" applyBorder="1"/>
    <xf numFmtId="10" fontId="135" fillId="3" borderId="10" xfId="0" applyNumberFormat="1" applyFont="1" applyFill="1" applyBorder="1"/>
    <xf numFmtId="0" fontId="135" fillId="3" borderId="12" xfId="0" applyFont="1" applyFill="1" applyBorder="1"/>
    <xf numFmtId="0" fontId="135" fillId="3" borderId="27" xfId="0" applyFont="1" applyFill="1" applyBorder="1"/>
    <xf numFmtId="10" fontId="135" fillId="3" borderId="27" xfId="0" applyNumberFormat="1" applyFont="1" applyFill="1" applyBorder="1"/>
    <xf numFmtId="37" fontId="135" fillId="3" borderId="27" xfId="0" applyNumberFormat="1" applyFont="1" applyFill="1" applyBorder="1"/>
    <xf numFmtId="173" fontId="135" fillId="3" borderId="12" xfId="0" applyNumberFormat="1" applyFont="1" applyFill="1" applyBorder="1"/>
    <xf numFmtId="37" fontId="181" fillId="0" borderId="0" xfId="0" applyNumberFormat="1" applyFont="1"/>
    <xf numFmtId="43" fontId="181" fillId="0" borderId="0" xfId="0" applyNumberFormat="1" applyFont="1"/>
    <xf numFmtId="171" fontId="133" fillId="0" borderId="0" xfId="0" applyNumberFormat="1" applyFont="1" applyAlignment="1">
      <alignment horizontal="left"/>
    </xf>
    <xf numFmtId="0" fontId="135" fillId="0" borderId="0" xfId="0" applyFont="1" applyAlignment="1">
      <alignment horizontal="center"/>
    </xf>
    <xf numFmtId="0" fontId="133" fillId="0" borderId="16" xfId="0" applyFont="1" applyBorder="1"/>
    <xf numFmtId="0" fontId="133" fillId="0" borderId="21" xfId="0" applyFont="1" applyBorder="1" applyAlignment="1">
      <alignment horizontal="center"/>
    </xf>
    <xf numFmtId="10" fontId="133" fillId="0" borderId="1" xfId="0" applyNumberFormat="1" applyFont="1" applyBorder="1" applyAlignment="1">
      <alignment horizontal="center"/>
    </xf>
    <xf numFmtId="3" fontId="133" fillId="0" borderId="1" xfId="0" applyNumberFormat="1" applyFont="1" applyBorder="1"/>
    <xf numFmtId="37" fontId="133" fillId="0" borderId="1" xfId="0" applyNumberFormat="1" applyFont="1" applyBorder="1" applyAlignment="1">
      <alignment horizontal="center"/>
    </xf>
    <xf numFmtId="173" fontId="133" fillId="0" borderId="1" xfId="0" applyNumberFormat="1" applyFont="1" applyBorder="1"/>
    <xf numFmtId="173" fontId="133" fillId="0" borderId="20" xfId="0" applyNumberFormat="1" applyFont="1" applyBorder="1"/>
    <xf numFmtId="0" fontId="135" fillId="39" borderId="208" xfId="0" applyFont="1" applyFill="1" applyBorder="1"/>
    <xf numFmtId="172" fontId="133" fillId="0" borderId="1" xfId="0" applyNumberFormat="1" applyFont="1" applyBorder="1"/>
    <xf numFmtId="10" fontId="133" fillId="0" borderId="1" xfId="0" applyNumberFormat="1" applyFont="1" applyBorder="1"/>
    <xf numFmtId="37" fontId="133" fillId="0" borderId="20" xfId="0" applyNumberFormat="1" applyFont="1" applyBorder="1"/>
    <xf numFmtId="0" fontId="133" fillId="0" borderId="1" xfId="0" applyFont="1" applyBorder="1"/>
    <xf numFmtId="37" fontId="135" fillId="3" borderId="95" xfId="0" applyNumberFormat="1" applyFont="1" applyFill="1" applyBorder="1"/>
    <xf numFmtId="0" fontId="5" fillId="0" borderId="0" xfId="0" applyFont="1"/>
    <xf numFmtId="0" fontId="0" fillId="41" borderId="0" xfId="0" applyFill="1"/>
    <xf numFmtId="0" fontId="159" fillId="42" borderId="0" xfId="0" applyFont="1" applyFill="1" applyAlignment="1">
      <alignment horizontal="left" vertical="top"/>
    </xf>
    <xf numFmtId="43" fontId="0" fillId="40" borderId="0" xfId="1" applyFont="1" applyFill="1"/>
    <xf numFmtId="0" fontId="131" fillId="0" borderId="1" xfId="0" applyFont="1" applyBorder="1"/>
    <xf numFmtId="0" fontId="136" fillId="0" borderId="0" xfId="0" applyFont="1"/>
    <xf numFmtId="0" fontId="183" fillId="0" borderId="0" xfId="0" applyFont="1"/>
    <xf numFmtId="3" fontId="131" fillId="0" borderId="0" xfId="0" applyNumberFormat="1" applyFont="1"/>
    <xf numFmtId="3" fontId="183" fillId="0" borderId="0" xfId="0" applyNumberFormat="1" applyFont="1"/>
    <xf numFmtId="6" fontId="131" fillId="0" borderId="0" xfId="0" applyNumberFormat="1" applyFont="1"/>
    <xf numFmtId="9" fontId="131" fillId="0" borderId="0" xfId="0" applyNumberFormat="1" applyFont="1"/>
    <xf numFmtId="0" fontId="131" fillId="0" borderId="0" xfId="0" quotePrefix="1" applyFont="1"/>
    <xf numFmtId="0" fontId="131" fillId="0" borderId="210" xfId="0" applyFont="1" applyBorder="1"/>
    <xf numFmtId="0" fontId="133" fillId="0" borderId="211" xfId="0" applyFont="1" applyBorder="1"/>
    <xf numFmtId="0" fontId="131" fillId="0" borderId="211" xfId="0" applyFont="1" applyBorder="1"/>
    <xf numFmtId="0" fontId="113" fillId="0" borderId="1" xfId="28"/>
    <xf numFmtId="0" fontId="113" fillId="0" borderId="1" xfId="28" applyAlignment="1">
      <alignment horizontal="center"/>
    </xf>
    <xf numFmtId="0" fontId="113" fillId="0" borderId="1" xfId="28" applyAlignment="1">
      <alignment vertical="center" wrapText="1"/>
    </xf>
    <xf numFmtId="0" fontId="160" fillId="0" borderId="215" xfId="28" applyFont="1" applyBorder="1" applyAlignment="1">
      <alignment horizontal="center" vertical="center" wrapText="1"/>
    </xf>
    <xf numFmtId="0" fontId="160" fillId="0" borderId="168" xfId="28" applyFont="1" applyBorder="1" applyAlignment="1">
      <alignment horizontal="center" vertical="center" wrapText="1"/>
    </xf>
    <xf numFmtId="0" fontId="160" fillId="44" borderId="216" xfId="28" applyFont="1" applyFill="1" applyBorder="1" applyAlignment="1">
      <alignment horizontal="center" vertical="center" wrapText="1"/>
    </xf>
    <xf numFmtId="0" fontId="113" fillId="0" borderId="162" xfId="28" applyBorder="1" applyAlignment="1">
      <alignment vertical="center" wrapText="1"/>
    </xf>
    <xf numFmtId="37" fontId="113" fillId="0" borderId="215" xfId="28" applyNumberFormat="1" applyBorder="1" applyAlignment="1">
      <alignment horizontal="center" vertical="center" wrapText="1"/>
    </xf>
    <xf numFmtId="37" fontId="113" fillId="0" borderId="162" xfId="28" applyNumberFormat="1" applyBorder="1" applyAlignment="1">
      <alignment horizontal="center" vertical="center" wrapText="1"/>
    </xf>
    <xf numFmtId="37" fontId="113" fillId="44" borderId="216" xfId="28" applyNumberFormat="1" applyFill="1" applyBorder="1" applyAlignment="1">
      <alignment horizontal="center" vertical="center" wrapText="1"/>
    </xf>
    <xf numFmtId="37" fontId="113" fillId="0" borderId="168" xfId="28" applyNumberFormat="1" applyBorder="1" applyAlignment="1">
      <alignment horizontal="center" vertical="center" wrapText="1"/>
    </xf>
    <xf numFmtId="0" fontId="113" fillId="0" borderId="166" xfId="28" applyBorder="1" applyAlignment="1">
      <alignment vertical="center" wrapText="1"/>
    </xf>
    <xf numFmtId="3" fontId="113" fillId="0" borderId="217" xfId="28" applyNumberFormat="1" applyBorder="1" applyAlignment="1">
      <alignment horizontal="center" vertical="center" wrapText="1"/>
    </xf>
    <xf numFmtId="3" fontId="113" fillId="0" borderId="166" xfId="28" applyNumberFormat="1" applyBorder="1" applyAlignment="1">
      <alignment horizontal="center" vertical="center" wrapText="1"/>
    </xf>
    <xf numFmtId="37" fontId="113" fillId="44" borderId="218" xfId="28" applyNumberFormat="1" applyFill="1" applyBorder="1" applyAlignment="1">
      <alignment horizontal="center" vertical="center" wrapText="1"/>
    </xf>
    <xf numFmtId="3" fontId="113" fillId="0" borderId="169" xfId="28" applyNumberFormat="1" applyBorder="1" applyAlignment="1">
      <alignment horizontal="center" vertical="center" wrapText="1"/>
    </xf>
    <xf numFmtId="0" fontId="113" fillId="0" borderId="164" xfId="28" applyBorder="1"/>
    <xf numFmtId="179" fontId="113" fillId="0" borderId="219" xfId="28" applyNumberFormat="1" applyBorder="1" applyAlignment="1">
      <alignment horizontal="right"/>
    </xf>
    <xf numFmtId="179" fontId="113" fillId="0" borderId="1" xfId="28" applyNumberFormat="1" applyAlignment="1">
      <alignment horizontal="right"/>
    </xf>
    <xf numFmtId="179" fontId="113" fillId="44" borderId="220" xfId="28" applyNumberFormat="1" applyFill="1" applyBorder="1" applyAlignment="1">
      <alignment horizontal="right"/>
    </xf>
    <xf numFmtId="0" fontId="113" fillId="0" borderId="221" xfId="28" applyBorder="1"/>
    <xf numFmtId="179" fontId="113" fillId="0" borderId="222" xfId="28" applyNumberFormat="1" applyBorder="1" applyAlignment="1">
      <alignment horizontal="right"/>
    </xf>
    <xf numFmtId="179" fontId="113" fillId="0" borderId="223" xfId="28" applyNumberFormat="1" applyBorder="1" applyAlignment="1">
      <alignment horizontal="right"/>
    </xf>
    <xf numFmtId="179" fontId="113" fillId="44" borderId="224" xfId="28" applyNumberFormat="1" applyFill="1" applyBorder="1" applyAlignment="1">
      <alignment horizontal="right"/>
    </xf>
    <xf numFmtId="0" fontId="160" fillId="0" borderId="225" xfId="28" applyFont="1" applyBorder="1"/>
    <xf numFmtId="179" fontId="160" fillId="0" borderId="226" xfId="28" applyNumberFormat="1" applyFont="1" applyBorder="1" applyAlignment="1">
      <alignment horizontal="right"/>
    </xf>
    <xf numFmtId="179" fontId="160" fillId="0" borderId="227" xfId="28" applyNumberFormat="1" applyFont="1" applyBorder="1" applyAlignment="1">
      <alignment horizontal="right"/>
    </xf>
    <xf numFmtId="179" fontId="160" fillId="44" borderId="228" xfId="28" applyNumberFormat="1" applyFont="1" applyFill="1" applyBorder="1" applyAlignment="1">
      <alignment horizontal="right"/>
    </xf>
    <xf numFmtId="0" fontId="160" fillId="0" borderId="162" xfId="28" applyFont="1" applyBorder="1" applyAlignment="1">
      <alignment horizontal="center" vertical="center" wrapText="1"/>
    </xf>
    <xf numFmtId="0" fontId="113" fillId="0" borderId="162" xfId="28" applyBorder="1"/>
    <xf numFmtId="179" fontId="113" fillId="0" borderId="162" xfId="28" applyNumberFormat="1" applyBorder="1" applyAlignment="1">
      <alignment horizontal="right"/>
    </xf>
    <xf numFmtId="179" fontId="113" fillId="44" borderId="216" xfId="28" applyNumberFormat="1" applyFill="1" applyBorder="1" applyAlignment="1">
      <alignment horizontal="right"/>
    </xf>
    <xf numFmtId="179" fontId="113" fillId="0" borderId="168" xfId="28" applyNumberFormat="1" applyBorder="1" applyAlignment="1">
      <alignment horizontal="right"/>
    </xf>
    <xf numFmtId="179" fontId="113" fillId="0" borderId="164" xfId="28" applyNumberFormat="1" applyBorder="1" applyAlignment="1">
      <alignment horizontal="right"/>
    </xf>
    <xf numFmtId="179" fontId="113" fillId="0" borderId="221" xfId="28" applyNumberFormat="1" applyBorder="1" applyAlignment="1">
      <alignment horizontal="right"/>
    </xf>
    <xf numFmtId="179" fontId="160" fillId="0" borderId="225" xfId="28" applyNumberFormat="1" applyFont="1" applyBorder="1" applyAlignment="1">
      <alignment horizontal="right"/>
    </xf>
    <xf numFmtId="37" fontId="113" fillId="0" borderId="219" xfId="28" applyNumberFormat="1" applyBorder="1" applyAlignment="1">
      <alignment horizontal="center" vertical="center" wrapText="1"/>
    </xf>
    <xf numFmtId="37" fontId="113" fillId="0" borderId="164" xfId="28" applyNumberFormat="1" applyBorder="1" applyAlignment="1">
      <alignment horizontal="center" vertical="center" wrapText="1"/>
    </xf>
    <xf numFmtId="37" fontId="113" fillId="44" borderId="220" xfId="28" applyNumberFormat="1" applyFill="1" applyBorder="1" applyAlignment="1">
      <alignment horizontal="center" vertical="center" wrapText="1"/>
    </xf>
    <xf numFmtId="37" fontId="113" fillId="0" borderId="1" xfId="28" applyNumberFormat="1" applyAlignment="1">
      <alignment horizontal="center" vertical="center" wrapText="1"/>
    </xf>
    <xf numFmtId="0" fontId="4" fillId="0" borderId="164" xfId="28" applyFont="1" applyBorder="1" applyAlignment="1">
      <alignment vertical="center" wrapText="1"/>
    </xf>
    <xf numFmtId="0" fontId="4" fillId="0" borderId="164" xfId="28" applyFont="1" applyBorder="1"/>
    <xf numFmtId="37" fontId="113" fillId="44" borderId="229" xfId="28" applyNumberFormat="1" applyFill="1" applyBorder="1" applyAlignment="1">
      <alignment horizontal="center" vertical="center" wrapText="1"/>
    </xf>
    <xf numFmtId="0" fontId="4" fillId="0" borderId="1" xfId="28" applyFont="1"/>
    <xf numFmtId="0" fontId="183" fillId="0" borderId="0" xfId="0" quotePrefix="1" applyFont="1"/>
    <xf numFmtId="0" fontId="131" fillId="45" borderId="0" xfId="0" applyFont="1" applyFill="1"/>
    <xf numFmtId="0" fontId="153" fillId="28" borderId="0" xfId="0" applyFont="1" applyFill="1"/>
    <xf numFmtId="0" fontId="153" fillId="28" borderId="0" xfId="0" applyFont="1" applyFill="1" applyAlignment="1">
      <alignment horizontal="center" vertical="center"/>
    </xf>
    <xf numFmtId="0" fontId="153" fillId="28" borderId="0" xfId="0" applyFont="1" applyFill="1" applyAlignment="1">
      <alignment horizontal="right"/>
    </xf>
    <xf numFmtId="0" fontId="126" fillId="0" borderId="1" xfId="0" applyFont="1" applyBorder="1"/>
    <xf numFmtId="0" fontId="150" fillId="0" borderId="1" xfId="0" applyFont="1" applyBorder="1"/>
    <xf numFmtId="0" fontId="151" fillId="21" borderId="95" xfId="0" applyFont="1" applyFill="1" applyBorder="1"/>
    <xf numFmtId="0" fontId="132" fillId="0" borderId="16" xfId="0" applyFont="1" applyBorder="1"/>
    <xf numFmtId="0" fontId="152" fillId="0" borderId="1" xfId="0" applyFont="1" applyBorder="1"/>
    <xf numFmtId="0" fontId="132" fillId="0" borderId="19" xfId="0" applyFont="1" applyBorder="1"/>
    <xf numFmtId="3" fontId="132" fillId="0" borderId="21" xfId="0" applyNumberFormat="1" applyFont="1" applyBorder="1" applyAlignment="1">
      <alignment horizontal="center"/>
    </xf>
    <xf numFmtId="3" fontId="132" fillId="0" borderId="20" xfId="0" applyNumberFormat="1" applyFont="1" applyBorder="1" applyAlignment="1">
      <alignment horizontal="center"/>
    </xf>
    <xf numFmtId="0" fontId="3" fillId="0" borderId="0" xfId="0" applyFont="1"/>
    <xf numFmtId="3" fontId="132" fillId="0" borderId="23" xfId="0" applyNumberFormat="1" applyFont="1" applyBorder="1" applyAlignment="1">
      <alignment horizontal="center"/>
    </xf>
    <xf numFmtId="3" fontId="132" fillId="0" borderId="24" xfId="0" applyNumberFormat="1" applyFont="1" applyBorder="1"/>
    <xf numFmtId="3" fontId="132" fillId="0" borderId="23" xfId="0" applyNumberFormat="1" applyFont="1" applyBorder="1" applyAlignment="1">
      <alignment horizontal="right"/>
    </xf>
    <xf numFmtId="37" fontId="132" fillId="0" borderId="24" xfId="0" applyNumberFormat="1" applyFont="1" applyBorder="1"/>
    <xf numFmtId="3" fontId="132" fillId="0" borderId="24" xfId="0" applyNumberFormat="1" applyFont="1" applyBorder="1" applyAlignment="1">
      <alignment horizontal="center"/>
    </xf>
    <xf numFmtId="37" fontId="132" fillId="0" borderId="24" xfId="0" applyNumberFormat="1" applyFont="1" applyBorder="1" applyAlignment="1">
      <alignment horizontal="center"/>
    </xf>
    <xf numFmtId="0" fontId="151" fillId="0" borderId="1" xfId="0" applyFont="1" applyBorder="1"/>
    <xf numFmtId="0" fontId="125" fillId="0" borderId="19" xfId="0" applyFont="1" applyBorder="1"/>
    <xf numFmtId="3" fontId="125" fillId="0" borderId="25" xfId="0" applyNumberFormat="1" applyFont="1" applyBorder="1"/>
    <xf numFmtId="3" fontId="125" fillId="0" borderId="19" xfId="0" applyNumberFormat="1" applyFont="1" applyBorder="1"/>
    <xf numFmtId="37" fontId="125" fillId="0" borderId="25" xfId="0" applyNumberFormat="1" applyFont="1" applyBorder="1"/>
    <xf numFmtId="0" fontId="125" fillId="0" borderId="21" xfId="0" applyFont="1" applyBorder="1"/>
    <xf numFmtId="37" fontId="125" fillId="0" borderId="21" xfId="0" applyNumberFormat="1" applyFont="1" applyBorder="1"/>
    <xf numFmtId="173" fontId="135" fillId="0" borderId="20" xfId="0" applyNumberFormat="1" applyFont="1" applyBorder="1" applyAlignment="1">
      <alignment vertical="center"/>
    </xf>
    <xf numFmtId="173" fontId="135" fillId="0" borderId="21" xfId="0" applyNumberFormat="1" applyFont="1" applyBorder="1" applyAlignment="1">
      <alignment vertical="center"/>
    </xf>
    <xf numFmtId="3" fontId="125" fillId="0" borderId="23" xfId="0" applyNumberFormat="1" applyFont="1" applyBorder="1"/>
    <xf numFmtId="3" fontId="125" fillId="0" borderId="24" xfId="0" applyNumberFormat="1" applyFont="1" applyBorder="1"/>
    <xf numFmtId="0" fontId="132" fillId="0" borderId="21" xfId="0" applyFont="1" applyBorder="1"/>
    <xf numFmtId="3" fontId="125" fillId="0" borderId="20" xfId="0" applyNumberFormat="1" applyFont="1" applyBorder="1"/>
    <xf numFmtId="3" fontId="132" fillId="0" borderId="25" xfId="0" applyNumberFormat="1" applyFont="1" applyBorder="1"/>
    <xf numFmtId="3" fontId="132" fillId="0" borderId="19" xfId="0" applyNumberFormat="1" applyFont="1" applyBorder="1"/>
    <xf numFmtId="37" fontId="132" fillId="0" borderId="25" xfId="0" applyNumberFormat="1" applyFont="1" applyBorder="1"/>
    <xf numFmtId="37" fontId="132" fillId="0" borderId="19" xfId="0" applyNumberFormat="1" applyFont="1" applyBorder="1"/>
    <xf numFmtId="37" fontId="125" fillId="3" borderId="95" xfId="0" applyNumberFormat="1" applyFont="1" applyFill="1" applyBorder="1"/>
    <xf numFmtId="0" fontId="125" fillId="0" borderId="20" xfId="0" applyFont="1" applyBorder="1" applyAlignment="1">
      <alignment horizontal="left"/>
    </xf>
    <xf numFmtId="173" fontId="132" fillId="0" borderId="23" xfId="0" applyNumberFormat="1" applyFont="1" applyBorder="1" applyAlignment="1">
      <alignment horizontal="right"/>
    </xf>
    <xf numFmtId="0" fontId="132" fillId="0" borderId="20" xfId="0" applyFont="1" applyBorder="1" applyAlignment="1">
      <alignment horizontal="right"/>
    </xf>
    <xf numFmtId="37" fontId="132" fillId="0" borderId="230" xfId="0" applyNumberFormat="1" applyFont="1" applyBorder="1"/>
    <xf numFmtId="3" fontId="3" fillId="0" borderId="0" xfId="0" applyNumberFormat="1" applyFont="1"/>
    <xf numFmtId="0" fontId="132" fillId="0" borderId="23" xfId="0" applyFont="1" applyBorder="1" applyAlignment="1">
      <alignment horizontal="right"/>
    </xf>
    <xf numFmtId="0" fontId="125" fillId="3" borderId="62" xfId="0" applyFont="1" applyFill="1" applyBorder="1" applyAlignment="1">
      <alignment horizontal="center"/>
    </xf>
    <xf numFmtId="173" fontId="125" fillId="3" borderId="62" xfId="0" applyNumberFormat="1" applyFont="1" applyFill="1" applyBorder="1"/>
    <xf numFmtId="37" fontId="125" fillId="3" borderId="108" xfId="0" applyNumberFormat="1" applyFont="1" applyFill="1" applyBorder="1"/>
    <xf numFmtId="0" fontId="132" fillId="0" borderId="19" xfId="0" applyFont="1" applyBorder="1" applyAlignment="1">
      <alignment horizontal="right"/>
    </xf>
    <xf numFmtId="0" fontId="132" fillId="0" borderId="23" xfId="0" applyFont="1" applyBorder="1"/>
    <xf numFmtId="0" fontId="132" fillId="32" borderId="20" xfId="0" applyFont="1" applyFill="1" applyBorder="1"/>
    <xf numFmtId="165" fontId="132" fillId="0" borderId="20" xfId="0" applyNumberFormat="1" applyFont="1" applyBorder="1"/>
    <xf numFmtId="9" fontId="132" fillId="0" borderId="20" xfId="2" applyFont="1" applyFill="1" applyBorder="1"/>
    <xf numFmtId="0" fontId="132" fillId="6" borderId="0" xfId="0" applyFont="1" applyFill="1"/>
    <xf numFmtId="0" fontId="125" fillId="6" borderId="0" xfId="0" applyFont="1" applyFill="1"/>
    <xf numFmtId="0" fontId="132" fillId="6" borderId="91" xfId="0" applyFont="1" applyFill="1" applyBorder="1"/>
    <xf numFmtId="0" fontId="132" fillId="0" borderId="24" xfId="0" applyFont="1" applyBorder="1" applyAlignment="1">
      <alignment horizontal="center"/>
    </xf>
    <xf numFmtId="37" fontId="125" fillId="0" borderId="24" xfId="0" applyNumberFormat="1" applyFont="1" applyBorder="1"/>
    <xf numFmtId="37" fontId="125" fillId="0" borderId="19" xfId="0" applyNumberFormat="1" applyFont="1" applyBorder="1"/>
    <xf numFmtId="37" fontId="125" fillId="0" borderId="20" xfId="0" applyNumberFormat="1" applyFont="1" applyBorder="1"/>
    <xf numFmtId="9" fontId="132" fillId="0" borderId="23" xfId="2" applyFont="1" applyBorder="1" applyAlignment="1">
      <alignment horizontal="right"/>
    </xf>
    <xf numFmtId="0" fontId="125" fillId="0" borderId="20" xfId="0" applyFont="1" applyBorder="1" applyAlignment="1">
      <alignment horizontal="center"/>
    </xf>
    <xf numFmtId="173" fontId="133" fillId="0" borderId="20" xfId="0" applyNumberFormat="1" applyFont="1" applyBorder="1" applyAlignment="1">
      <alignment vertical="center"/>
    </xf>
    <xf numFmtId="39" fontId="132" fillId="0" borderId="23" xfId="0" applyNumberFormat="1" applyFont="1" applyBorder="1" applyAlignment="1">
      <alignment horizontal="center"/>
    </xf>
    <xf numFmtId="173" fontId="132" fillId="0" borderId="24" xfId="0" applyNumberFormat="1" applyFont="1" applyBorder="1"/>
    <xf numFmtId="173" fontId="132" fillId="0" borderId="19" xfId="0" applyNumberFormat="1" applyFont="1" applyBorder="1"/>
    <xf numFmtId="172" fontId="132" fillId="0" borderId="23" xfId="0" applyNumberFormat="1" applyFont="1" applyBorder="1"/>
    <xf numFmtId="37" fontId="125" fillId="6" borderId="95" xfId="0" applyNumberFormat="1" applyFont="1" applyFill="1" applyBorder="1"/>
    <xf numFmtId="37" fontId="125" fillId="0" borderId="95" xfId="0" applyNumberFormat="1" applyFont="1" applyBorder="1"/>
    <xf numFmtId="0" fontId="125" fillId="6" borderId="91" xfId="0" applyFont="1" applyFill="1" applyBorder="1"/>
    <xf numFmtId="37" fontId="125" fillId="6" borderId="91" xfId="0" applyNumberFormat="1" applyFont="1" applyFill="1" applyBorder="1"/>
    <xf numFmtId="37" fontId="125" fillId="0" borderId="91" xfId="0" applyNumberFormat="1" applyFont="1" applyBorder="1"/>
    <xf numFmtId="37" fontId="125" fillId="6" borderId="90" xfId="0" applyNumberFormat="1" applyFont="1" applyFill="1" applyBorder="1"/>
    <xf numFmtId="172" fontId="125" fillId="6" borderId="90" xfId="0" applyNumberFormat="1" applyFont="1" applyFill="1" applyBorder="1"/>
    <xf numFmtId="0" fontId="132" fillId="0" borderId="23" xfId="0" applyFont="1" applyBorder="1" applyAlignment="1">
      <alignment horizontal="center"/>
    </xf>
    <xf numFmtId="1" fontId="132" fillId="0" borderId="19" xfId="0" applyNumberFormat="1" applyFont="1" applyBorder="1"/>
    <xf numFmtId="2" fontId="132" fillId="0" borderId="23" xfId="0" applyNumberFormat="1" applyFont="1" applyBorder="1"/>
    <xf numFmtId="0" fontId="133" fillId="0" borderId="19" xfId="0" applyFont="1" applyBorder="1"/>
    <xf numFmtId="173" fontId="125" fillId="0" borderId="19" xfId="0" applyNumberFormat="1" applyFont="1" applyBorder="1"/>
    <xf numFmtId="0" fontId="132" fillId="0" borderId="24" xfId="0" applyFont="1" applyBorder="1"/>
    <xf numFmtId="173" fontId="132" fillId="0" borderId="23" xfId="0" applyNumberFormat="1" applyFont="1" applyBorder="1"/>
    <xf numFmtId="0" fontId="132" fillId="0" borderId="231" xfId="0" applyFont="1" applyBorder="1"/>
    <xf numFmtId="0" fontId="155" fillId="22" borderId="0" xfId="0" applyFont="1" applyFill="1"/>
    <xf numFmtId="0" fontId="153" fillId="28" borderId="0" xfId="0" applyFont="1" applyFill="1" applyAlignment="1">
      <alignment vertical="center"/>
    </xf>
    <xf numFmtId="0" fontId="153" fillId="35" borderId="0" xfId="0" applyFont="1" applyFill="1" applyAlignment="1">
      <alignment horizontal="right" vertical="center"/>
    </xf>
    <xf numFmtId="0" fontId="125" fillId="0" borderId="117" xfId="0" applyFont="1" applyBorder="1" applyAlignment="1">
      <alignment horizontal="center" vertical="center"/>
    </xf>
    <xf numFmtId="0" fontId="132" fillId="0" borderId="102" xfId="0" applyFont="1" applyBorder="1" applyAlignment="1">
      <alignment horizontal="center"/>
    </xf>
    <xf numFmtId="0" fontId="132" fillId="0" borderId="103" xfId="0" applyFont="1" applyBorder="1" applyAlignment="1">
      <alignment horizontal="center"/>
    </xf>
    <xf numFmtId="0" fontId="132" fillId="0" borderId="104" xfId="0" applyFont="1" applyBorder="1" applyAlignment="1">
      <alignment horizontal="center"/>
    </xf>
    <xf numFmtId="0" fontId="133" fillId="0" borderId="23" xfId="0" applyFont="1" applyBorder="1"/>
    <xf numFmtId="37" fontId="133" fillId="0" borderId="102" xfId="0" applyNumberFormat="1" applyFont="1" applyBorder="1"/>
    <xf numFmtId="37" fontId="133" fillId="0" borderId="103" xfId="0" applyNumberFormat="1" applyFont="1" applyBorder="1"/>
    <xf numFmtId="37" fontId="133" fillId="0" borderId="23" xfId="0" applyNumberFormat="1" applyFont="1" applyBorder="1"/>
    <xf numFmtId="173" fontId="133" fillId="0" borderId="23" xfId="0" applyNumberFormat="1" applyFont="1" applyBorder="1"/>
    <xf numFmtId="37" fontId="133" fillId="0" borderId="104" xfId="0" applyNumberFormat="1" applyFont="1" applyBorder="1"/>
    <xf numFmtId="173" fontId="133" fillId="0" borderId="24" xfId="0" applyNumberFormat="1" applyFont="1" applyBorder="1"/>
    <xf numFmtId="0" fontId="135" fillId="3" borderId="91" xfId="0" applyFont="1" applyFill="1" applyBorder="1"/>
    <xf numFmtId="0" fontId="135" fillId="0" borderId="20" xfId="0" applyFont="1" applyBorder="1"/>
    <xf numFmtId="173" fontId="133" fillId="0" borderId="25" xfId="0" applyNumberFormat="1" applyFont="1" applyBorder="1"/>
    <xf numFmtId="0" fontId="133" fillId="0" borderId="105" xfId="0" applyFont="1" applyBorder="1"/>
    <xf numFmtId="0" fontId="133" fillId="0" borderId="23" xfId="0" applyFont="1" applyBorder="1" applyAlignment="1">
      <alignment horizontal="right"/>
    </xf>
    <xf numFmtId="172" fontId="133" fillId="0" borderId="23" xfId="0" applyNumberFormat="1" applyFont="1" applyBorder="1"/>
    <xf numFmtId="0" fontId="133" fillId="0" borderId="103" xfId="0" applyFont="1" applyBorder="1"/>
    <xf numFmtId="173" fontId="133" fillId="0" borderId="102" xfId="0" applyNumberFormat="1" applyFont="1" applyBorder="1"/>
    <xf numFmtId="0" fontId="135" fillId="3" borderId="62" xfId="0" applyFont="1" applyFill="1" applyBorder="1"/>
    <xf numFmtId="173" fontId="135" fillId="3" borderId="62" xfId="0" applyNumberFormat="1" applyFont="1" applyFill="1" applyBorder="1"/>
    <xf numFmtId="37" fontId="135" fillId="3" borderId="62" xfId="0" applyNumberFormat="1" applyFont="1" applyFill="1" applyBorder="1"/>
    <xf numFmtId="173" fontId="133" fillId="0" borderId="23" xfId="2" applyNumberFormat="1" applyFont="1" applyBorder="1"/>
    <xf numFmtId="172" fontId="135" fillId="3" borderId="62" xfId="0" applyNumberFormat="1" applyFont="1" applyFill="1" applyBorder="1"/>
    <xf numFmtId="37" fontId="133" fillId="0" borderId="109" xfId="0" applyNumberFormat="1" applyFont="1" applyBorder="1"/>
    <xf numFmtId="0" fontId="133" fillId="0" borderId="110" xfId="0" applyFont="1" applyBorder="1"/>
    <xf numFmtId="37" fontId="133" fillId="0" borderId="111" xfId="0" applyNumberFormat="1" applyFont="1" applyBorder="1"/>
    <xf numFmtId="37" fontId="133" fillId="0" borderId="110" xfId="0" applyNumberFormat="1" applyFont="1" applyBorder="1"/>
    <xf numFmtId="0" fontId="133" fillId="3" borderId="62" xfId="0" applyFont="1" applyFill="1" applyBorder="1"/>
    <xf numFmtId="3" fontId="135" fillId="3" borderId="62" xfId="0" applyNumberFormat="1" applyFont="1" applyFill="1" applyBorder="1" applyAlignment="1">
      <alignment horizontal="center"/>
    </xf>
    <xf numFmtId="173" fontId="135" fillId="3" borderId="108" xfId="0" applyNumberFormat="1" applyFont="1" applyFill="1" applyBorder="1"/>
    <xf numFmtId="0" fontId="131" fillId="6" borderId="0" xfId="0" applyFont="1" applyFill="1"/>
    <xf numFmtId="173" fontId="133" fillId="0" borderId="109" xfId="0" applyNumberFormat="1" applyFont="1" applyBorder="1"/>
    <xf numFmtId="173" fontId="135" fillId="0" borderId="110" xfId="0" applyNumberFormat="1" applyFont="1" applyBorder="1"/>
    <xf numFmtId="37" fontId="135" fillId="0" borderId="110" xfId="0" applyNumberFormat="1" applyFont="1" applyBorder="1"/>
    <xf numFmtId="37" fontId="135" fillId="0" borderId="105" xfId="0" applyNumberFormat="1" applyFont="1" applyBorder="1"/>
    <xf numFmtId="173" fontId="135" fillId="0" borderId="105" xfId="0" applyNumberFormat="1" applyFont="1" applyBorder="1"/>
    <xf numFmtId="43" fontId="135" fillId="0" borderId="105" xfId="0" applyNumberFormat="1" applyFont="1" applyBorder="1"/>
    <xf numFmtId="0" fontId="135" fillId="6" borderId="90" xfId="0" applyFont="1" applyFill="1" applyBorder="1"/>
    <xf numFmtId="37" fontId="135" fillId="6" borderId="90" xfId="0" applyNumberFormat="1" applyFont="1" applyFill="1" applyBorder="1"/>
    <xf numFmtId="0" fontId="133" fillId="6" borderId="90" xfId="0" applyFont="1" applyFill="1" applyBorder="1"/>
    <xf numFmtId="37" fontId="133" fillId="6" borderId="0" xfId="0" applyNumberFormat="1" applyFont="1" applyFill="1"/>
    <xf numFmtId="173" fontId="133" fillId="6" borderId="0" xfId="0" applyNumberFormat="1" applyFont="1" applyFill="1"/>
    <xf numFmtId="0" fontId="131" fillId="0" borderId="20" xfId="0" applyFont="1" applyBorder="1"/>
    <xf numFmtId="0" fontId="131" fillId="0" borderId="21" xfId="0" applyFont="1" applyBorder="1"/>
    <xf numFmtId="0" fontId="184" fillId="0" borderId="0" xfId="0" applyFont="1"/>
    <xf numFmtId="0" fontId="129" fillId="0" borderId="17" xfId="0" applyFont="1" applyBorder="1"/>
    <xf numFmtId="0" fontId="129" fillId="0" borderId="18" xfId="0" applyFont="1" applyBorder="1"/>
    <xf numFmtId="0" fontId="129" fillId="0" borderId="98" xfId="0" applyFont="1" applyBorder="1"/>
    <xf numFmtId="0" fontId="129" fillId="0" borderId="117" xfId="0" applyFont="1" applyBorder="1"/>
    <xf numFmtId="0" fontId="132" fillId="0" borderId="0" xfId="0" applyFont="1" applyAlignment="1">
      <alignment horizontal="left"/>
    </xf>
    <xf numFmtId="1" fontId="131" fillId="0" borderId="0" xfId="0" applyNumberFormat="1" applyFont="1" applyAlignment="1">
      <alignment horizontal="right"/>
    </xf>
    <xf numFmtId="1" fontId="131" fillId="0" borderId="0" xfId="0" applyNumberFormat="1" applyFont="1" applyAlignment="1">
      <alignment horizontal="left"/>
    </xf>
    <xf numFmtId="1" fontId="183" fillId="0" borderId="0" xfId="0" applyNumberFormat="1" applyFont="1" applyAlignment="1">
      <alignment horizontal="right"/>
    </xf>
    <xf numFmtId="1" fontId="183" fillId="0" borderId="0" xfId="0" applyNumberFormat="1" applyFont="1" applyAlignment="1">
      <alignment horizontal="left"/>
    </xf>
    <xf numFmtId="37" fontId="132" fillId="0" borderId="232" xfId="0" applyNumberFormat="1" applyFont="1" applyBorder="1"/>
    <xf numFmtId="0" fontId="125" fillId="0" borderId="16" xfId="0" applyFont="1" applyBorder="1"/>
    <xf numFmtId="0" fontId="125" fillId="0" borderId="99" xfId="0" applyFont="1" applyBorder="1" applyAlignment="1">
      <alignment vertical="center"/>
    </xf>
    <xf numFmtId="0" fontId="125" fillId="0" borderId="17" xfId="0" applyFont="1" applyBorder="1"/>
    <xf numFmtId="0" fontId="125" fillId="0" borderId="18" xfId="0" applyFont="1" applyBorder="1"/>
    <xf numFmtId="37" fontId="183" fillId="0" borderId="0" xfId="0" applyNumberFormat="1" applyFont="1"/>
    <xf numFmtId="0" fontId="185" fillId="0" borderId="0" xfId="0" applyFont="1" applyAlignment="1">
      <alignment horizontal="center"/>
    </xf>
    <xf numFmtId="0" fontId="2" fillId="0" borderId="0" xfId="0" applyFont="1"/>
    <xf numFmtId="39" fontId="132" fillId="0" borderId="1" xfId="0" applyNumberFormat="1" applyFont="1" applyBorder="1" applyAlignment="1">
      <alignment horizontal="center"/>
    </xf>
    <xf numFmtId="0" fontId="1" fillId="0" borderId="0" xfId="0" applyFont="1"/>
    <xf numFmtId="0" fontId="136" fillId="0" borderId="0" xfId="0" applyFont="1" applyAlignment="1">
      <alignment horizontal="center" vertical="center"/>
    </xf>
    <xf numFmtId="37" fontId="136" fillId="0" borderId="0" xfId="0" applyNumberFormat="1" applyFont="1"/>
    <xf numFmtId="173" fontId="131" fillId="0" borderId="0" xfId="0" applyNumberFormat="1" applyFont="1"/>
    <xf numFmtId="173" fontId="136" fillId="0" borderId="0" xfId="0" applyNumberFormat="1" applyFont="1"/>
    <xf numFmtId="0" fontId="136" fillId="0" borderId="0" xfId="0" applyFont="1" applyAlignment="1">
      <alignment horizontal="center"/>
    </xf>
    <xf numFmtId="37" fontId="133" fillId="32" borderId="72" xfId="0" applyNumberFormat="1" applyFont="1" applyFill="1" applyBorder="1"/>
    <xf numFmtId="37" fontId="133" fillId="32" borderId="102" xfId="0" applyNumberFormat="1" applyFont="1" applyFill="1" applyBorder="1"/>
    <xf numFmtId="0" fontId="161" fillId="25" borderId="123" xfId="0" applyFont="1" applyFill="1" applyBorder="1" applyAlignment="1">
      <alignment horizontal="center"/>
    </xf>
    <xf numFmtId="0" fontId="161" fillId="25" borderId="124" xfId="0" applyFont="1" applyFill="1" applyBorder="1" applyAlignment="1">
      <alignment horizontal="center"/>
    </xf>
    <xf numFmtId="0" fontId="161" fillId="25" borderId="125" xfId="0" applyFont="1" applyFill="1" applyBorder="1" applyAlignment="1">
      <alignment horizontal="center"/>
    </xf>
    <xf numFmtId="0" fontId="121" fillId="8" borderId="43" xfId="0" applyFont="1" applyFill="1" applyBorder="1" applyAlignment="1">
      <alignment horizontal="center" vertical="center" wrapText="1"/>
    </xf>
    <xf numFmtId="0" fontId="129" fillId="0" borderId="48" xfId="0" applyFont="1" applyBorder="1"/>
    <xf numFmtId="0" fontId="145" fillId="9" borderId="49" xfId="0" applyFont="1" applyFill="1" applyBorder="1" applyAlignment="1">
      <alignment horizontal="center" vertical="center" wrapText="1"/>
    </xf>
    <xf numFmtId="0" fontId="129" fillId="0" borderId="50" xfId="0" applyFont="1" applyBorder="1"/>
    <xf numFmtId="0" fontId="123" fillId="13" borderId="87" xfId="0" applyFont="1" applyFill="1" applyBorder="1" applyAlignment="1">
      <alignment horizontal="left" vertical="top" wrapText="1"/>
    </xf>
    <xf numFmtId="0" fontId="129" fillId="0" borderId="68" xfId="0" applyFont="1" applyBorder="1"/>
    <xf numFmtId="0" fontId="129" fillId="0" borderId="81" xfId="0" applyFont="1" applyBorder="1"/>
    <xf numFmtId="0" fontId="145" fillId="0" borderId="14" xfId="0" applyFont="1" applyBorder="1" applyAlignment="1">
      <alignment horizontal="center"/>
    </xf>
    <xf numFmtId="0" fontId="129" fillId="0" borderId="14" xfId="0" applyFont="1" applyBorder="1"/>
    <xf numFmtId="0" fontId="125" fillId="0" borderId="16" xfId="0" applyFont="1" applyBorder="1" applyAlignment="1">
      <alignment horizontal="center"/>
    </xf>
    <xf numFmtId="0" fontId="125" fillId="0" borderId="17" xfId="0" applyFont="1" applyBorder="1" applyAlignment="1">
      <alignment horizontal="center"/>
    </xf>
    <xf numFmtId="0" fontId="125" fillId="0" borderId="18" xfId="0" applyFont="1" applyBorder="1" applyAlignment="1">
      <alignment horizontal="center"/>
    </xf>
    <xf numFmtId="0" fontId="125" fillId="0" borderId="99" xfId="0" applyFont="1" applyBorder="1" applyAlignment="1">
      <alignment horizontal="center" vertical="center"/>
    </xf>
    <xf numFmtId="0" fontId="129" fillId="0" borderId="97" xfId="0" applyFont="1" applyBorder="1"/>
    <xf numFmtId="0" fontId="129" fillId="0" borderId="100" xfId="0" applyFont="1" applyBorder="1"/>
    <xf numFmtId="0" fontId="129" fillId="0" borderId="17" xfId="0" applyFont="1" applyBorder="1"/>
    <xf numFmtId="0" fontId="129" fillId="0" borderId="4" xfId="0" applyFont="1" applyBorder="1"/>
    <xf numFmtId="0" fontId="125" fillId="0" borderId="3" xfId="0" applyFont="1" applyBorder="1" applyAlignment="1">
      <alignment horizontal="center"/>
    </xf>
    <xf numFmtId="0" fontId="129" fillId="0" borderId="18" xfId="0" applyFont="1" applyBorder="1"/>
    <xf numFmtId="0" fontId="125" fillId="0" borderId="97" xfId="0" applyFont="1" applyBorder="1" applyAlignment="1">
      <alignment horizontal="center" vertical="center"/>
    </xf>
    <xf numFmtId="0" fontId="129" fillId="0" borderId="98" xfId="0" applyFont="1" applyBorder="1"/>
    <xf numFmtId="0" fontId="129" fillId="0" borderId="117" xfId="0" applyFont="1" applyBorder="1"/>
    <xf numFmtId="0" fontId="129" fillId="0" borderId="118" xfId="0" applyFont="1" applyBorder="1"/>
    <xf numFmtId="0" fontId="125" fillId="0" borderId="117" xfId="0" applyFont="1" applyBorder="1" applyAlignment="1">
      <alignment horizontal="center" vertical="center"/>
    </xf>
    <xf numFmtId="0" fontId="135" fillId="0" borderId="16" xfId="0" applyFont="1" applyBorder="1" applyAlignment="1">
      <alignment horizontal="center"/>
    </xf>
    <xf numFmtId="0" fontId="166" fillId="0" borderId="18" xfId="0" applyFont="1" applyBorder="1"/>
    <xf numFmtId="0" fontId="135" fillId="0" borderId="17" xfId="0" applyFont="1" applyBorder="1" applyAlignment="1">
      <alignment horizontal="center"/>
    </xf>
    <xf numFmtId="0" fontId="166" fillId="0" borderId="17" xfId="0" applyFont="1" applyBorder="1"/>
    <xf numFmtId="17" fontId="125" fillId="43" borderId="212" xfId="28" quotePrefix="1" applyNumberFormat="1" applyFont="1" applyFill="1" applyBorder="1" applyAlignment="1">
      <alignment horizontal="center"/>
    </xf>
    <xf numFmtId="17" fontId="125" fillId="43" borderId="213" xfId="28" quotePrefix="1" applyNumberFormat="1" applyFont="1" applyFill="1" applyBorder="1" applyAlignment="1">
      <alignment horizontal="center"/>
    </xf>
    <xf numFmtId="17" fontId="125" fillId="43" borderId="214" xfId="28" quotePrefix="1" applyNumberFormat="1" applyFont="1" applyFill="1" applyBorder="1" applyAlignment="1">
      <alignment horizontal="center"/>
    </xf>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67">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1161</v>
      </c>
    </row>
    <row r="2" spans="1:14">
      <c r="A2" s="1"/>
      <c r="G2" s="3"/>
      <c r="M2" s="4" t="s">
        <v>2</v>
      </c>
      <c r="N2" s="4" t="s">
        <v>3</v>
      </c>
    </row>
    <row r="3" spans="1:14">
      <c r="A3" s="1" t="s">
        <v>4</v>
      </c>
      <c r="B3" s="2" t="s">
        <v>1160</v>
      </c>
      <c r="C3" s="4">
        <f>+VLOOKUP(B3,$K$3:$L$14,2,0)</f>
        <v>8</v>
      </c>
      <c r="G3" s="3"/>
      <c r="K3" s="5" t="s">
        <v>6</v>
      </c>
      <c r="L3" s="4">
        <v>1</v>
      </c>
      <c r="M3" s="4" t="str">
        <f t="shared" ref="M3:M14" si="0">+IF($K3=$B$3,"X","")</f>
        <v/>
      </c>
      <c r="N3" s="4" t="str">
        <f t="shared" ref="N3:N14" si="1">+IF(K3=B3,"X",IF(L3&lt;=$C$3,"X",""))</f>
        <v>X</v>
      </c>
    </row>
    <row r="4" spans="1:1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c r="A6" s="1"/>
      <c r="B6" s="6"/>
      <c r="K6" s="5" t="s">
        <v>10</v>
      </c>
      <c r="L6" s="4">
        <v>4</v>
      </c>
      <c r="M6" s="4" t="str">
        <f t="shared" si="0"/>
        <v/>
      </c>
      <c r="N6" s="4" t="str">
        <f t="shared" si="1"/>
        <v>X</v>
      </c>
    </row>
    <row r="7" spans="1:14">
      <c r="A7" s="3"/>
      <c r="B7" s="7"/>
      <c r="K7" s="5" t="s">
        <v>11</v>
      </c>
      <c r="L7" s="4">
        <v>5</v>
      </c>
      <c r="M7" s="4" t="str">
        <f t="shared" si="0"/>
        <v/>
      </c>
      <c r="N7" s="4" t="str">
        <f t="shared" si="1"/>
        <v>X</v>
      </c>
    </row>
    <row r="8" spans="1:1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c r="A10" s="3" t="s">
        <v>1159</v>
      </c>
      <c r="I10" s="3"/>
      <c r="K10" s="1251" t="s">
        <v>1160</v>
      </c>
      <c r="L10" s="4">
        <v>8</v>
      </c>
      <c r="M10" s="4" t="str">
        <f t="shared" si="0"/>
        <v>X</v>
      </c>
      <c r="N10" s="4" t="str">
        <f t="shared" si="1"/>
        <v>X</v>
      </c>
    </row>
    <row r="11" spans="1:14">
      <c r="A11" s="3" t="s">
        <v>16</v>
      </c>
      <c r="I11" s="3"/>
      <c r="K11" s="5" t="s">
        <v>17</v>
      </c>
      <c r="L11" s="4">
        <v>9</v>
      </c>
      <c r="M11" s="4" t="str">
        <f t="shared" si="0"/>
        <v/>
      </c>
      <c r="N11" s="4" t="str">
        <f t="shared" si="1"/>
        <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6" workbookViewId="0">
      <selection activeCell="D24" sqref="D24"/>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946">
        <f>SUMIFS(BV_Data_An_Cour!$AN:$AN,BV_Data_An_Cour!$AP:$AP,$A$1,BV_Data_An_Cour!$AQ:$AQ,$A5)</f>
        <v>2481237.65</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5" t="s">
        <v>23</v>
      </c>
      <c r="B6" s="16">
        <f>SUM(B5)</f>
        <v>2481237.65</v>
      </c>
      <c r="C6" s="17"/>
      <c r="D6" s="18"/>
      <c r="E6" s="19"/>
      <c r="F6" s="3"/>
      <c r="G6" s="3"/>
      <c r="H6" s="3"/>
      <c r="I6" s="3"/>
      <c r="J6" s="3"/>
      <c r="K6" s="3"/>
      <c r="L6" s="3"/>
      <c r="M6" s="3"/>
      <c r="N6" s="3"/>
      <c r="O6" s="3"/>
      <c r="P6" s="3"/>
      <c r="Q6" s="3"/>
      <c r="R6" s="3"/>
      <c r="S6" s="3"/>
      <c r="T6" s="3"/>
      <c r="U6" s="3"/>
      <c r="V6" s="3"/>
      <c r="W6" s="3"/>
      <c r="X6" s="3"/>
      <c r="Y6" s="3"/>
    </row>
    <row r="7" spans="1:25">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18" t="s">
        <v>25</v>
      </c>
      <c r="B8" s="19">
        <f>SUMIFS(BV_Data_An_Cour!$AN:$AN,BV_Data_An_Cour!$AP:$AP,$A$1,BV_Data_An_Cour!$AQ:$AQ,$A8)</f>
        <v>570763.31000000006</v>
      </c>
      <c r="C8" s="14"/>
      <c r="D8" s="18"/>
      <c r="E8" s="19"/>
      <c r="F8" s="3"/>
      <c r="G8" s="3"/>
      <c r="H8" s="3"/>
      <c r="I8" s="3"/>
      <c r="J8" s="3"/>
      <c r="K8" s="3"/>
      <c r="L8" s="3"/>
      <c r="M8" s="3"/>
      <c r="N8" s="3"/>
      <c r="O8" s="3"/>
      <c r="P8" s="3"/>
      <c r="Q8" s="3"/>
      <c r="R8" s="3"/>
      <c r="S8" s="3"/>
      <c r="T8" s="3"/>
      <c r="U8" s="3"/>
      <c r="V8" s="3"/>
      <c r="W8" s="3"/>
      <c r="X8" s="3"/>
      <c r="Y8" s="3"/>
    </row>
    <row r="9" spans="1:25">
      <c r="A9" s="18" t="s">
        <v>26</v>
      </c>
      <c r="B9" s="19">
        <f>SUMIFS(BV_Data_An_Cour!$AN:$AN,BV_Data_An_Cour!$AP:$AP,$A$1,BV_Data_An_Cour!$AQ:$AQ,$A9)</f>
        <v>1809898.9300000002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18" t="s">
        <v>28</v>
      </c>
      <c r="B10" s="19">
        <f>SUMIFS(BV_Data_An_Cour!$AN:$AN,BV_Data_An_Cour!$AP:$AP,$A$1,BV_Data_An_Cour!$AQ:$AQ,$A10)</f>
        <v>245621.21000000002</v>
      </c>
      <c r="C10" s="14"/>
      <c r="D10" s="18" t="s">
        <v>29</v>
      </c>
      <c r="E10" s="19">
        <f>-SUMIFS(BV_Data_An_Cour!$AN:$AN,BV_Data_An_Cour!$AP:$AP,$A$1,BV_Data_An_Cour!$AQ:$AQ,$D10)</f>
        <v>790523.4</v>
      </c>
      <c r="F10" s="3"/>
      <c r="G10" s="3"/>
      <c r="H10" s="3"/>
      <c r="I10" s="3"/>
      <c r="J10" s="3"/>
      <c r="K10" s="3"/>
      <c r="L10" s="3"/>
      <c r="M10" s="3"/>
      <c r="N10" s="3"/>
      <c r="O10" s="3"/>
      <c r="P10" s="3"/>
      <c r="Q10" s="3"/>
      <c r="R10" s="3"/>
      <c r="S10" s="3"/>
      <c r="T10" s="3"/>
      <c r="U10" s="3"/>
      <c r="V10" s="3"/>
      <c r="W10" s="3"/>
      <c r="X10" s="3"/>
      <c r="Y10" s="3"/>
    </row>
    <row r="11" spans="1:25">
      <c r="A11" s="18" t="s">
        <v>30</v>
      </c>
      <c r="B11" s="19">
        <f>SUMIFS(BV_Data_An_Cour!$AN:$AN,BV_Data_An_Cour!$AP:$AP,$A$1,BV_Data_An_Cour!$AQ:$AQ,$A11)</f>
        <v>506847.22</v>
      </c>
      <c r="C11" s="14"/>
      <c r="D11" s="18" t="s">
        <v>31</v>
      </c>
      <c r="E11" s="19">
        <f>-SUMIFS(BV_Data_An_Cour!$AN:$AN,BV_Data_An_Cour!$AP:$AP,$A$1,BV_Data_An_Cour!$AQ:$AQ,$D11)</f>
        <v>173391.83</v>
      </c>
      <c r="F11" s="3"/>
      <c r="G11" s="3"/>
      <c r="H11" s="3"/>
      <c r="I11" s="3"/>
      <c r="J11" s="3"/>
      <c r="K11" s="3"/>
      <c r="L11" s="3"/>
      <c r="M11" s="3"/>
      <c r="N11" s="3"/>
      <c r="O11" s="3"/>
      <c r="P11" s="3"/>
      <c r="Q11" s="3"/>
      <c r="R11" s="3"/>
      <c r="S11" s="3"/>
      <c r="T11" s="3"/>
      <c r="U11" s="3"/>
      <c r="V11" s="3"/>
      <c r="W11" s="3"/>
      <c r="X11" s="3"/>
      <c r="Y11" s="3"/>
    </row>
    <row r="12" spans="1:25">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c r="A14" s="18" t="s">
        <v>36</v>
      </c>
      <c r="B14" s="19">
        <f>SUMIFS(BV_Data_An_Cour!$AN:$AN,BV_Data_An_Cour!$AP:$AP,$A$1,BV_Data_An_Cour!$AQ:$AQ,$A14)</f>
        <v>12445243.640000002</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c r="A15" s="18" t="s">
        <v>38</v>
      </c>
      <c r="B15" s="19">
        <f>SUMIFS(BV_Data_An_Cour!$AN:$AN,BV_Data_An_Cour!$AP:$AP,$A$1,BV_Data_An_Cour!$AQ:$AQ,$A15)</f>
        <v>1221091.01</v>
      </c>
      <c r="C15" s="14"/>
      <c r="D15" s="18" t="s">
        <v>39</v>
      </c>
      <c r="E15" s="19">
        <f>-SUMIFS(BV_Data_An_Cour!$AN:$AN,BV_Data_An_Cour!$AP:$AP,$A$1,BV_Data_An_Cour!$AQ:$AQ,$D15)</f>
        <v>-70243.13</v>
      </c>
      <c r="F15" s="3"/>
      <c r="G15" s="3"/>
      <c r="H15" s="3"/>
      <c r="I15" s="3"/>
      <c r="J15" s="3"/>
      <c r="K15" s="3"/>
      <c r="L15" s="3"/>
      <c r="M15" s="3"/>
      <c r="N15" s="3"/>
      <c r="O15" s="3"/>
      <c r="P15" s="3"/>
      <c r="Q15" s="3"/>
      <c r="R15" s="3"/>
      <c r="S15" s="3"/>
      <c r="T15" s="3"/>
      <c r="U15" s="3"/>
      <c r="V15" s="3"/>
      <c r="W15" s="3"/>
      <c r="X15" s="3"/>
      <c r="Y15" s="3"/>
    </row>
    <row r="16" spans="1:25">
      <c r="A16" s="15" t="s">
        <v>40</v>
      </c>
      <c r="B16" s="16">
        <f>+SUM(B8:B15)</f>
        <v>16827962.340000004</v>
      </c>
      <c r="C16" s="17"/>
      <c r="D16" s="15" t="s">
        <v>41</v>
      </c>
      <c r="E16" s="16">
        <f>+SUM(E10:E15)</f>
        <v>7909346.9699999997</v>
      </c>
      <c r="F16" s="3"/>
      <c r="G16" s="3"/>
      <c r="H16" s="3"/>
      <c r="I16" s="3"/>
      <c r="J16" s="3"/>
      <c r="K16" s="3"/>
      <c r="L16" s="3"/>
      <c r="M16" s="3"/>
      <c r="N16" s="3"/>
      <c r="O16" s="3"/>
      <c r="P16" s="3"/>
      <c r="Q16" s="3"/>
      <c r="R16" s="3"/>
      <c r="S16" s="3"/>
      <c r="T16" s="3"/>
      <c r="U16" s="3"/>
      <c r="V16" s="3"/>
      <c r="W16" s="3"/>
      <c r="X16" s="3"/>
      <c r="Y16" s="3"/>
    </row>
    <row r="17" spans="1:25">
      <c r="A17" s="18"/>
      <c r="B17" s="19"/>
      <c r="C17" s="14"/>
      <c r="D17" s="20"/>
      <c r="E17" s="19"/>
      <c r="F17" s="3"/>
      <c r="G17" s="3"/>
      <c r="H17" s="3"/>
      <c r="I17" s="3"/>
      <c r="J17" s="3"/>
      <c r="K17" s="3"/>
      <c r="L17" s="3"/>
      <c r="M17" s="3"/>
      <c r="N17" s="3"/>
      <c r="O17" s="3"/>
      <c r="P17" s="3"/>
      <c r="Q17" s="3"/>
      <c r="R17" s="3"/>
      <c r="S17" s="3"/>
      <c r="T17" s="3"/>
      <c r="U17" s="3"/>
      <c r="V17" s="3"/>
      <c r="W17" s="3"/>
      <c r="X17" s="3"/>
      <c r="Y17" s="3"/>
    </row>
    <row r="18" spans="1:25">
      <c r="A18" s="18" t="s">
        <v>42</v>
      </c>
      <c r="B18" s="19">
        <f>SUMIFS(BV_Data_An_Cour!$AN:$AN,BV_Data_An_Cour!$AP:$AP,$A$1,BV_Data_An_Cour!$AQ:$AQ,$A18)</f>
        <v>16234768.73</v>
      </c>
      <c r="C18" s="14"/>
      <c r="D18" s="18" t="s">
        <v>43</v>
      </c>
      <c r="E18" s="19">
        <f>-SUMIFS(BV_Data_An_Cour!$AN:$AN,BV_Data_An_Cour!$AP:$AP,$A$1,BV_Data_An_Cour!$AQ:$AQ,$D18)</f>
        <v>18945265.620000001</v>
      </c>
      <c r="F18" s="3"/>
      <c r="G18" s="3"/>
      <c r="H18" s="3"/>
      <c r="I18" s="3"/>
      <c r="J18" s="3"/>
      <c r="K18" s="3"/>
      <c r="L18" s="3"/>
      <c r="M18" s="3"/>
      <c r="N18" s="3"/>
      <c r="O18" s="3"/>
      <c r="P18" s="3"/>
      <c r="Q18" s="3"/>
      <c r="R18" s="3"/>
      <c r="S18" s="3"/>
      <c r="T18" s="3"/>
      <c r="U18" s="3"/>
      <c r="V18" s="3"/>
      <c r="W18" s="3"/>
      <c r="X18" s="3"/>
      <c r="Y18" s="3"/>
    </row>
    <row r="19" spans="1:25">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c r="A20" s="18" t="s">
        <v>46</v>
      </c>
      <c r="B20" s="19">
        <f>SUMIFS(BV_Data_An_Cour!$AN:$AN,BV_Data_An_Cour!$AP:$AP,$A$1,BV_Data_An_Cour!$AQ:$AQ,$A20)</f>
        <v>557245.89999999991</v>
      </c>
      <c r="C20" s="14"/>
      <c r="D20" s="15" t="s">
        <v>47</v>
      </c>
      <c r="E20" s="16">
        <f>+SUM(E18:E19)</f>
        <v>23762626.420000002</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23297744.140000001</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-3641326.32</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-32767.830000000005</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22279.039999999997</v>
      </c>
      <c r="C24" s="14"/>
      <c r="D24" s="18" t="s">
        <v>53</v>
      </c>
      <c r="E24" s="19">
        <f>-SUMIFS(BV_Data_An_Cour!$AN:$AN,BV_Data_An_Cour!$AP:$AP,$A$1,BV_Data_An_Cour!$AQ:$AQ,$D24)</f>
        <v>706834.00999999989</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836169.21000000008</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-2967260.14</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886345.42</v>
      </c>
      <c r="C30" s="17"/>
      <c r="D30" s="21" t="s">
        <v>59</v>
      </c>
      <c r="E30" s="22">
        <f>+E5+E7+E16+E20+E28</f>
        <v>28704713.25</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43493289.550000004</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33566966.25</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14974</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10529960.260000002</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603872.94999999995</v>
      </c>
      <c r="C53" s="17"/>
      <c r="D53" s="21" t="s">
        <v>85</v>
      </c>
      <c r="E53" s="22">
        <f>SUM(E48:E51)</f>
        <v>10530196.260000002</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44097162.500000007</v>
      </c>
      <c r="C56" s="17"/>
      <c r="D56" s="21" t="s">
        <v>87</v>
      </c>
      <c r="E56" s="22">
        <f>+E53+E45</f>
        <v>44097162.510000005</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-9.9999979138374329E-3</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0.25">
      <c r="A6" s="36"/>
      <c r="B6" s="666" t="s">
        <v>2</v>
      </c>
      <c r="C6" s="1259" t="s">
        <v>1101</v>
      </c>
      <c r="D6" s="1260"/>
      <c r="E6" s="1261"/>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25">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59">
        <v>2021</v>
      </c>
      <c r="D94" s="1260"/>
      <c r="E94" s="1261"/>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59"/>
      <c r="D173" s="1260"/>
      <c r="E173" s="1261"/>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59"/>
      <c r="D241" s="1260"/>
      <c r="E241" s="1261"/>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59"/>
      <c r="D296" s="1260"/>
      <c r="E296" s="1261"/>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59"/>
      <c r="D361" s="1260"/>
      <c r="E361" s="1261"/>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59"/>
      <c r="D407" s="1260"/>
      <c r="E407" s="1261"/>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25">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2" t="s">
        <v>224</v>
      </c>
      <c r="B4" s="1262"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3"/>
      <c r="B5" s="1263"/>
      <c r="C5" s="1264" t="s">
        <v>244</v>
      </c>
      <c r="D5" s="1265"/>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269" t="str">
        <f>Parametres!$B$1&amp;" "&amp;"2 pager"&amp;" "&amp;Parametres!$B$3&amp;" "&amp;Parametres!$B$4</f>
        <v>Ste-Marie Auto 2 pager Aout 2026</v>
      </c>
      <c r="C1" s="1270"/>
      <c r="D1" s="1270"/>
      <c r="E1" s="1270"/>
      <c r="F1" s="1270"/>
      <c r="G1" s="1270"/>
      <c r="H1" s="1270"/>
      <c r="I1" s="1270"/>
      <c r="J1" s="1270"/>
      <c r="K1" s="3"/>
      <c r="L1" s="3"/>
      <c r="M1" s="3"/>
      <c r="N1" s="3"/>
      <c r="O1" s="3"/>
      <c r="P1" s="3"/>
      <c r="Q1" s="3"/>
      <c r="R1" s="3"/>
      <c r="S1" s="3"/>
      <c r="T1" s="3"/>
      <c r="U1" s="3"/>
      <c r="V1" s="3"/>
      <c r="W1" s="3"/>
    </row>
    <row r="2" spans="1:23">
      <c r="A2" s="3"/>
      <c r="B2" s="30"/>
      <c r="C2" s="3"/>
      <c r="D2" s="3"/>
      <c r="E2" s="3"/>
      <c r="F2" s="3"/>
      <c r="G2" s="3"/>
      <c r="H2" s="3"/>
      <c r="I2" s="3"/>
      <c r="J2" s="3"/>
      <c r="K2" s="3"/>
      <c r="L2" s="3"/>
      <c r="M2" s="3"/>
      <c r="N2" s="3"/>
      <c r="O2" s="3"/>
      <c r="P2" s="3"/>
      <c r="Q2" s="3"/>
      <c r="R2" s="3"/>
      <c r="S2" s="3"/>
      <c r="T2" s="3"/>
      <c r="U2" s="3"/>
      <c r="V2" s="3"/>
      <c r="W2" s="3"/>
    </row>
    <row r="3" spans="1:23">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5"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66" t="s">
        <v>1088</v>
      </c>
      <c r="K4" s="3"/>
      <c r="L4" s="3"/>
      <c r="M4" s="3"/>
      <c r="N4" s="3"/>
      <c r="O4" s="3"/>
      <c r="P4" s="3"/>
      <c r="Q4" s="3"/>
      <c r="R4" s="3"/>
      <c r="S4" s="3"/>
      <c r="T4" s="3"/>
      <c r="U4" s="3"/>
      <c r="V4" s="3"/>
      <c r="W4" s="3"/>
    </row>
    <row r="5" spans="1:23">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67"/>
      <c r="K5" s="3"/>
      <c r="L5" s="3"/>
      <c r="M5" s="3"/>
      <c r="N5" s="3"/>
      <c r="O5" s="3"/>
      <c r="P5" s="3"/>
      <c r="Q5" s="3"/>
      <c r="R5" s="3"/>
      <c r="S5" s="3"/>
      <c r="T5" s="3"/>
      <c r="U5" s="3"/>
      <c r="V5" s="3"/>
      <c r="W5" s="3"/>
    </row>
    <row r="6" spans="1:23">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67"/>
      <c r="K6" s="3"/>
      <c r="L6" s="3"/>
      <c r="M6" s="3"/>
      <c r="N6" s="3"/>
      <c r="O6" s="3"/>
      <c r="P6" s="3"/>
      <c r="Q6" s="3"/>
      <c r="R6" s="3"/>
      <c r="S6" s="3"/>
      <c r="T6" s="3"/>
      <c r="U6" s="3"/>
      <c r="V6" s="3"/>
      <c r="W6" s="3"/>
    </row>
    <row r="7" spans="1:23">
      <c r="A7" s="3"/>
      <c r="B7" s="160" t="s">
        <v>289</v>
      </c>
      <c r="C7" s="161">
        <f>+Print_Mois!$L$31</f>
        <v>42743.949999999953</v>
      </c>
      <c r="D7" s="161" t="e">
        <f>+Print_Mois!$F$31</f>
        <v>#N/A</v>
      </c>
      <c r="E7" s="161">
        <f>+Print_Mois!$Q$31</f>
        <v>52303.010000000009</v>
      </c>
      <c r="F7" s="162" t="str">
        <f t="shared" si="0"/>
        <v/>
      </c>
      <c r="G7" s="163">
        <f t="shared" si="1"/>
        <v>-9559.0600000000559</v>
      </c>
      <c r="H7" s="165" t="str">
        <f t="shared" si="2"/>
        <v/>
      </c>
      <c r="I7" s="166">
        <f t="shared" si="3"/>
        <v>-0.18276309527883872</v>
      </c>
      <c r="J7" s="1267"/>
      <c r="K7" s="3"/>
      <c r="L7" s="3"/>
      <c r="M7" s="3"/>
      <c r="N7" s="3"/>
      <c r="O7" s="3"/>
      <c r="P7" s="3"/>
      <c r="Q7" s="3"/>
      <c r="R7" s="3"/>
      <c r="S7" s="3"/>
      <c r="T7" s="3"/>
      <c r="U7" s="3"/>
      <c r="V7" s="3"/>
      <c r="W7" s="3"/>
    </row>
    <row r="8" spans="1:23">
      <c r="A8" s="3"/>
      <c r="B8" s="160" t="s">
        <v>290</v>
      </c>
      <c r="C8" s="164">
        <f t="shared" ref="C8:E8" si="5">+C7/C5</f>
        <v>0.43553385310659815</v>
      </c>
      <c r="D8" s="164" t="e">
        <f t="shared" si="5"/>
        <v>#N/A</v>
      </c>
      <c r="E8" s="164">
        <f t="shared" si="5"/>
        <v>0.26395267938942885</v>
      </c>
      <c r="F8" s="167" t="str">
        <f t="shared" si="0"/>
        <v/>
      </c>
      <c r="G8" s="168">
        <f t="shared" si="1"/>
        <v>0.1715811737171693</v>
      </c>
      <c r="H8" s="165" t="str">
        <f t="shared" si="2"/>
        <v/>
      </c>
      <c r="I8" s="166">
        <f t="shared" si="3"/>
        <v>0.6500452055045175</v>
      </c>
      <c r="J8" s="1267"/>
      <c r="K8" s="3"/>
      <c r="L8" s="3"/>
      <c r="M8" s="3"/>
      <c r="N8" s="3"/>
      <c r="O8" s="3"/>
      <c r="P8" s="3"/>
      <c r="Q8" s="3"/>
      <c r="R8" s="3"/>
      <c r="S8" s="3"/>
      <c r="T8" s="3"/>
      <c r="U8" s="3"/>
      <c r="V8" s="3"/>
      <c r="W8" s="3"/>
    </row>
    <row r="9" spans="1:23">
      <c r="A9" s="3"/>
      <c r="B9" s="160" t="s">
        <v>291</v>
      </c>
      <c r="C9" s="161">
        <f>+Print_Mois!$L$24</f>
        <v>27377.670000000009</v>
      </c>
      <c r="D9" s="161" t="e">
        <f>+Print_Mois!$F$24</f>
        <v>#N/A</v>
      </c>
      <c r="E9" s="161">
        <f>+Print_Mois!$Q$24</f>
        <v>74736.550000000047</v>
      </c>
      <c r="F9" s="162" t="str">
        <f t="shared" si="0"/>
        <v/>
      </c>
      <c r="G9" s="163">
        <f t="shared" si="1"/>
        <v>-47358.880000000034</v>
      </c>
      <c r="H9" s="165" t="str">
        <f t="shared" si="2"/>
        <v/>
      </c>
      <c r="I9" s="166">
        <f t="shared" si="3"/>
        <v>-0.63367763162736312</v>
      </c>
      <c r="J9" s="1267"/>
      <c r="K9" s="3"/>
      <c r="L9" s="3"/>
      <c r="M9" s="3"/>
      <c r="N9" s="3"/>
      <c r="O9" s="3"/>
      <c r="P9" s="3"/>
      <c r="Q9" s="3"/>
      <c r="R9" s="3"/>
      <c r="S9" s="3"/>
      <c r="T9" s="3"/>
      <c r="U9" s="3"/>
      <c r="V9" s="3"/>
      <c r="W9" s="3"/>
    </row>
    <row r="10" spans="1:23">
      <c r="A10" s="3"/>
      <c r="B10" s="160" t="s">
        <v>292</v>
      </c>
      <c r="C10" s="161">
        <f t="shared" ref="C10:E10" si="6">+C9/C4</f>
        <v>516.55981132075487</v>
      </c>
      <c r="D10" s="161" t="e">
        <f t="shared" si="6"/>
        <v>#N/A</v>
      </c>
      <c r="E10" s="161">
        <f t="shared" si="6"/>
        <v>934.20687500000054</v>
      </c>
      <c r="F10" s="162" t="str">
        <f t="shared" si="0"/>
        <v/>
      </c>
      <c r="G10" s="163">
        <f t="shared" si="1"/>
        <v>-417.64706367924566</v>
      </c>
      <c r="H10" s="165" t="str">
        <f t="shared" si="2"/>
        <v/>
      </c>
      <c r="I10" s="166">
        <f t="shared" si="3"/>
        <v>-0.44706057604130289</v>
      </c>
      <c r="J10" s="1267"/>
      <c r="K10" s="3"/>
      <c r="L10" s="3"/>
      <c r="M10" s="3"/>
      <c r="N10" s="3"/>
      <c r="O10" s="3"/>
      <c r="P10" s="3"/>
      <c r="Q10" s="3"/>
      <c r="R10" s="3"/>
      <c r="S10" s="3"/>
      <c r="T10" s="3"/>
      <c r="U10" s="3"/>
      <c r="V10" s="3"/>
      <c r="W10" s="3"/>
    </row>
    <row r="11" spans="1:23">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67"/>
      <c r="K11" s="3"/>
      <c r="L11" s="3"/>
      <c r="M11" s="3"/>
      <c r="N11" s="3"/>
      <c r="O11" s="3"/>
      <c r="P11" s="3"/>
      <c r="Q11" s="3"/>
      <c r="R11" s="3"/>
      <c r="S11" s="3"/>
      <c r="T11" s="3"/>
      <c r="U11" s="3"/>
      <c r="V11" s="3"/>
      <c r="W11" s="3"/>
    </row>
    <row r="12" spans="1:23">
      <c r="A12" s="3"/>
      <c r="B12" s="160" t="s">
        <v>294</v>
      </c>
      <c r="C12" s="164">
        <f t="shared" ref="C12:E12" si="7">+C11/C9</f>
        <v>0.33094817783982322</v>
      </c>
      <c r="D12" s="164" t="e">
        <f t="shared" si="7"/>
        <v>#N/A</v>
      </c>
      <c r="E12" s="164">
        <f t="shared" si="7"/>
        <v>0.24125357673052852</v>
      </c>
      <c r="F12" s="165" t="str">
        <f t="shared" si="0"/>
        <v/>
      </c>
      <c r="G12" s="169">
        <f t="shared" si="1"/>
        <v>8.9694601109294697E-2</v>
      </c>
      <c r="H12" s="165" t="str">
        <f t="shared" si="2"/>
        <v/>
      </c>
      <c r="I12" s="166">
        <f t="shared" si="3"/>
        <v>0.37178558065267692</v>
      </c>
      <c r="J12" s="1267"/>
      <c r="K12" s="3"/>
      <c r="L12" s="3"/>
      <c r="M12" s="3"/>
      <c r="N12" s="3"/>
      <c r="O12" s="3"/>
      <c r="P12" s="3"/>
      <c r="Q12" s="3"/>
      <c r="R12" s="3"/>
      <c r="S12" s="3"/>
      <c r="T12" s="3"/>
      <c r="U12" s="3"/>
      <c r="V12" s="3"/>
      <c r="W12" s="3"/>
    </row>
    <row r="13" spans="1:23">
      <c r="A13" s="3"/>
      <c r="B13" s="160" t="s">
        <v>295</v>
      </c>
      <c r="C13" s="161">
        <f>+Print_Mois!$L$41-C7-C11</f>
        <v>-37627.819999999949</v>
      </c>
      <c r="D13" s="161" t="e">
        <f>+Print_Mois!$F$41-D7-D11</f>
        <v>#N/A</v>
      </c>
      <c r="E13" s="161">
        <f>+Print_Mois!$Q$41-E7-E11</f>
        <v>-25794.989999999845</v>
      </c>
      <c r="F13" s="162" t="str">
        <f t="shared" si="0"/>
        <v/>
      </c>
      <c r="G13" s="163">
        <f t="shared" si="1"/>
        <v>-11832.830000000104</v>
      </c>
      <c r="H13" s="165" t="str">
        <f t="shared" si="2"/>
        <v/>
      </c>
      <c r="I13" s="166">
        <f t="shared" si="3"/>
        <v>-0.45872589987436224</v>
      </c>
      <c r="J13" s="1267"/>
      <c r="K13" s="3"/>
      <c r="L13" s="3"/>
      <c r="M13" s="3"/>
      <c r="N13" s="3"/>
      <c r="O13" s="3"/>
      <c r="P13" s="3"/>
      <c r="Q13" s="3"/>
      <c r="R13" s="3"/>
      <c r="S13" s="3"/>
      <c r="T13" s="3"/>
      <c r="U13" s="3"/>
      <c r="V13" s="3"/>
      <c r="W13" s="3"/>
    </row>
    <row r="14" spans="1:23">
      <c r="A14" s="3"/>
      <c r="B14" s="160" t="s">
        <v>296</v>
      </c>
      <c r="C14" s="161">
        <f t="shared" ref="C14:E14" si="8">+C13/C4</f>
        <v>-709.95886792452734</v>
      </c>
      <c r="D14" s="161" t="e">
        <f t="shared" si="8"/>
        <v>#N/A</v>
      </c>
      <c r="E14" s="161">
        <f t="shared" si="8"/>
        <v>-322.43737499999804</v>
      </c>
      <c r="F14" s="162" t="str">
        <f t="shared" si="0"/>
        <v/>
      </c>
      <c r="G14" s="163">
        <f t="shared" si="1"/>
        <v>-387.5214929245293</v>
      </c>
      <c r="H14" s="165" t="str">
        <f t="shared" si="2"/>
        <v/>
      </c>
      <c r="I14" s="166">
        <f t="shared" si="3"/>
        <v>-1.2018504149046978</v>
      </c>
      <c r="J14" s="1267"/>
      <c r="K14" s="3"/>
      <c r="L14" s="3"/>
      <c r="M14" s="3"/>
      <c r="N14" s="3"/>
      <c r="O14" s="3"/>
      <c r="P14" s="3"/>
      <c r="Q14" s="3"/>
      <c r="R14" s="3"/>
      <c r="S14" s="3"/>
      <c r="T14" s="3"/>
      <c r="U14" s="3"/>
      <c r="V14" s="3"/>
      <c r="W14" s="3"/>
    </row>
    <row r="15" spans="1:23">
      <c r="A15" s="3"/>
      <c r="B15" s="160" t="s">
        <v>297</v>
      </c>
      <c r="C15" s="161">
        <f>+Print_Mois!$L$83</f>
        <v>52627.44</v>
      </c>
      <c r="D15" s="161" t="e">
        <f>+Print_Mois!$F$83</f>
        <v>#N/A</v>
      </c>
      <c r="E15" s="161">
        <f>+Print_Mois!$Q$83</f>
        <v>25446.580000000016</v>
      </c>
      <c r="F15" s="162" t="str">
        <f t="shared" si="0"/>
        <v/>
      </c>
      <c r="G15" s="163">
        <f t="shared" si="1"/>
        <v>27180.859999999986</v>
      </c>
      <c r="H15" s="165" t="str">
        <f t="shared" si="2"/>
        <v/>
      </c>
      <c r="I15" s="166">
        <f t="shared" si="3"/>
        <v>1.0681537558288763</v>
      </c>
      <c r="J15" s="1267"/>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7"/>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7"/>
      <c r="K17" s="3"/>
      <c r="L17" s="3"/>
      <c r="M17" s="3"/>
      <c r="N17" s="3"/>
      <c r="O17" s="3"/>
      <c r="P17" s="3"/>
      <c r="Q17" s="3"/>
      <c r="R17" s="3"/>
      <c r="S17" s="3"/>
      <c r="T17" s="3"/>
      <c r="U17" s="3"/>
      <c r="V17" s="3"/>
      <c r="W17" s="3"/>
    </row>
    <row r="18" spans="1:23">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68"/>
      <c r="K18" s="3"/>
      <c r="L18" s="3"/>
      <c r="M18" s="3"/>
      <c r="N18" s="3"/>
      <c r="O18" s="3"/>
      <c r="P18" s="3"/>
      <c r="Q18" s="3"/>
      <c r="R18" s="3"/>
      <c r="S18" s="3"/>
      <c r="T18" s="3"/>
      <c r="U18" s="3"/>
      <c r="V18" s="3"/>
      <c r="W18" s="3"/>
    </row>
    <row r="19" spans="1:23">
      <c r="A19" s="3"/>
      <c r="B19" s="3"/>
      <c r="C19" s="184"/>
      <c r="D19" s="184"/>
      <c r="E19" s="184"/>
      <c r="F19" s="3"/>
      <c r="G19" s="3"/>
      <c r="H19" s="3"/>
      <c r="I19" s="3"/>
      <c r="J19" s="3"/>
      <c r="K19" s="3"/>
      <c r="L19" s="3"/>
      <c r="M19" s="3"/>
      <c r="N19" s="3"/>
      <c r="O19" s="3"/>
      <c r="P19" s="3"/>
      <c r="Q19" s="3"/>
      <c r="R19" s="3"/>
      <c r="S19" s="3"/>
      <c r="T19" s="3"/>
      <c r="U19" s="3"/>
      <c r="V19" s="3"/>
      <c r="W19" s="3"/>
    </row>
    <row r="20" spans="1:23">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66" t="s">
        <v>1089</v>
      </c>
      <c r="K21" s="3"/>
      <c r="L21" s="3"/>
      <c r="M21" s="3"/>
      <c r="N21" s="3"/>
      <c r="O21" s="3"/>
      <c r="P21" s="3"/>
      <c r="Q21" s="3"/>
      <c r="R21" s="3"/>
      <c r="S21" s="3"/>
      <c r="T21" s="3"/>
      <c r="U21" s="3"/>
      <c r="V21" s="3"/>
      <c r="W21" s="3"/>
    </row>
    <row r="22" spans="1:23" ht="15.75" customHeight="1">
      <c r="A22" s="3"/>
      <c r="B22" s="160" t="s">
        <v>287</v>
      </c>
      <c r="C22" s="161">
        <f>+Print_Mois!$L$97</f>
        <v>13815.639999999898</v>
      </c>
      <c r="D22" s="161" t="e">
        <f>+Print_Mois!$F$97</f>
        <v>#N/A</v>
      </c>
      <c r="E22" s="161">
        <f>+Print_Mois!$Q$97</f>
        <v>17364.85000000021</v>
      </c>
      <c r="F22" s="162" t="str">
        <f t="shared" si="11"/>
        <v/>
      </c>
      <c r="G22" s="163">
        <f t="shared" si="12"/>
        <v>-3549.210000000312</v>
      </c>
      <c r="H22" s="165" t="str">
        <f t="shared" si="13"/>
        <v/>
      </c>
      <c r="I22" s="166">
        <f t="shared" si="14"/>
        <v>-0.20439047846657293</v>
      </c>
      <c r="J22" s="1267"/>
      <c r="K22" s="3"/>
      <c r="L22" s="3"/>
      <c r="M22" s="3"/>
      <c r="N22" s="3"/>
      <c r="O22" s="3"/>
      <c r="P22" s="3"/>
      <c r="Q22" s="3"/>
      <c r="R22" s="3"/>
      <c r="S22" s="3"/>
      <c r="T22" s="3"/>
      <c r="U22" s="3"/>
      <c r="V22" s="3"/>
      <c r="W22" s="3"/>
    </row>
    <row r="23" spans="1:23" ht="15.75" customHeight="1">
      <c r="A23" s="3"/>
      <c r="B23" s="160" t="s">
        <v>288</v>
      </c>
      <c r="C23" s="161">
        <f t="shared" ref="C23:E23" si="15">+C22/C21</f>
        <v>575.65166666666244</v>
      </c>
      <c r="D23" s="161" t="e">
        <f t="shared" si="15"/>
        <v>#N/A</v>
      </c>
      <c r="E23" s="161">
        <f t="shared" si="15"/>
        <v>1085.3031250000131</v>
      </c>
      <c r="F23" s="162" t="str">
        <f t="shared" si="11"/>
        <v/>
      </c>
      <c r="G23" s="163">
        <f t="shared" si="12"/>
        <v>-509.65145833335066</v>
      </c>
      <c r="H23" s="165" t="str">
        <f t="shared" si="13"/>
        <v/>
      </c>
      <c r="I23" s="166">
        <f t="shared" si="14"/>
        <v>-0.4695936523110486</v>
      </c>
      <c r="J23" s="1267"/>
      <c r="K23" s="3"/>
      <c r="L23" s="3"/>
      <c r="M23" s="3"/>
      <c r="N23" s="3"/>
      <c r="O23" s="3"/>
      <c r="P23" s="3"/>
      <c r="Q23" s="3"/>
      <c r="R23" s="3"/>
      <c r="S23" s="3"/>
      <c r="T23" s="3"/>
      <c r="U23" s="3"/>
      <c r="V23" s="3"/>
      <c r="W23" s="3"/>
    </row>
    <row r="24" spans="1:23" ht="15.75" customHeight="1">
      <c r="A24" s="3"/>
      <c r="B24" s="160" t="s">
        <v>289</v>
      </c>
      <c r="C24" s="161">
        <f>+Print_Mois!$L$113</f>
        <v>2367.75</v>
      </c>
      <c r="D24" s="161" t="e">
        <f>+Print_Mois!$F$113</f>
        <v>#N/A</v>
      </c>
      <c r="E24" s="161">
        <f>+Print_Mois!$Q$113</f>
        <v>55837.19</v>
      </c>
      <c r="F24" s="162" t="str">
        <f t="shared" si="11"/>
        <v/>
      </c>
      <c r="G24" s="163">
        <f t="shared" si="12"/>
        <v>-53469.440000000002</v>
      </c>
      <c r="H24" s="165" t="str">
        <f t="shared" si="13"/>
        <v/>
      </c>
      <c r="I24" s="166">
        <f t="shared" si="14"/>
        <v>-0.95759546639076931</v>
      </c>
      <c r="J24" s="1267"/>
      <c r="K24" s="3"/>
      <c r="L24" s="3"/>
      <c r="M24" s="3"/>
      <c r="N24" s="3"/>
      <c r="O24" s="3"/>
      <c r="P24" s="3"/>
      <c r="Q24" s="3"/>
      <c r="R24" s="3"/>
      <c r="S24" s="3"/>
      <c r="T24" s="3"/>
      <c r="U24" s="3"/>
      <c r="V24" s="3"/>
      <c r="W24" s="3"/>
    </row>
    <row r="25" spans="1:23" ht="15.75" customHeight="1">
      <c r="A25" s="3"/>
      <c r="B25" s="160" t="s">
        <v>290</v>
      </c>
      <c r="C25" s="164">
        <f t="shared" ref="C25:E25" si="16">+C24/C22</f>
        <v>0.17138185418844279</v>
      </c>
      <c r="D25" s="164" t="e">
        <f t="shared" si="16"/>
        <v>#N/A</v>
      </c>
      <c r="E25" s="164">
        <f t="shared" si="16"/>
        <v>3.2155296475350683</v>
      </c>
      <c r="F25" s="167" t="str">
        <f t="shared" si="11"/>
        <v/>
      </c>
      <c r="G25" s="168">
        <f t="shared" si="12"/>
        <v>-3.0441477933466254</v>
      </c>
      <c r="H25" s="165" t="str">
        <f t="shared" si="13"/>
        <v/>
      </c>
      <c r="I25" s="166">
        <f t="shared" si="14"/>
        <v>-0.94670182738951913</v>
      </c>
      <c r="J25" s="1267"/>
      <c r="K25" s="3"/>
      <c r="L25" s="3"/>
      <c r="M25" s="3"/>
      <c r="N25" s="3"/>
      <c r="O25" s="3"/>
      <c r="P25" s="3"/>
      <c r="Q25" s="3"/>
      <c r="R25" s="3"/>
      <c r="S25" s="3"/>
      <c r="T25" s="3"/>
      <c r="U25" s="3"/>
      <c r="V25" s="3"/>
      <c r="W25" s="3"/>
    </row>
    <row r="26" spans="1:23" ht="15.75" customHeight="1">
      <c r="A26" s="3"/>
      <c r="B26" s="160" t="s">
        <v>291</v>
      </c>
      <c r="C26" s="161">
        <f>+Print_Mois!$L$106</f>
        <v>26965.67</v>
      </c>
      <c r="D26" s="161" t="e">
        <f>+Print_Mois!$F$106</f>
        <v>#N/A</v>
      </c>
      <c r="E26" s="161">
        <f>+Print_Mois!$Q$106</f>
        <v>12804.59</v>
      </c>
      <c r="F26" s="162" t="str">
        <f t="shared" si="11"/>
        <v/>
      </c>
      <c r="G26" s="163">
        <f t="shared" si="12"/>
        <v>14161.079999999998</v>
      </c>
      <c r="H26" s="165" t="str">
        <f t="shared" si="13"/>
        <v/>
      </c>
      <c r="I26" s="166">
        <f t="shared" si="14"/>
        <v>1.1059377926196776</v>
      </c>
      <c r="J26" s="1267"/>
      <c r="K26" s="3"/>
      <c r="L26" s="3"/>
      <c r="M26" s="3"/>
      <c r="N26" s="3"/>
      <c r="O26" s="3"/>
      <c r="P26" s="3"/>
      <c r="Q26" s="3"/>
      <c r="R26" s="3"/>
      <c r="S26" s="3"/>
      <c r="T26" s="3"/>
      <c r="U26" s="3"/>
      <c r="V26" s="3"/>
      <c r="W26" s="3"/>
    </row>
    <row r="27" spans="1:23" ht="15.75" customHeight="1">
      <c r="A27" s="3"/>
      <c r="B27" s="160" t="s">
        <v>292</v>
      </c>
      <c r="C27" s="161">
        <f t="shared" ref="C27:E27" si="17">+C26/C21</f>
        <v>1123.5695833333332</v>
      </c>
      <c r="D27" s="161" t="e">
        <f t="shared" si="17"/>
        <v>#N/A</v>
      </c>
      <c r="E27" s="161">
        <f t="shared" si="17"/>
        <v>800.28687500000001</v>
      </c>
      <c r="F27" s="162" t="str">
        <f t="shared" si="11"/>
        <v/>
      </c>
      <c r="G27" s="163">
        <f t="shared" si="12"/>
        <v>323.28270833333318</v>
      </c>
      <c r="H27" s="165" t="str">
        <f t="shared" si="13"/>
        <v/>
      </c>
      <c r="I27" s="166">
        <f t="shared" si="14"/>
        <v>0.4039585284131183</v>
      </c>
      <c r="J27" s="1267"/>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67"/>
      <c r="K28" s="3"/>
      <c r="L28" s="3"/>
      <c r="M28" s="3"/>
      <c r="N28" s="3"/>
      <c r="O28" s="3"/>
      <c r="P28" s="3"/>
      <c r="Q28" s="3"/>
      <c r="R28" s="3"/>
      <c r="S28" s="3"/>
      <c r="T28" s="3"/>
      <c r="U28" s="3"/>
      <c r="V28" s="3"/>
      <c r="W28" s="3"/>
    </row>
    <row r="29" spans="1:23" ht="15.75" customHeight="1">
      <c r="A29" s="3"/>
      <c r="B29" s="160" t="s">
        <v>294</v>
      </c>
      <c r="C29" s="164">
        <f t="shared" ref="C29:E29" si="18">+C28/C26</f>
        <v>0.21357637321824391</v>
      </c>
      <c r="D29" s="164" t="e">
        <f t="shared" si="18"/>
        <v>#N/A</v>
      </c>
      <c r="E29" s="164">
        <f t="shared" si="18"/>
        <v>0.23503681101854876</v>
      </c>
      <c r="F29" s="165" t="str">
        <f t="shared" si="11"/>
        <v/>
      </c>
      <c r="G29" s="169">
        <f t="shared" si="12"/>
        <v>-2.1460437800304849E-2</v>
      </c>
      <c r="H29" s="165" t="str">
        <f t="shared" si="13"/>
        <v/>
      </c>
      <c r="I29" s="166">
        <f t="shared" si="14"/>
        <v>-9.1306709392901114E-2</v>
      </c>
      <c r="J29" s="1267"/>
      <c r="K29" s="3"/>
      <c r="L29" s="3"/>
      <c r="M29" s="3"/>
      <c r="N29" s="3"/>
      <c r="O29" s="3"/>
      <c r="P29" s="3"/>
      <c r="Q29" s="3"/>
      <c r="R29" s="3"/>
      <c r="S29" s="3"/>
      <c r="T29" s="3"/>
      <c r="U29" s="3"/>
      <c r="V29" s="3"/>
      <c r="W29" s="3"/>
    </row>
    <row r="30" spans="1:23" ht="15.75" customHeight="1">
      <c r="A30" s="3"/>
      <c r="B30" s="160" t="s">
        <v>295</v>
      </c>
      <c r="C30" s="161">
        <f>+Print_Mois!$L$123-C24-C28</f>
        <v>11168.549999999992</v>
      </c>
      <c r="D30" s="161" t="e">
        <f>+Print_Mois!$F$123-D24-D28</f>
        <v>#N/A</v>
      </c>
      <c r="E30" s="161">
        <f>+Print_Mois!$Q$123-E24-E28</f>
        <v>9960.4100000000217</v>
      </c>
      <c r="F30" s="162" t="str">
        <f t="shared" si="11"/>
        <v/>
      </c>
      <c r="G30" s="163">
        <f t="shared" si="12"/>
        <v>1208.1399999999703</v>
      </c>
      <c r="H30" s="165" t="str">
        <f t="shared" si="13"/>
        <v/>
      </c>
      <c r="I30" s="166">
        <f t="shared" si="14"/>
        <v>0.12129420375265353</v>
      </c>
      <c r="J30" s="1267"/>
      <c r="K30" s="3"/>
      <c r="L30" s="3"/>
      <c r="M30" s="3"/>
      <c r="N30" s="3"/>
      <c r="O30" s="3"/>
      <c r="P30" s="3"/>
      <c r="Q30" s="3"/>
      <c r="R30" s="3"/>
      <c r="S30" s="3"/>
      <c r="T30" s="3"/>
      <c r="U30" s="3"/>
      <c r="V30" s="3"/>
      <c r="W30" s="3"/>
    </row>
    <row r="31" spans="1:23" ht="15.75" customHeight="1">
      <c r="A31" s="3"/>
      <c r="B31" s="160" t="s">
        <v>296</v>
      </c>
      <c r="C31" s="161">
        <f t="shared" ref="C31:E31" si="19">+C30/C21</f>
        <v>465.35624999999965</v>
      </c>
      <c r="D31" s="161" t="e">
        <f t="shared" si="19"/>
        <v>#N/A</v>
      </c>
      <c r="E31" s="161">
        <f t="shared" si="19"/>
        <v>622.52562500000136</v>
      </c>
      <c r="F31" s="162" t="str">
        <f t="shared" si="11"/>
        <v/>
      </c>
      <c r="G31" s="163">
        <f t="shared" si="12"/>
        <v>-157.16937500000171</v>
      </c>
      <c r="H31" s="165" t="str">
        <f t="shared" si="13"/>
        <v/>
      </c>
      <c r="I31" s="166">
        <f t="shared" si="14"/>
        <v>-0.25247053083156434</v>
      </c>
      <c r="J31" s="1267"/>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67"/>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7"/>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7"/>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68"/>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66" t="s">
        <v>1090</v>
      </c>
      <c r="K38" s="3"/>
      <c r="L38" s="3"/>
      <c r="M38" s="3"/>
      <c r="N38" s="3"/>
      <c r="O38" s="3"/>
      <c r="P38" s="3"/>
      <c r="Q38" s="3"/>
      <c r="R38" s="3"/>
      <c r="S38" s="3"/>
      <c r="T38" s="3"/>
      <c r="U38" s="3"/>
      <c r="V38" s="3"/>
      <c r="W38" s="3"/>
    </row>
    <row r="39" spans="1:23" ht="15.75" customHeight="1">
      <c r="A39" s="3"/>
      <c r="B39" s="154" t="s">
        <v>302</v>
      </c>
      <c r="C39" s="195">
        <f>+Print_Mois!$L$268</f>
        <v>112297.87999999996</v>
      </c>
      <c r="D39" s="195" t="e">
        <f>+Print_Mois!$F$268</f>
        <v>#N/A</v>
      </c>
      <c r="E39" s="195">
        <f>+Print_Mois!$Q$268</f>
        <v>144346.68</v>
      </c>
      <c r="F39" s="196" t="str">
        <f t="shared" si="22"/>
        <v/>
      </c>
      <c r="G39" s="197">
        <f t="shared" si="23"/>
        <v>-32048.800000000032</v>
      </c>
      <c r="H39" s="198" t="str">
        <f t="shared" si="24"/>
        <v/>
      </c>
      <c r="I39" s="199">
        <f t="shared" si="25"/>
        <v>-0.22202658211467027</v>
      </c>
      <c r="J39" s="1267"/>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67"/>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67"/>
      <c r="K41" s="3"/>
      <c r="L41" s="3"/>
      <c r="M41" s="3"/>
      <c r="N41" s="3"/>
      <c r="O41" s="3"/>
      <c r="P41" s="3"/>
      <c r="Q41" s="3"/>
      <c r="R41" s="3"/>
      <c r="S41" s="3"/>
      <c r="T41" s="3"/>
      <c r="U41" s="3"/>
      <c r="V41" s="3"/>
      <c r="W41" s="3"/>
    </row>
    <row r="42" spans="1:23" ht="15.75" customHeight="1">
      <c r="A42" s="3"/>
      <c r="B42" s="160" t="s">
        <v>305</v>
      </c>
      <c r="C42" s="161">
        <f>+Print_Mois!$L$258</f>
        <v>-5394.6400000000012</v>
      </c>
      <c r="D42" s="161" t="e">
        <f>+Print_Mois!$F$258</f>
        <v>#N/A</v>
      </c>
      <c r="E42" s="161">
        <f>+Print_Mois!$Q$258</f>
        <v>1303.8599999999969</v>
      </c>
      <c r="F42" s="162" t="str">
        <f t="shared" si="22"/>
        <v/>
      </c>
      <c r="G42" s="163">
        <f t="shared" si="23"/>
        <v>-6698.4999999999982</v>
      </c>
      <c r="H42" s="165" t="str">
        <f t="shared" si="24"/>
        <v/>
      </c>
      <c r="I42" s="166">
        <f t="shared" si="25"/>
        <v>-5.1374380685042977</v>
      </c>
      <c r="J42" s="1267"/>
      <c r="K42" s="3"/>
      <c r="L42" s="3"/>
      <c r="M42" s="3"/>
      <c r="N42" s="3"/>
      <c r="O42" s="3"/>
      <c r="P42" s="3"/>
      <c r="Q42" s="3"/>
      <c r="R42" s="3"/>
      <c r="S42" s="3"/>
      <c r="T42" s="3"/>
      <c r="U42" s="3"/>
      <c r="V42" s="3"/>
      <c r="W42" s="3"/>
    </row>
    <row r="43" spans="1:23" ht="15.75" customHeight="1">
      <c r="A43" s="3"/>
      <c r="B43" s="160" t="s">
        <v>306</v>
      </c>
      <c r="C43" s="161">
        <f>+Print_Mois!$L$284</f>
        <v>65534.92</v>
      </c>
      <c r="D43" s="161" t="e">
        <f>+Print_Mois!$F$284</f>
        <v>#N/A</v>
      </c>
      <c r="E43" s="161">
        <f>+Print_Mois!$Q$284</f>
        <v>100507.83999999998</v>
      </c>
      <c r="F43" s="162" t="str">
        <f t="shared" si="22"/>
        <v/>
      </c>
      <c r="G43" s="163">
        <f t="shared" si="23"/>
        <v>-34972.919999999984</v>
      </c>
      <c r="H43" s="165" t="str">
        <f t="shared" si="24"/>
        <v/>
      </c>
      <c r="I43" s="166">
        <f t="shared" si="25"/>
        <v>-0.34796210922451415</v>
      </c>
      <c r="J43" s="1267"/>
      <c r="K43" s="3"/>
      <c r="L43" s="3"/>
      <c r="M43" s="3"/>
      <c r="N43" s="3"/>
      <c r="O43" s="3"/>
      <c r="P43" s="3"/>
      <c r="Q43" s="3"/>
      <c r="R43" s="3"/>
      <c r="S43" s="3"/>
      <c r="T43" s="3"/>
      <c r="U43" s="3"/>
      <c r="V43" s="3"/>
      <c r="W43" s="3"/>
    </row>
    <row r="44" spans="1:23" ht="15.75" customHeight="1">
      <c r="A44" s="3"/>
      <c r="B44" s="176" t="s">
        <v>307</v>
      </c>
      <c r="C44" s="161">
        <f>+SUM(Print_Mois!$L$272:$L$278)</f>
        <v>33032.119999999995</v>
      </c>
      <c r="D44" s="161" t="e">
        <f>+SUM(Print_Mois!$F$272:$F$278)</f>
        <v>#N/A</v>
      </c>
      <c r="E44" s="161">
        <f>+SUM(Print_Mois!$Q$272:$Q$278)</f>
        <v>67019.72</v>
      </c>
      <c r="F44" s="162" t="str">
        <f t="shared" si="22"/>
        <v/>
      </c>
      <c r="G44" s="163">
        <f t="shared" si="23"/>
        <v>-33987.600000000006</v>
      </c>
      <c r="H44" s="165" t="str">
        <f t="shared" si="24"/>
        <v/>
      </c>
      <c r="I44" s="166">
        <f t="shared" si="25"/>
        <v>-0.50712834968573439</v>
      </c>
      <c r="J44" s="1267"/>
      <c r="K44" s="3"/>
      <c r="L44" s="3"/>
      <c r="M44" s="3"/>
      <c r="N44" s="3"/>
      <c r="O44" s="3"/>
      <c r="P44" s="3"/>
      <c r="Q44" s="3"/>
      <c r="R44" s="3"/>
      <c r="S44" s="3"/>
      <c r="T44" s="3"/>
      <c r="U44" s="3"/>
      <c r="V44" s="3"/>
      <c r="W44" s="3"/>
    </row>
    <row r="45" spans="1:23">
      <c r="A45" s="3"/>
      <c r="B45" s="176" t="s">
        <v>308</v>
      </c>
      <c r="C45" s="161">
        <f>+SUM(Print_Mois!$L$279:$L$283)</f>
        <v>32502.800000000003</v>
      </c>
      <c r="D45" s="161" t="e">
        <f>+SUM(Print_Mois!$F$279:$F$283)</f>
        <v>#N/A</v>
      </c>
      <c r="E45" s="161">
        <f>+SUM(Print_Mois!$Q$279:$Q$283)</f>
        <v>33488.119999999981</v>
      </c>
      <c r="F45" s="162" t="str">
        <f t="shared" si="22"/>
        <v/>
      </c>
      <c r="G45" s="163">
        <f t="shared" si="23"/>
        <v>-985.31999999997788</v>
      </c>
      <c r="H45" s="165" t="str">
        <f t="shared" si="24"/>
        <v/>
      </c>
      <c r="I45" s="166">
        <f t="shared" si="25"/>
        <v>-2.9422971489590291E-2</v>
      </c>
      <c r="J45" s="1267"/>
      <c r="K45" s="3"/>
      <c r="L45" s="3"/>
      <c r="M45" s="3"/>
      <c r="N45" s="3"/>
      <c r="O45" s="3"/>
      <c r="P45" s="3"/>
      <c r="Q45" s="3"/>
      <c r="R45" s="3"/>
      <c r="S45" s="3"/>
      <c r="T45" s="3"/>
      <c r="U45" s="3"/>
      <c r="V45" s="3"/>
      <c r="W45" s="3"/>
    </row>
    <row r="46" spans="1:23">
      <c r="A46" s="3"/>
      <c r="B46" s="160" t="s">
        <v>309</v>
      </c>
      <c r="C46" s="164">
        <f t="shared" ref="C46:E46" si="26">+C43/C38</f>
        <v>0.35063742414216126</v>
      </c>
      <c r="D46" s="164" t="e">
        <f t="shared" si="26"/>
        <v>#N/A</v>
      </c>
      <c r="E46" s="164">
        <f t="shared" si="26"/>
        <v>0.46715055971194164</v>
      </c>
      <c r="F46" s="167" t="str">
        <f t="shared" si="22"/>
        <v/>
      </c>
      <c r="G46" s="168">
        <f t="shared" si="23"/>
        <v>-0.11651313556978038</v>
      </c>
      <c r="H46" s="165" t="str">
        <f t="shared" si="24"/>
        <v/>
      </c>
      <c r="I46" s="166">
        <f t="shared" si="25"/>
        <v>-0.24941238568059451</v>
      </c>
      <c r="J46" s="1267"/>
      <c r="K46" s="3"/>
      <c r="L46" s="3"/>
      <c r="M46" s="3"/>
      <c r="N46" s="3"/>
      <c r="O46" s="3"/>
      <c r="P46" s="3"/>
      <c r="Q46" s="3"/>
      <c r="R46" s="3"/>
      <c r="S46" s="3"/>
      <c r="T46" s="3"/>
      <c r="U46" s="3"/>
      <c r="V46" s="3"/>
      <c r="W46" s="3"/>
    </row>
    <row r="47" spans="1:23">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68"/>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66"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67"/>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67"/>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67"/>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67"/>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67"/>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67"/>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67"/>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67"/>
      <c r="K58" s="3"/>
      <c r="L58" s="3"/>
      <c r="M58" s="3"/>
      <c r="N58" s="3"/>
      <c r="O58" s="3"/>
      <c r="P58" s="3"/>
      <c r="Q58" s="3"/>
      <c r="R58" s="3"/>
      <c r="S58" s="3"/>
      <c r="T58" s="3"/>
      <c r="U58" s="3"/>
      <c r="V58" s="3"/>
      <c r="W58" s="3"/>
    </row>
    <row r="59" spans="1:23" ht="15.75" customHeight="1">
      <c r="A59" s="3"/>
      <c r="B59" s="200" t="s">
        <v>118</v>
      </c>
      <c r="C59" s="179">
        <f>+Print_Mois!$L$396</f>
        <v>13305.910000000003</v>
      </c>
      <c r="D59" s="179" t="e">
        <f>+Print_Mois!$F$396</f>
        <v>#N/A</v>
      </c>
      <c r="E59" s="179">
        <f>+Print_Mois!$Q$396</f>
        <v>17580.00999999998</v>
      </c>
      <c r="F59" s="180" t="str">
        <f t="shared" si="27"/>
        <v/>
      </c>
      <c r="G59" s="181">
        <f t="shared" si="28"/>
        <v>-4274.0999999999767</v>
      </c>
      <c r="H59" s="182" t="str">
        <f t="shared" si="29"/>
        <v/>
      </c>
      <c r="I59" s="183">
        <f t="shared" si="30"/>
        <v>-0.24312272859912945</v>
      </c>
      <c r="J59" s="1268"/>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0.44705902870313957</v>
      </c>
      <c r="D62" s="164" t="e">
        <f>+Print_Mois!$Z$520/Print_Mois!$Z$494</f>
        <v>#N/A</v>
      </c>
      <c r="E62" s="164">
        <f>+Print_Mois!$AL$520/Print_Mois!$AL$494</f>
        <v>0.41600824761487926</v>
      </c>
      <c r="F62" s="167" t="str">
        <f t="shared" ref="F62:G67" si="32">+IFERROR($C62-D62,"")</f>
        <v/>
      </c>
      <c r="G62" s="168">
        <f t="shared" si="32"/>
        <v>3.1050781088260315E-2</v>
      </c>
      <c r="H62" s="165" t="str">
        <f t="shared" ref="H62:H67" si="33">+IFERROR(F62/ABS($D62),"")</f>
        <v/>
      </c>
      <c r="I62" s="166">
        <f t="shared" ref="I62:I67" si="34">+IFERROR(G62/ABS($E62),"")</f>
        <v>7.4639820884045693E-2</v>
      </c>
      <c r="J62" s="1266"/>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7"/>
      <c r="K63" s="3"/>
      <c r="L63" s="3"/>
      <c r="M63" s="3"/>
      <c r="N63" s="3"/>
      <c r="O63" s="3"/>
      <c r="P63" s="3"/>
      <c r="Q63" s="3"/>
      <c r="R63" s="3"/>
      <c r="S63" s="3"/>
      <c r="T63" s="3"/>
      <c r="U63" s="3"/>
      <c r="V63" s="3"/>
      <c r="W63" s="3"/>
    </row>
    <row r="64" spans="1:23" ht="15.75" customHeight="1">
      <c r="A64" s="3"/>
      <c r="B64" s="176" t="s">
        <v>319</v>
      </c>
      <c r="C64" s="161">
        <f>N17+Print_Mois!$AF$501+Print_Mois!$AF$521</f>
        <v>20975.72</v>
      </c>
      <c r="D64" s="161" t="e">
        <f>+Print_Mois!$Z$501+Print_Mois!$Z$521</f>
        <v>#N/A</v>
      </c>
      <c r="E64" s="161">
        <f>+Print_Mois!$AL$501+Print_Mois!$AL$521</f>
        <v>21157.120000000006</v>
      </c>
      <c r="F64" s="162" t="str">
        <f t="shared" si="32"/>
        <v/>
      </c>
      <c r="G64" s="163">
        <f t="shared" si="32"/>
        <v>-181.40000000000509</v>
      </c>
      <c r="H64" s="165" t="str">
        <f t="shared" si="33"/>
        <v/>
      </c>
      <c r="I64" s="166">
        <f t="shared" si="34"/>
        <v>-8.5739457922441725E-3</v>
      </c>
      <c r="J64" s="1267"/>
      <c r="K64" s="3"/>
      <c r="L64" s="3"/>
      <c r="M64" s="3"/>
      <c r="N64" s="3"/>
      <c r="O64" s="3"/>
      <c r="P64" s="3"/>
      <c r="Q64" s="3"/>
      <c r="R64" s="3"/>
      <c r="S64" s="3"/>
      <c r="T64" s="3"/>
      <c r="U64" s="3"/>
      <c r="V64" s="3"/>
      <c r="W64" s="3"/>
    </row>
    <row r="65" spans="1:23" ht="15.75" customHeight="1">
      <c r="A65" s="3"/>
      <c r="B65" s="176" t="s">
        <v>320</v>
      </c>
      <c r="C65" s="161">
        <f>+Print_Mois!$AF$539-Print_Mois!$AF$521</f>
        <v>100032.82999999999</v>
      </c>
      <c r="D65" s="161" t="e">
        <f>+Print_Mois!$Z$539-Print_Mois!$Z$521</f>
        <v>#N/A</v>
      </c>
      <c r="E65" s="161">
        <f>+Print_Mois!$AL$539-Print_Mois!$AL$521</f>
        <v>79903.709999999992</v>
      </c>
      <c r="F65" s="162" t="str">
        <f t="shared" si="32"/>
        <v/>
      </c>
      <c r="G65" s="163">
        <f t="shared" si="32"/>
        <v>20129.119999999995</v>
      </c>
      <c r="H65" s="165" t="str">
        <f t="shared" si="33"/>
        <v/>
      </c>
      <c r="I65" s="166">
        <f t="shared" si="34"/>
        <v>0.25191721385652804</v>
      </c>
      <c r="J65" s="1267"/>
      <c r="K65" s="3"/>
      <c r="L65" s="3"/>
      <c r="M65" s="3"/>
      <c r="N65" s="3"/>
      <c r="O65" s="3"/>
      <c r="P65" s="3"/>
      <c r="Q65" s="3"/>
      <c r="R65" s="3"/>
      <c r="S65" s="3"/>
      <c r="T65" s="3"/>
      <c r="U65" s="3"/>
      <c r="V65" s="3"/>
      <c r="W65" s="3"/>
    </row>
    <row r="66" spans="1:23" ht="15.75" customHeight="1">
      <c r="A66" s="3"/>
      <c r="B66" s="176" t="s">
        <v>321</v>
      </c>
      <c r="C66" s="161">
        <f>+Print_Mois!$AF$502</f>
        <v>43853.650000000052</v>
      </c>
      <c r="D66" s="161" t="e">
        <f>+Print_Mois!$Z$502</f>
        <v>#N/A</v>
      </c>
      <c r="E66" s="161">
        <f>+Print_Mois!$AL$502</f>
        <v>97213.13</v>
      </c>
      <c r="F66" s="162" t="str">
        <f t="shared" si="32"/>
        <v/>
      </c>
      <c r="G66" s="163">
        <f t="shared" si="32"/>
        <v>-53359.479999999952</v>
      </c>
      <c r="H66" s="165" t="str">
        <f t="shared" si="33"/>
        <v/>
      </c>
      <c r="I66" s="166">
        <f t="shared" si="34"/>
        <v>-0.54889169806588833</v>
      </c>
      <c r="J66" s="1267"/>
      <c r="K66" s="3"/>
      <c r="L66" s="3"/>
      <c r="M66" s="3"/>
      <c r="N66" s="3"/>
      <c r="O66" s="3"/>
      <c r="P66" s="3"/>
      <c r="Q66" s="3"/>
      <c r="R66" s="3"/>
      <c r="S66" s="3"/>
      <c r="T66" s="3"/>
      <c r="U66" s="3"/>
      <c r="V66" s="3"/>
      <c r="W66" s="3"/>
    </row>
    <row r="67" spans="1:23">
      <c r="A67" s="3"/>
      <c r="B67" s="178" t="s">
        <v>322</v>
      </c>
      <c r="C67" s="179">
        <f>+Print_Mois!$AF$568-C32-C15</f>
        <v>-277.76000000000931</v>
      </c>
      <c r="D67" s="179" t="e">
        <f>+Print_Mois!$Z$568-D32-D15</f>
        <v>#N/A</v>
      </c>
      <c r="E67" s="179">
        <f>+Print_Mois!$AL$568-E32-E15</f>
        <v>-19182.250000000036</v>
      </c>
      <c r="F67" s="180" t="str">
        <f t="shared" si="32"/>
        <v/>
      </c>
      <c r="G67" s="181">
        <f t="shared" si="32"/>
        <v>18904.490000000027</v>
      </c>
      <c r="H67" s="182" t="str">
        <f t="shared" si="33"/>
        <v/>
      </c>
      <c r="I67" s="183">
        <f t="shared" si="34"/>
        <v>0.9855199468258411</v>
      </c>
      <c r="J67" s="1268"/>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39258.050000000003</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18018.499999999833</v>
      </c>
      <c r="H70" s="165" t="str">
        <f t="shared" ref="H70:H77" si="36">+IFERROR(F70/ABS($D70),"")</f>
        <v/>
      </c>
      <c r="I70" s="166">
        <f t="shared" ref="I70:I77" si="37">+IFERROR(G70/ABS($E70),"")</f>
        <v>0.84834659868027751</v>
      </c>
      <c r="J70" s="1266" t="s">
        <v>1092</v>
      </c>
      <c r="K70" s="3"/>
      <c r="L70" s="3"/>
      <c r="M70" s="3"/>
      <c r="N70" s="3"/>
      <c r="O70" s="3"/>
      <c r="P70" s="3"/>
      <c r="Q70" s="3"/>
      <c r="R70" s="3"/>
      <c r="S70" s="3"/>
      <c r="T70" s="3"/>
      <c r="U70" s="3"/>
      <c r="V70" s="3"/>
      <c r="W70" s="3"/>
    </row>
    <row r="71" spans="1:23" ht="15.75" customHeight="1">
      <c r="A71" s="3"/>
      <c r="B71" s="176" t="s">
        <v>325</v>
      </c>
      <c r="C71" s="164">
        <f>+C70/Print_Mois!$AF$494</f>
        <v>8.3392354516766257E-2</v>
      </c>
      <c r="D71" s="164" t="e">
        <f>+D70/Print_Mois!$Z$494</f>
        <v>#N/A</v>
      </c>
      <c r="E71" s="164">
        <f>+E70/Print_Mois!$AL$494</f>
        <v>2.6914321346648406E-2</v>
      </c>
      <c r="F71" s="167" t="str">
        <f t="shared" si="35"/>
        <v/>
      </c>
      <c r="G71" s="168">
        <f t="shared" si="35"/>
        <v>5.6478033170117847E-2</v>
      </c>
      <c r="H71" s="165" t="str">
        <f t="shared" si="36"/>
        <v/>
      </c>
      <c r="I71" s="166">
        <f t="shared" si="37"/>
        <v>2.0984379447171517</v>
      </c>
      <c r="J71" s="1267"/>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408367.90999999992</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-200112.66000000003</v>
      </c>
      <c r="H72" s="165" t="str">
        <f t="shared" si="36"/>
        <v/>
      </c>
      <c r="I72" s="166">
        <f t="shared" si="37"/>
        <v>-0.32887271979777438</v>
      </c>
      <c r="J72" s="1267"/>
      <c r="K72" s="3"/>
      <c r="L72" s="3"/>
      <c r="M72" s="3"/>
      <c r="N72" s="3"/>
      <c r="O72" s="3"/>
      <c r="P72" s="3"/>
      <c r="Q72" s="3"/>
      <c r="R72" s="3"/>
      <c r="S72" s="3"/>
      <c r="T72" s="3"/>
      <c r="U72" s="3"/>
      <c r="V72" s="3"/>
      <c r="W72" s="3"/>
    </row>
    <row r="73" spans="1:23" ht="15.75" customHeight="1">
      <c r="A73" s="3"/>
      <c r="B73" s="176" t="s">
        <v>327</v>
      </c>
      <c r="C73" s="164">
        <f>+C72/Print_Mois!$AF$494</f>
        <v>0.86745932424027394</v>
      </c>
      <c r="D73" s="164" t="e">
        <f>+D72/Print_Mois!$Z$494</f>
        <v>#N/A</v>
      </c>
      <c r="E73" s="164">
        <f>+E72/Print_Mois!$AL$494</f>
        <v>0.77105407573002527</v>
      </c>
      <c r="F73" s="167" t="str">
        <f t="shared" si="35"/>
        <v/>
      </c>
      <c r="G73" s="168">
        <f t="shared" si="35"/>
        <v>9.6405248510248676E-2</v>
      </c>
      <c r="H73" s="165" t="str">
        <f t="shared" si="36"/>
        <v/>
      </c>
      <c r="I73" s="166">
        <f t="shared" si="37"/>
        <v>0.12503046354949007</v>
      </c>
      <c r="J73" s="1267"/>
      <c r="K73" s="3"/>
      <c r="L73" s="3"/>
      <c r="M73" s="3"/>
      <c r="N73" s="3"/>
      <c r="O73" s="3"/>
      <c r="P73" s="3"/>
      <c r="Q73" s="3"/>
      <c r="R73" s="3"/>
      <c r="S73" s="3"/>
      <c r="T73" s="3"/>
      <c r="U73" s="3"/>
      <c r="V73" s="3"/>
      <c r="W73" s="3"/>
    </row>
    <row r="74" spans="1:23" ht="15.75" customHeight="1">
      <c r="A74" s="1"/>
      <c r="B74" s="206" t="s">
        <v>328</v>
      </c>
      <c r="C74" s="195">
        <f>+Print_Mois!$AF$570+Print_Mois!$AF$502</f>
        <v>79255.049999997136</v>
      </c>
      <c r="D74" s="195" t="e">
        <f>+Print_Mois!$Z$570+Print_Mois!$Z$502</f>
        <v>#N/A</v>
      </c>
      <c r="E74" s="195">
        <f>+Print_Mois!$AL$570+Print_Mois!$AL$502</f>
        <v>165698.41999998913</v>
      </c>
      <c r="F74" s="196" t="str">
        <f t="shared" si="35"/>
        <v/>
      </c>
      <c r="G74" s="197">
        <f t="shared" si="35"/>
        <v>-86443.369999991992</v>
      </c>
      <c r="H74" s="198" t="str">
        <f t="shared" si="36"/>
        <v/>
      </c>
      <c r="I74" s="199">
        <f t="shared" si="37"/>
        <v>-0.52169097327541003</v>
      </c>
      <c r="J74" s="1267"/>
      <c r="K74" s="1"/>
      <c r="L74" s="1"/>
      <c r="M74" s="1"/>
      <c r="N74" s="1"/>
      <c r="O74" s="1"/>
      <c r="P74" s="1"/>
      <c r="Q74" s="1"/>
      <c r="R74" s="1"/>
      <c r="S74" s="1"/>
      <c r="T74" s="1"/>
      <c r="U74" s="1"/>
      <c r="V74" s="1"/>
      <c r="W74" s="1"/>
    </row>
    <row r="75" spans="1:23" ht="15.75" customHeight="1">
      <c r="A75" s="3"/>
      <c r="B75" s="160" t="s">
        <v>329</v>
      </c>
      <c r="C75" s="222">
        <f>+C74/Print_Mois!$AF$493</f>
        <v>5.7532631351126405E-3</v>
      </c>
      <c r="D75" s="222" t="e">
        <f>+D74/Print_Mois!$Z$493</f>
        <v>#N/A</v>
      </c>
      <c r="E75" s="222">
        <f>+E74/Print_Mois!$AL$493</f>
        <v>8.8212394626782011E-3</v>
      </c>
      <c r="F75" s="167" t="str">
        <f t="shared" si="35"/>
        <v/>
      </c>
      <c r="G75" s="168">
        <f t="shared" si="35"/>
        <v>-3.0679763275655606E-3</v>
      </c>
      <c r="H75" s="165" t="str">
        <f t="shared" si="36"/>
        <v/>
      </c>
      <c r="I75" s="166">
        <f t="shared" si="37"/>
        <v>-0.34779424598389691</v>
      </c>
      <c r="J75" s="1267"/>
      <c r="K75" s="3"/>
      <c r="L75" s="3"/>
      <c r="M75" s="3"/>
      <c r="N75" s="3"/>
      <c r="O75" s="3"/>
      <c r="P75" s="3"/>
      <c r="Q75" s="3"/>
      <c r="R75" s="3"/>
      <c r="S75" s="3"/>
      <c r="T75" s="3"/>
      <c r="U75" s="3"/>
      <c r="V75" s="3"/>
      <c r="W75" s="3"/>
    </row>
    <row r="76" spans="1:23" ht="15.75" customHeight="1">
      <c r="A76" s="1"/>
      <c r="B76" s="206" t="s">
        <v>330</v>
      </c>
      <c r="C76" s="195">
        <f>N9+Print_Mois!$AF$585</f>
        <v>16650.179999997083</v>
      </c>
      <c r="D76" s="195" t="e">
        <f>+Print_Mois!$Z$585</f>
        <v>#N/A</v>
      </c>
      <c r="E76" s="195">
        <f>+Print_Mois!$AL$585</f>
        <v>57695.159999989126</v>
      </c>
      <c r="F76" s="196" t="str">
        <f t="shared" si="35"/>
        <v/>
      </c>
      <c r="G76" s="197">
        <f t="shared" si="35"/>
        <v>-41044.979999992043</v>
      </c>
      <c r="H76" s="198" t="str">
        <f t="shared" si="36"/>
        <v/>
      </c>
      <c r="I76" s="199">
        <f t="shared" si="37"/>
        <v>-0.71141114783284731</v>
      </c>
      <c r="J76" s="1267"/>
      <c r="K76" s="1"/>
      <c r="L76" s="1"/>
      <c r="M76" s="1"/>
      <c r="N76" s="1"/>
      <c r="O76" s="1"/>
      <c r="P76" s="1"/>
      <c r="Q76" s="1"/>
      <c r="R76" s="1"/>
      <c r="S76" s="1"/>
      <c r="T76" s="1"/>
      <c r="U76" s="1"/>
      <c r="V76" s="1"/>
      <c r="W76" s="1"/>
    </row>
    <row r="77" spans="1:23" ht="15.75" customHeight="1">
      <c r="A77" s="3"/>
      <c r="B77" s="178" t="s">
        <v>331</v>
      </c>
      <c r="C77" s="223">
        <f>+C76/Print_Mois!$AF$493</f>
        <v>1.2086657794926187E-3</v>
      </c>
      <c r="D77" s="223" t="e">
        <f>+D76/Print_Mois!$Z$493</f>
        <v>#N/A</v>
      </c>
      <c r="E77" s="223">
        <f>+E76/Print_Mois!$AL$493</f>
        <v>3.0715007553932636E-3</v>
      </c>
      <c r="F77" s="224" t="str">
        <f t="shared" si="35"/>
        <v/>
      </c>
      <c r="G77" s="225">
        <f t="shared" si="35"/>
        <v>-1.8628349759006449E-3</v>
      </c>
      <c r="H77" s="182" t="str">
        <f t="shared" si="36"/>
        <v/>
      </c>
      <c r="I77" s="183">
        <f t="shared" si="37"/>
        <v>-0.60649015717469179</v>
      </c>
      <c r="J77" s="1268"/>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19730.049999997136</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40172.179999997083</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16650.179999997083</v>
      </c>
      <c r="D87" s="662">
        <f>+Print_AAD!AF585</f>
        <v>1878012.2600000014</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opLeftCell="R576" zoomScale="80" zoomScaleNormal="80" workbookViewId="0">
      <selection activeCell="AO597" sqref="AO597"/>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style="1050"/>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 thickTop="1">
      <c r="B3" s="38"/>
      <c r="C3" s="230"/>
      <c r="D3" s="1272" t="s">
        <v>339</v>
      </c>
      <c r="E3" s="1277"/>
      <c r="F3" s="1278"/>
      <c r="G3" s="1279"/>
      <c r="H3" s="1277"/>
      <c r="I3" s="1278"/>
      <c r="J3" s="1279" t="s">
        <v>340</v>
      </c>
      <c r="K3" s="1277"/>
      <c r="L3" s="1278"/>
      <c r="M3" s="1279" t="s">
        <v>668</v>
      </c>
      <c r="N3" s="1278"/>
      <c r="O3" s="1272" t="s">
        <v>341</v>
      </c>
      <c r="P3" s="1277"/>
      <c r="Q3" s="1278"/>
      <c r="R3" s="1271" t="s">
        <v>670</v>
      </c>
      <c r="S3" s="1280"/>
      <c r="T3" s="35"/>
      <c r="U3" s="35"/>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25">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5549753.3899999959</v>
      </c>
      <c r="M5" s="242"/>
      <c r="N5" s="950"/>
      <c r="O5" s="238"/>
      <c r="P5" s="949"/>
      <c r="Q5" s="286">
        <f>-SUMIFS(BV_Data_An_Prec!$AM:$AM,BV_Data_An_Prec!$AS:$AS,"Oui",BV_Data_An_Prec!$AP:$AP,$B5)</f>
        <v>8048046.4199999925</v>
      </c>
      <c r="R5" s="242"/>
      <c r="S5" s="962"/>
      <c r="T5" s="35"/>
      <c r="U5" s="35">
        <f>L5/AF493</f>
        <v>0.40286633580641912</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67">
        <f>J6-O6</f>
        <v>-2</v>
      </c>
      <c r="S6" s="266">
        <f>L6-Q6</f>
        <v>-11122</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67">
        <f>J7-O7</f>
        <v>-41</v>
      </c>
      <c r="S7" s="266">
        <f>L7-Q7</f>
        <v>-112190.66999999937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67">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67">
        <f>J9-O9</f>
        <v>16</v>
      </c>
      <c r="S9" s="266">
        <f t="shared" ref="S9:S12" si="5">L9-Q9</f>
        <v>23301.199999999488</v>
      </c>
      <c r="T9" s="35"/>
      <c r="U9" s="35" t="s">
        <v>3419</v>
      </c>
      <c r="V9" s="38"/>
      <c r="W9" s="38"/>
      <c r="X9" s="38"/>
      <c r="Y9" s="38"/>
      <c r="Z9" s="38"/>
      <c r="AA9" s="38"/>
      <c r="AB9" s="38"/>
      <c r="AC9" s="38"/>
      <c r="AD9" s="38"/>
      <c r="AE9" s="38"/>
      <c r="AF9" s="38"/>
      <c r="AG9" s="38"/>
      <c r="AH9" s="38"/>
      <c r="AI9" s="38"/>
      <c r="AJ9" s="38"/>
      <c r="AK9" s="38"/>
      <c r="AL9" s="38"/>
      <c r="AM9" s="38"/>
      <c r="AN9" s="38"/>
    </row>
    <row r="10" spans="1:40" ht="20.45"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357">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0.25">
      <c r="A13" s="5" t="s">
        <v>355</v>
      </c>
      <c r="B13" s="38" t="s">
        <v>88</v>
      </c>
      <c r="C13" s="249" t="s">
        <v>97</v>
      </c>
      <c r="D13" s="250" t="e">
        <f>+SUM(D6:D12)</f>
        <v>#N/A</v>
      </c>
      <c r="E13" s="250" t="e">
        <f>IF(D13&lt;=0,0,F13/D13)</f>
        <v>#N/A</v>
      </c>
      <c r="F13" s="251" t="e">
        <f>+SUM(F6:F12)</f>
        <v>#N/A</v>
      </c>
      <c r="G13" s="252"/>
      <c r="H13" s="250"/>
      <c r="I13" s="251"/>
      <c r="J13" s="252">
        <f>+SUM(J6:J12)</f>
        <v>53</v>
      </c>
      <c r="K13" s="355">
        <f>IF(J13&lt;=0,0,L13/J13)</f>
        <v>1851.7266037735944</v>
      </c>
      <c r="L13" s="356">
        <f>+SUM(L6:L12)</f>
        <v>98141.510000000504</v>
      </c>
      <c r="M13" s="252" t="e">
        <f>+SUM(M6:M12)</f>
        <v>#N/A</v>
      </c>
      <c r="N13" s="251" t="e">
        <f>+SUM(N6:N12)</f>
        <v>#N/A</v>
      </c>
      <c r="O13" s="252">
        <f>+SUM(O6:O12)</f>
        <v>80</v>
      </c>
      <c r="P13" s="355">
        <f>IF(O13&lt;=0,0,Q13/O13)</f>
        <v>2476.9122500000049</v>
      </c>
      <c r="Q13" s="356">
        <f>+SUM(Q6:Q12)</f>
        <v>198152.98000000039</v>
      </c>
      <c r="R13" s="357">
        <f>+SUM(R6:R12)</f>
        <v>-27</v>
      </c>
      <c r="S13" s="356">
        <f>+SUM(S6:S12)</f>
        <v>-100011.46999999988</v>
      </c>
      <c r="T13" s="35">
        <v>53</v>
      </c>
      <c r="U13" s="1238">
        <v>98142</v>
      </c>
      <c r="V13" s="1239">
        <f>L13-U13</f>
        <v>-0.48999999949592166</v>
      </c>
      <c r="W13" s="38"/>
      <c r="X13" s="38"/>
      <c r="Y13" s="38"/>
      <c r="Z13" s="38"/>
      <c r="AA13" s="38"/>
      <c r="AB13" s="38"/>
      <c r="AC13" s="38"/>
      <c r="AD13" s="281"/>
      <c r="AE13" s="38"/>
      <c r="AF13" s="38"/>
      <c r="AG13" s="38"/>
      <c r="AH13" s="38"/>
      <c r="AI13" s="38"/>
      <c r="AJ13" s="38"/>
      <c r="AK13" s="38"/>
      <c r="AL13" s="38"/>
      <c r="AM13" s="38"/>
      <c r="AN13" s="38"/>
    </row>
    <row r="14" spans="1:40" ht="20.25">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0.25">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25">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0.25">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257">
        <f>SUMIFS(BV_Data_An_Cour!$AW:$AW,BV_Data_An_Cour!$AP:$AP,$B17,BV_Data_An_Cour!$AQ:$AQ,$C17,BV_Data_An_Cour!$AY:$AY,J$2)</f>
        <v>34</v>
      </c>
      <c r="K17" s="281">
        <f>IF(J17=0,0,L17/J17)</f>
        <v>587.26382352937674</v>
      </c>
      <c r="L17" s="266">
        <f>-SUMIFS(BV_Data_An_Cour!$AM:$AM,BV_Data_An_Cour!$AP:$AP,$B17,BV_Data_An_Cour!$AQ:$AQ,$C17,BV_Data_An_Cour!$AR:$AR,L$2)</f>
        <v>19966.969999998808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67">
        <f>J17-O17</f>
        <v>-20</v>
      </c>
      <c r="S17" s="266">
        <f>L17-Q17</f>
        <v>-13399.429999992251</v>
      </c>
      <c r="T17" s="35">
        <v>34</v>
      </c>
      <c r="U17" s="1238">
        <v>18817</v>
      </c>
      <c r="V17" s="1239">
        <f>L17-U17</f>
        <v>1149.9699999988079</v>
      </c>
      <c r="W17" s="38"/>
      <c r="X17" s="38"/>
      <c r="Y17" s="38"/>
      <c r="Z17" s="38"/>
      <c r="AA17" s="244"/>
      <c r="AB17" s="38"/>
      <c r="AC17" s="38"/>
      <c r="AD17" s="281"/>
      <c r="AE17" s="38"/>
      <c r="AF17" s="38"/>
      <c r="AG17" s="38"/>
      <c r="AH17" s="38"/>
      <c r="AI17" s="38"/>
      <c r="AJ17" s="38"/>
      <c r="AK17" s="38"/>
      <c r="AL17" s="38"/>
      <c r="AM17" s="38"/>
      <c r="AN17" s="38"/>
    </row>
    <row r="18" spans="1:40" ht="20.25"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0.25"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0.25">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0</v>
      </c>
      <c r="L21" s="266">
        <f>-SUMIFS(BV_Data_An_Cour!$AM:$AM,BV_Data_An_Cour!$AP:$AP,$B21,BV_Data_An_Cour!$AQ:$AQ,$C21,BV_Data_An_Cour!$AR:$AR,L$2)</f>
        <v>0</v>
      </c>
      <c r="M21" s="245"/>
      <c r="N21" s="246" t="e">
        <f>L21-F21</f>
        <v>#N/A</v>
      </c>
      <c r="O21" s="245"/>
      <c r="P21" s="281">
        <f>IF(O13=0,0,Q21/(O13+O15))</f>
        <v>1.3224999999999909</v>
      </c>
      <c r="Q21" s="266">
        <f>-SUMIFS(BV_Data_An_Prec!$AM:$AM,BV_Data_An_Prec!$AP:$AP,$B21,BV_Data_An_Prec!$AQ:$AQ,$C21,BV_Data_An_Prec!$AR:$AR,Q$2)</f>
        <v>105.79999999999927</v>
      </c>
      <c r="R21" s="267">
        <f>P21-K21</f>
        <v>1.3224999999999909</v>
      </c>
      <c r="S21" s="266">
        <f t="shared" ref="S21:S23" si="7">L21-Q21</f>
        <v>-105.79999999999927</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538.27320754717005</v>
      </c>
      <c r="L22" s="266">
        <f>-SUMIFS(BV_Data_An_Cour!$AM:$AM,BV_Data_An_Cour!$AP:$AP,$B22,BV_Data_An_Cour!$AQ:$AQ,$C22,BV_Data_An_Cour!$AR:$AR,L$2)</f>
        <v>28528.48000000001</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214.3606674528304</v>
      </c>
      <c r="S22" s="266">
        <f t="shared" si="7"/>
        <v>-31682.230000000025</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-21.713396226415103</v>
      </c>
      <c r="L23" s="266">
        <f>-SUMIFS(BV_Data_An_Cour!$AM:$AM,BV_Data_An_Cour!$AP:$AP,$B23,BV_Data_An_Cour!$AQ:$AQ,$C23,BV_Data_An_Cour!$AR:$AR,L$2)</f>
        <v>-1150.8100000000004</v>
      </c>
      <c r="M23" s="257"/>
      <c r="N23" s="246" t="e">
        <f>L23-F23</f>
        <v>#N/A</v>
      </c>
      <c r="O23" s="245"/>
      <c r="P23" s="281">
        <f>IF(O13=0,0,Q23/(O13+O15))</f>
        <v>180.25050000000002</v>
      </c>
      <c r="Q23" s="266">
        <f>-SUMIFS(BV_Data_An_Prec!$AM:$AM,BV_Data_An_Prec!$AP:$AP,$B23,BV_Data_An_Prec!$AQ:$AQ,$C23,BV_Data_An_Prec!$AR:$AR,Q$2)</f>
        <v>14420.04</v>
      </c>
      <c r="R23" s="267">
        <f t="shared" si="8"/>
        <v>201.96389622641513</v>
      </c>
      <c r="S23" s="266">
        <f t="shared" si="7"/>
        <v>-15570.850000000002</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53</v>
      </c>
      <c r="K24" s="355">
        <f>IF(J24&lt;=0,0,L24/J24)</f>
        <v>516.55981132075487</v>
      </c>
      <c r="L24" s="356">
        <f>L21+L22+L23</f>
        <v>27377.670000000009</v>
      </c>
      <c r="M24" s="265" t="e">
        <f>J24-D24</f>
        <v>#N/A</v>
      </c>
      <c r="N24" s="251" t="e">
        <f>L24-F24</f>
        <v>#N/A</v>
      </c>
      <c r="O24" s="252">
        <f>+O15+O13</f>
        <v>80</v>
      </c>
      <c r="P24" s="355">
        <f>IF(O24&lt;=0,0,Q24/O24)</f>
        <v>934.20687500000054</v>
      </c>
      <c r="Q24" s="356">
        <f>Q21+Q22+Q23</f>
        <v>74736.550000000047</v>
      </c>
      <c r="R24" s="337">
        <f>P24-K24</f>
        <v>417.64706367924566</v>
      </c>
      <c r="S24" s="356">
        <f>L24-Q24</f>
        <v>-47358.880000000034</v>
      </c>
      <c r="T24" s="35"/>
      <c r="U24" s="1238">
        <v>27378</v>
      </c>
      <c r="V24" s="1239">
        <f>L24-U24</f>
        <v>-0.32999999999083229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-0.63367763162736312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1672.2545977011416</v>
      </c>
      <c r="L27" s="271">
        <f>L13+L17+L24+L19+L15</f>
        <v>145486.14999999932</v>
      </c>
      <c r="M27" s="272" t="e">
        <f>J27-D27</f>
        <v>#N/A</v>
      </c>
      <c r="N27" s="271" t="e">
        <f>L27-F27</f>
        <v>#N/A</v>
      </c>
      <c r="O27" s="272">
        <f>+O13+O15+O17</f>
        <v>134</v>
      </c>
      <c r="P27" s="269">
        <f>IF(O27&lt;=0,0,Q27/O27)</f>
        <v>2285.4920149253098</v>
      </c>
      <c r="Q27" s="271">
        <f>Q13+Q17+Q24+Q19+Q15</f>
        <v>306255.92999999149</v>
      </c>
      <c r="R27" s="272">
        <f>J27-O27</f>
        <v>-47</v>
      </c>
      <c r="S27" s="271">
        <f>L27-Q27</f>
        <v>-160769.77999999217</v>
      </c>
      <c r="T27" s="35"/>
      <c r="U27" s="1238">
        <f>SUM(U13:U26)</f>
        <v>144337</v>
      </c>
      <c r="V27" s="1239">
        <f>L27-U27</f>
        <v>1149.1499999993248</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-0.52495238214651596</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25">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0.36190415794022751</v>
      </c>
      <c r="K31" s="281">
        <f>IF(L31=0,0,L31/J$24)</f>
        <v>806.4896226415085</v>
      </c>
      <c r="L31" s="266">
        <f>SUMIFS(BV_Data_An_Cour!$AM:$AM,BV_Data_An_Cour!$AP:$AP,$B31,BV_Data_An_Cour!$AQ:$AQ,$C31,BV_Data_An_Cour!$AR:$AR,L$2)</f>
        <v>42743.949999999953</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-9559.0600000000559</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0.33094817783982322</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-63.6369811320751</v>
      </c>
      <c r="L33" s="952">
        <f>SUMIFS(BV_Data_An_Cour!$AM:$AM,BV_Data_An_Cour!$AP:$AP,$B33,BV_Data_An_Cour!$AQ:$AQ,$C33,BV_Data_An_Cour!$AR:$AR,L$2)</f>
        <v>-3372.7599999999802</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5755.9800000000214</v>
      </c>
      <c r="T33" s="35">
        <f>-3973+600</f>
        <v>-3373</v>
      </c>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241.37566037735846</v>
      </c>
      <c r="L36" s="952">
        <f>SUMIFS(BV_Data_An_Cour!$AM:$AM,BV_Data_An_Cour!$AP:$AP,$B36,BV_Data_An_Cour!$AQ:$AQ,$C36,BV_Data_An_Cour!$AR:$AR,L$2)</f>
        <v>12792.909999999998</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-1939.8800000000065</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500.46660377358563</v>
      </c>
      <c r="L37" s="266">
        <f>SUMIFS(BV_Data_An_Cour!$AM:$AM,BV_Data_An_Cour!$AP:$AP,$B37,BV_Data_An_Cour!$AQ:$AQ,$C37,BV_Data_An_Cour!$AR:$AR,L$2)</f>
        <v>26524.73000000004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-49024.76999999996</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v>64032</v>
      </c>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-10300</v>
      </c>
      <c r="U39" s="1247">
        <f>L39+L121+L194</f>
        <v>-13851.270000000006</v>
      </c>
      <c r="V39" s="35" t="s">
        <v>3420</v>
      </c>
      <c r="W39" s="38"/>
      <c r="X39" s="38"/>
      <c r="Y39" s="38"/>
      <c r="Z39" s="38"/>
      <c r="AA39" s="38"/>
      <c r="AB39" s="38"/>
      <c r="AC39" s="38"/>
      <c r="AD39" s="38"/>
      <c r="AE39" s="38"/>
      <c r="AF39" s="38"/>
      <c r="AG39" s="38"/>
      <c r="AH39" s="38"/>
      <c r="AI39" s="38"/>
      <c r="AJ39" s="38"/>
      <c r="AK39" s="38"/>
      <c r="AL39" s="38"/>
      <c r="AM39" s="38"/>
      <c r="AN39" s="38"/>
    </row>
    <row r="40" spans="1:40" ht="20.45"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9.7443777294265246E-2</v>
      </c>
      <c r="L41" s="294">
        <f>SUM(L31:L40)</f>
        <v>14176.720000000001</v>
      </c>
      <c r="M41" s="296"/>
      <c r="N41" s="294" t="e">
        <f t="shared" si="10"/>
        <v>#N/A</v>
      </c>
      <c r="O41" s="295" t="s">
        <v>115</v>
      </c>
      <c r="P41" s="293">
        <f>Q41/Q$27</f>
        <v>0.14542895544912843</v>
      </c>
      <c r="Q41" s="294">
        <f>SUM(Q31:Q40)</f>
        <v>44538.480000000156</v>
      </c>
      <c r="R41" s="297"/>
      <c r="S41" s="294">
        <f t="shared" si="16"/>
        <v>-30361.760000000155</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6326.8799999999901</v>
      </c>
      <c r="M42" s="243"/>
      <c r="N42" s="266" t="e">
        <f t="shared" si="10"/>
        <v>#N/A</v>
      </c>
      <c r="O42" s="243"/>
      <c r="P42" s="38"/>
      <c r="Q42" s="281">
        <f>SUMIFS(BV_Data_An_Prec!$AM:$AM,BV_Data_An_Prec!$AP:$AP,$B42,BV_Data_An_Prec!$AQ:$AQ,$C42,BV_Data_An_Prec!$AR:$AR,Q$2)</f>
        <v>12759.149999999994</v>
      </c>
      <c r="R42" s="243"/>
      <c r="S42" s="266">
        <f t="shared" si="16"/>
        <v>-6432.2700000000041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8576.1900000000023</v>
      </c>
      <c r="M43" s="243"/>
      <c r="N43" s="266" t="e">
        <f t="shared" si="10"/>
        <v>#N/A</v>
      </c>
      <c r="O43" s="243"/>
      <c r="P43" s="38"/>
      <c r="Q43" s="286">
        <f>SUMIFS(BV_Data_An_Prec!$AM:$AM,BV_Data_An_Prec!$AP:$AP,$B43,BV_Data_An_Prec!$AQ:$AQ,$C43,BV_Data_An_Prec!$AR:$AR,Q$2)</f>
        <v>27510.700000000012</v>
      </c>
      <c r="R43" s="243"/>
      <c r="S43" s="266">
        <f t="shared" si="16"/>
        <v>-18934.510000000009</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5167.5800000000017</v>
      </c>
      <c r="M44" s="233"/>
      <c r="N44" s="303" t="e">
        <f t="shared" si="10"/>
        <v>#N/A</v>
      </c>
      <c r="O44" s="233"/>
      <c r="P44" s="301"/>
      <c r="Q44" s="281">
        <f>SUMIFS(BV_Data_An_Prec!$AM:$AM,BV_Data_An_Prec!$AP:$AP,$B44,BV_Data_An_Prec!$AQ:$AQ,$C44,BV_Data_An_Prec!$AR:$AR,Q$2)</f>
        <v>5112.2000000000007</v>
      </c>
      <c r="R44" s="233"/>
      <c r="S44" s="303">
        <f t="shared" si="16"/>
        <v>55.380000000001019</v>
      </c>
      <c r="T44" s="35"/>
      <c r="U44" s="35"/>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2526.5999999999985</v>
      </c>
      <c r="M49" s="243"/>
      <c r="N49" s="266" t="e">
        <f t="shared" si="10"/>
        <v>#N/A</v>
      </c>
      <c r="O49" s="243"/>
      <c r="P49" s="38"/>
      <c r="Q49" s="286">
        <f>SUMIFS(BV_Data_An_Prec!$AM:$AM,BV_Data_An_Prec!$AP:$AP,$B49,BV_Data_An_Prec!$AQ:$AQ,$C49,BV_Data_An_Prec!$AR:$AR,Q$2)</f>
        <v>6372</v>
      </c>
      <c r="R49" s="243"/>
      <c r="S49" s="266">
        <f t="shared" si="16"/>
        <v>-3845.4000000000015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9070.929999999993</v>
      </c>
      <c r="M50" s="233"/>
      <c r="N50" s="303" t="e">
        <f t="shared" si="10"/>
        <v>#N/A</v>
      </c>
      <c r="O50" s="233"/>
      <c r="P50" s="301"/>
      <c r="Q50" s="281">
        <f>SUMIFS(BV_Data_An_Prec!$AM:$AM,BV_Data_An_Prec!$AP:$AP,$B50,BV_Data_An_Prec!$AQ:$AQ,$C50,BV_Data_An_Prec!$AR:$AR,Q$2)</f>
        <v>14274.209999999992</v>
      </c>
      <c r="R50" s="233"/>
      <c r="S50" s="303">
        <f t="shared" si="16"/>
        <v>-5203.2799999999988</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1221.5200000000004</v>
      </c>
      <c r="M51" s="243"/>
      <c r="N51" s="266" t="e">
        <f t="shared" si="10"/>
        <v>#N/A</v>
      </c>
      <c r="O51" s="243"/>
      <c r="P51" s="38"/>
      <c r="Q51" s="281">
        <f>SUMIFS(BV_Data_An_Prec!$AM:$AM,BV_Data_An_Prec!$AP:$AP,$B51,BV_Data_An_Prec!$AQ:$AQ,$C51,BV_Data_An_Prec!$AR:$AR,Q$2)</f>
        <v>4465.4700000000012</v>
      </c>
      <c r="R51" s="243"/>
      <c r="S51" s="266">
        <f t="shared" si="16"/>
        <v>-3243.9500000000007</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3803.1699999999983</v>
      </c>
      <c r="M52" s="243"/>
      <c r="N52" s="266" t="e">
        <f t="shared" si="10"/>
        <v>#N/A</v>
      </c>
      <c r="O52" s="243"/>
      <c r="P52" s="38"/>
      <c r="Q52" s="281">
        <f>SUMIFS(BV_Data_An_Prec!$AM:$AM,BV_Data_An_Prec!$AP:$AP,$B52,BV_Data_An_Prec!$AQ:$AQ,$C52,BV_Data_An_Prec!$AR:$AR,Q$2)</f>
        <v>36.039999999999964</v>
      </c>
      <c r="R52" s="243"/>
      <c r="S52" s="266">
        <f t="shared" si="16"/>
        <v>3767.1299999999983</v>
      </c>
      <c r="T52" s="35"/>
      <c r="U52" s="35"/>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0.25220868103252542</v>
      </c>
      <c r="L54" s="294">
        <f>+SUM(L42:L53)</f>
        <v>36692.869999999981</v>
      </c>
      <c r="M54" s="296"/>
      <c r="N54" s="294" t="e">
        <f>+SUM(N42:N53)</f>
        <v>#N/A</v>
      </c>
      <c r="O54" s="295" t="s">
        <v>115</v>
      </c>
      <c r="P54" s="293">
        <f>Q54/Q$27</f>
        <v>0.23029683049729666</v>
      </c>
      <c r="Q54" s="294">
        <f>+SUM(Q42:Q53)</f>
        <v>70529.76999999999</v>
      </c>
      <c r="R54" s="297"/>
      <c r="S54" s="294">
        <f>+SUM(S42:S53)</f>
        <v>-33836.900000000016</v>
      </c>
      <c r="T54" s="35"/>
      <c r="U54" s="35"/>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149999999999999"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5493.0900000000111</v>
      </c>
      <c r="M57" s="238"/>
      <c r="N57" s="286" t="e">
        <f t="shared" si="17"/>
        <v>#N/A</v>
      </c>
      <c r="O57" s="238"/>
      <c r="P57" s="304"/>
      <c r="Q57" s="286">
        <f>SUMIFS(BV_Data_An_Prec!$AM:$AM,BV_Data_An_Prec!$AP:$AP,$B57,BV_Data_An_Prec!$AQ:$AQ,$C57,BV_Data_An_Prec!$AR:$AR,Q$2)</f>
        <v>8310.1300000000047</v>
      </c>
      <c r="R57" s="238"/>
      <c r="S57" s="286">
        <f t="shared" si="18"/>
        <v>-2817.0399999999936</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4814.8299999999981</v>
      </c>
      <c r="M58" s="243"/>
      <c r="N58" s="266" t="e">
        <f t="shared" si="17"/>
        <v>#N/A</v>
      </c>
      <c r="O58" s="243"/>
      <c r="P58" s="38"/>
      <c r="Q58" s="266">
        <f>SUMIFS(BV_Data_An_Prec!$AM:$AM,BV_Data_An_Prec!$AP:$AP,$B58,BV_Data_An_Prec!$AQ:$AQ,$C58,BV_Data_An_Prec!$AR:$AR,Q$2)</f>
        <v>5512.4599999999991</v>
      </c>
      <c r="R58" s="243"/>
      <c r="S58" s="266">
        <f t="shared" si="18"/>
        <v>-697.63000000000102</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1084.0399999999977</v>
      </c>
      <c r="M59" s="243"/>
      <c r="N59" s="266" t="e">
        <f t="shared" si="17"/>
        <v>#N/A</v>
      </c>
      <c r="O59" s="243"/>
      <c r="P59" s="38"/>
      <c r="Q59" s="266">
        <f>SUMIFS(BV_Data_An_Prec!$AM:$AM,BV_Data_An_Prec!$AP:$AP,$B59,BV_Data_An_Prec!$AQ:$AQ,$C59,BV_Data_An_Prec!$AR:$AR,Q$2)</f>
        <v>1258.0199999999995</v>
      </c>
      <c r="R59" s="243"/>
      <c r="S59" s="266">
        <f t="shared" si="18"/>
        <v>-173.98000000000184</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672.34999999999945</v>
      </c>
      <c r="M64" s="243"/>
      <c r="N64" s="266" t="e">
        <f t="shared" si="17"/>
        <v>#N/A</v>
      </c>
      <c r="O64" s="243"/>
      <c r="P64" s="38"/>
      <c r="Q64" s="266">
        <f>SUMIFS(BV_Data_An_Prec!$AM:$AM,BV_Data_An_Prec!$AP:$AP,$B64,BV_Data_An_Prec!$AQ:$AQ,$C64,BV_Data_An_Prec!$AR:$AR,Q$2)</f>
        <v>969.77999999999975</v>
      </c>
      <c r="R64" s="243"/>
      <c r="S64" s="266">
        <f t="shared" si="18"/>
        <v>-297.43000000000029</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551.54999999999927</v>
      </c>
      <c r="M68" s="243"/>
      <c r="N68" s="658" t="e">
        <f t="shared" si="17"/>
        <v>#N/A</v>
      </c>
      <c r="O68" s="243"/>
      <c r="P68" s="38"/>
      <c r="Q68" s="266">
        <f>SUMIFS(BV_Data_An_Prec!$AM:$AM,BV_Data_An_Prec!$AP:$AP,$B68,BV_Data_An_Prec!$AQ:$AQ,$C68,BV_Data_An_Prec!$AR:$AR,Q$2)</f>
        <v>299.37999999999965</v>
      </c>
      <c r="R68" s="243"/>
      <c r="S68" s="266">
        <f t="shared" si="18"/>
        <v>252.16999999999962</v>
      </c>
      <c r="T68" s="35"/>
      <c r="X68" s="38"/>
      <c r="Y68" s="38"/>
      <c r="Z68" s="38"/>
      <c r="AA68" s="38"/>
      <c r="AB68" s="38"/>
      <c r="AC68" s="38"/>
      <c r="AD68" s="38"/>
      <c r="AE68" s="38"/>
      <c r="AF68" s="38"/>
      <c r="AG68" s="38"/>
      <c r="AH68" s="38"/>
      <c r="AI68" s="38"/>
      <c r="AJ68" s="38"/>
      <c r="AK68" s="38"/>
      <c r="AL68" s="38"/>
      <c r="AM68" s="38"/>
      <c r="AN68" s="38"/>
    </row>
    <row r="69" spans="1:40" ht="20.45"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45"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45"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0.15383732403393802</v>
      </c>
      <c r="L72" s="294">
        <f>+SUM(L55:L71)</f>
        <v>22381.200000000008</v>
      </c>
      <c r="M72" s="296"/>
      <c r="N72" s="294" t="e">
        <f>+SUM(N55:N71)</f>
        <v>#N/A</v>
      </c>
      <c r="O72" s="295" t="s">
        <v>115</v>
      </c>
      <c r="P72" s="293">
        <f>Q72/Q$27</f>
        <v>0.10252761473059761</v>
      </c>
      <c r="Q72" s="294">
        <f>+SUM(Q55:Q71)</f>
        <v>31399.69</v>
      </c>
      <c r="R72" s="297"/>
      <c r="S72" s="294">
        <f>+SUM(S55:S71)</f>
        <v>-9018.4899999999907</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0.50348978236072872</v>
      </c>
      <c r="L74" s="294">
        <f>L41+L54+L72</f>
        <v>73250.789999999994</v>
      </c>
      <c r="M74" s="296"/>
      <c r="N74" s="294" t="e">
        <f t="shared" ref="N74:N82" si="19">L74-F74</f>
        <v>#N/A</v>
      </c>
      <c r="O74" s="295" t="s">
        <v>115</v>
      </c>
      <c r="P74" s="293">
        <f>Q74/Q$27</f>
        <v>0.47825340067702271</v>
      </c>
      <c r="Q74" s="294">
        <f>Q41+Q54+Q72</f>
        <v>146467.94000000015</v>
      </c>
      <c r="R74" s="297"/>
      <c r="S74" s="294">
        <f>L74-Q74</f>
        <v>-73217.150000000154</v>
      </c>
      <c r="T74" s="35"/>
      <c r="U74" s="35"/>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5"/>
      <c r="U75" s="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0.46929575944071045</v>
      </c>
      <c r="K82" s="307">
        <f>+L82/J24</f>
        <v>328.03773584905662</v>
      </c>
      <c r="L82" s="266">
        <f>-SUMIFS(BV_Data_An_Cour!$AM:$AM,BV_Data_An_Cour!$AP:$AP,$B82,BV_Data_An_Cour!$AQ:$AQ,$C82,BV_Data_An_Cour!$AR:$AR,L$2)</f>
        <v>17386</v>
      </c>
      <c r="M82" s="243"/>
      <c r="N82" s="266" t="e">
        <f t="shared" si="19"/>
        <v>#N/A</v>
      </c>
      <c r="O82" s="744">
        <f>P82/699</f>
        <v>0</v>
      </c>
      <c r="P82" s="307">
        <f>+Q82/O24</f>
        <v>0</v>
      </c>
      <c r="Q82" s="266">
        <f>-SUMIFS(BV_Data_An_Prec!$AM:$AM,BV_Data_An_Prec!$AP:$AP,$B82,BV_Data_An_Prec!$AQ:$AQ,$C82,BV_Data_An_Prec!$AR:$AR,Q$2)</f>
        <v>0</v>
      </c>
      <c r="R82" s="243"/>
      <c r="S82" s="266">
        <f t="shared" si="20"/>
        <v>17386</v>
      </c>
      <c r="T82" s="35">
        <f>16786+600</f>
        <v>17386</v>
      </c>
      <c r="U82" s="35" t="s">
        <v>3445</v>
      </c>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52627.44</v>
      </c>
      <c r="M83" s="296"/>
      <c r="N83" s="294" t="e">
        <f>+SUM(N75:N82)</f>
        <v>#N/A</v>
      </c>
      <c r="O83" s="295"/>
      <c r="P83" s="293"/>
      <c r="Q83" s="294">
        <f>+SUM(Q75:Q82)</f>
        <v>25446.580000000016</v>
      </c>
      <c r="R83" s="297"/>
      <c r="S83" s="294">
        <f>+SUM(S75:S82)</f>
        <v>27180.859999999986</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124862.79999999933</v>
      </c>
      <c r="M85" s="958"/>
      <c r="N85" s="956" t="e">
        <f>N27-N41-N54-N72+N83</f>
        <v>#N/A</v>
      </c>
      <c r="O85" s="957"/>
      <c r="P85" s="955"/>
      <c r="Q85" s="956">
        <f>Q27-Q74+Q83</f>
        <v>185234.56999999136</v>
      </c>
      <c r="R85" s="959"/>
      <c r="S85" s="956">
        <f>S27-S41-S54-S72+S83</f>
        <v>-60371.769999992015</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2" t="s">
        <v>339</v>
      </c>
      <c r="E91" s="1277"/>
      <c r="F91" s="1278"/>
      <c r="G91" s="1279"/>
      <c r="H91" s="1277"/>
      <c r="I91" s="1278"/>
      <c r="J91" s="1279" t="s">
        <v>340</v>
      </c>
      <c r="K91" s="1277"/>
      <c r="L91" s="1278"/>
      <c r="M91" s="1279" t="s">
        <v>668</v>
      </c>
      <c r="N91" s="1278"/>
      <c r="O91" s="1272" t="s">
        <v>341</v>
      </c>
      <c r="P91" s="1277"/>
      <c r="Q91" s="1278"/>
      <c r="R91" s="1271" t="s">
        <v>670</v>
      </c>
      <c r="S91" s="1280"/>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1865363.6399999992</v>
      </c>
      <c r="M93" s="320"/>
      <c r="N93" s="321"/>
      <c r="O93" s="238"/>
      <c r="P93" s="284"/>
      <c r="Q93" s="286">
        <f>-SUMIFS(BV_Data_An_Prec!$AM:$AM,BV_Data_An_Prec!$AS:$AS,"Oui",BV_Data_An_Prec!$AP:$AP,$B93)</f>
        <v>3574806.149999998</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24</v>
      </c>
      <c r="K95" s="281">
        <f t="shared" si="21"/>
        <v>575.65166666666244</v>
      </c>
      <c r="L95" s="266">
        <f>-SUMIFS(BV_Data_An_Cour!$AM:$AM,BV_Data_An_Cour!$AP:$AP,$B95,BV_Data_An_Cour!$AQ:$AQ,$C95,BV_Data_An_Cour!$AR:$AR,$L2)</f>
        <v>13815.639999999898</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8</v>
      </c>
      <c r="S95" s="266">
        <f t="shared" si="24"/>
        <v>-3549.210000000312</v>
      </c>
      <c r="T95" s="35"/>
      <c r="U95" s="35" t="s">
        <v>3419</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252">
        <f>+J94+J95+J96</f>
        <v>24</v>
      </c>
      <c r="K97" s="305">
        <f>IF(J97&lt;=0,0,L97/J97)</f>
        <v>575.65166666666244</v>
      </c>
      <c r="L97" s="356">
        <f>+L94+L95+L96</f>
        <v>13815.639999999898</v>
      </c>
      <c r="M97" s="252" t="e">
        <f>J97-D97</f>
        <v>#N/A</v>
      </c>
      <c r="N97" s="251" t="e">
        <f>L97-F97</f>
        <v>#N/A</v>
      </c>
      <c r="O97" s="250">
        <f>+O94+O95+O96</f>
        <v>16</v>
      </c>
      <c r="P97" s="305">
        <f>IF(O97&lt;=0,0,Q97/O97)</f>
        <v>1085.3031250000131</v>
      </c>
      <c r="Q97" s="356">
        <f>+Q94+Q95+Q96</f>
        <v>17364.85000000021</v>
      </c>
      <c r="R97" s="252">
        <f>R94+R95</f>
        <v>8</v>
      </c>
      <c r="S97" s="356">
        <f>S94+S95</f>
        <v>-3549.210000000312</v>
      </c>
      <c r="T97" s="35">
        <v>24</v>
      </c>
      <c r="U97" s="1238">
        <v>13816</v>
      </c>
      <c r="V97" s="1239">
        <f>L97-U97</f>
        <v>-0.36000000010244548</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v>
      </c>
      <c r="S98" s="255">
        <f>IF(Q97=0,0,(S97/Q97))</f>
        <v>-0.20439047846657293</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245">
        <f>SUMIFS(BV_Data_An_Cour!$AW:$AW,BV_Data_An_Cour!$AP:$AP,$B101,BV_Data_An_Cour!$AQ:$AQ,$C101,BV_Data_An_Cour!$AY:$AY,J$2)</f>
        <v>35</v>
      </c>
      <c r="K101" s="281">
        <f>IF(J101=0,0,L101/J101)</f>
        <v>-476.81885714287802</v>
      </c>
      <c r="L101" s="266">
        <f>-SUMIFS(BV_Data_An_Cour!$AM:$AM,BV_Data_An_Cour!$AP:$AP,$B101,BV_Data_An_Cour!$AQ:$AQ,$C101,BV_Data_An_Cour!$AR:$AR,L$2)</f>
        <v>-16688.660000000731</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67">
        <f>J101-O101</f>
        <v>-47</v>
      </c>
      <c r="S101" s="266">
        <f>L101-Q101</f>
        <v>-20010.919999998645</v>
      </c>
      <c r="T101" s="35">
        <v>35</v>
      </c>
      <c r="U101" s="1238">
        <v>-16689</v>
      </c>
      <c r="V101" s="1239">
        <f>L101-U101</f>
        <v>0.33999999926891178</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639.08749999999998</v>
      </c>
      <c r="L103" s="266">
        <f>-SUMIFS(BV_Data_An_Cour!$AM:$AM,BV_Data_An_Cour!$AP:$AP,$B103,BV_Data_An_Cour!$AQ:$AQ,$C103,BV_Data_An_Cour!$AR:$AR,$L2)</f>
        <v>15338.099999999999</v>
      </c>
      <c r="M103" s="245"/>
      <c r="N103" s="246" t="e">
        <f>L103-F103</f>
        <v>#N/A</v>
      </c>
      <c r="O103" s="245"/>
      <c r="P103" s="281">
        <f>IF(O97=0,0,Q103/O97)</f>
        <v>458.09249999999997</v>
      </c>
      <c r="Q103" s="266">
        <f>-SUMIFS(BV_Data_An_Prec!$AM:$AM,BV_Data_An_Prec!$AP:$AP,$B103,BV_Data_An_Prec!$AQ:$AQ,$C103,BV_Data_An_Prec!$AR:$AR,$L2)</f>
        <v>7329.48</v>
      </c>
      <c r="R103" s="267">
        <f>P103-K103</f>
        <v>-180.995</v>
      </c>
      <c r="S103" s="266">
        <f t="shared" ref="S103:S105" si="29">L103-Q103</f>
        <v>8008.619999999999</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484.48208333333332</v>
      </c>
      <c r="L104" s="266">
        <f>-SUMIFS(BV_Data_An_Cour!$AM:$AM,BV_Data_An_Cour!$AP:$AP,$B104,BV_Data_An_Cour!$AQ:$AQ,$C104,BV_Data_An_Cour!$AR:$AR,$L2)</f>
        <v>11627.57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-142.28770833333334</v>
      </c>
      <c r="S104" s="266">
        <f t="shared" si="29"/>
        <v>6152.46</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1123.5695833333332</v>
      </c>
      <c r="L106" s="356">
        <f>L103+L104+L105</f>
        <v>26965.67</v>
      </c>
      <c r="M106" s="265" t="e">
        <f>J106-D106</f>
        <v>#N/A</v>
      </c>
      <c r="N106" s="251" t="e">
        <f>L106-F106</f>
        <v>#N/A</v>
      </c>
      <c r="O106" s="252">
        <f>O97</f>
        <v>16</v>
      </c>
      <c r="P106" s="355">
        <f>IF(O106&lt;=0,0,Q106/O106)</f>
        <v>800.28687500000001</v>
      </c>
      <c r="Q106" s="356">
        <f>Q103+Q104+Q105</f>
        <v>12804.59</v>
      </c>
      <c r="R106" s="357">
        <f t="shared" si="30"/>
        <v>-323.28270833333318</v>
      </c>
      <c r="S106" s="356">
        <f>L106-Q106</f>
        <v>14161.079999999998</v>
      </c>
      <c r="T106" s="35"/>
      <c r="U106" s="1238">
        <v>26966</v>
      </c>
      <c r="V106" s="1239">
        <f>L106-U106</f>
        <v>-0.33000000000174623</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1.1059377926196776</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408.34999999998587</v>
      </c>
      <c r="L109" s="271">
        <f>L97+L106+L101+L99</f>
        <v>24092.649999999165</v>
      </c>
      <c r="M109" s="272" t="e">
        <f>J109-D109</f>
        <v>#N/A</v>
      </c>
      <c r="N109" s="271" t="e">
        <f>L109-F109</f>
        <v>#N/A</v>
      </c>
      <c r="O109" s="272">
        <f>O97+O101</f>
        <v>98</v>
      </c>
      <c r="P109" s="269">
        <f>IF(O109&lt;=0,0,Q109/O109)</f>
        <v>341.75204081630733</v>
      </c>
      <c r="Q109" s="271">
        <f>Q97+Q106+Q101+Q99</f>
        <v>33491.69999999812</v>
      </c>
      <c r="R109" s="272">
        <f>J109-O109</f>
        <v>-39</v>
      </c>
      <c r="S109" s="271">
        <f>L109-Q109</f>
        <v>-9399.0499999989552</v>
      </c>
      <c r="T109" s="35"/>
      <c r="U109" s="1238">
        <f>SUM(U97:U107)</f>
        <v>24093</v>
      </c>
      <c r="V109" s="1239">
        <f>L109-U109</f>
        <v>-0.35000000083527993</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-0.28063818796894402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0.17138185418844279</v>
      </c>
      <c r="K113" s="281">
        <f>IF($J$97=0,0,L113/(J$94+J$95+J96))</f>
        <v>98.65625</v>
      </c>
      <c r="L113" s="266">
        <f>SUMIFS(BV_Data_An_Cour!$AM:$AM,BV_Data_An_Cour!$AP:$AP,$B113,BV_Data_An_Cour!$AQ:$AQ,$C113,BV_Data_An_Cour!$AR:$AR,$L$2)</f>
        <v>2367.75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-53469.440000000002</v>
      </c>
      <c r="T113" s="35"/>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0.21357637321824391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5"/>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224.73000000000005</v>
      </c>
      <c r="L118" s="266">
        <f>SUMIFS(BV_Data_An_Cour!$AM:$AM,BV_Data_An_Cour!$AP:$AP,$B118,BV_Data_An_Cour!$AQ:$AQ,$C118,BV_Data_An_Cour!$AR:$AR,$L$2)</f>
        <v>5393.5200000000013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2010.369999999999</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252.85499999999956</v>
      </c>
      <c r="L119" s="658">
        <f>SUMIFS(BV_Data_An_Cour!$AM:$AM,BV_Data_An_Cour!$AP:$AP,$B119,BV_Data_An_Cour!$AQ:$AQ,$C119,BV_Data_An_Cour!$AR:$AR,$L$2)</f>
        <v>6068.5199999999895</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-9431.8600000000151</v>
      </c>
      <c r="T119" s="35">
        <v>10069</v>
      </c>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-67.48166666666657</v>
      </c>
      <c r="L121" s="266">
        <f>SUMIFS(BV_Data_An_Cour!$AM:$AM,BV_Data_An_Cour!$AP:$AP,$B121,BV_Data_An_Cour!$AQ:$AQ,$C121,BV_Data_An_Cour!$AR:$AR,$L$2)</f>
        <v>-1619.5599999999977</v>
      </c>
      <c r="M121" s="243"/>
      <c r="N121" s="266" t="e">
        <f t="shared" si="32"/>
        <v>#N/A</v>
      </c>
      <c r="O121" s="243"/>
      <c r="P121" s="281">
        <f>IF($J$97=0,0,Q121/(O$94+O$95))</f>
        <v>0</v>
      </c>
      <c r="Q121" s="266">
        <f>SUMIFS(BV_Data_An_Prec!$AM:$AM,BV_Data_An_Prec!$AP:$AP,$B121,BV_Data_An_Prec!$AQ:$AQ,$C121,BV_Data_An_Prec!$AR:$AR,$L$2)</f>
        <v>0</v>
      </c>
      <c r="R121" s="243"/>
      <c r="S121" s="266">
        <f t="shared" si="33"/>
        <v>-1619.5599999999977</v>
      </c>
      <c r="T121" s="35">
        <v>-1620</v>
      </c>
      <c r="U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0.80088865276342225</v>
      </c>
      <c r="L123" s="294">
        <f>SUM(L113:L122)</f>
        <v>19295.529999999995</v>
      </c>
      <c r="M123" s="296"/>
      <c r="N123" s="294" t="e">
        <f t="shared" si="32"/>
        <v>#N/A</v>
      </c>
      <c r="O123" s="295" t="s">
        <v>115</v>
      </c>
      <c r="P123" s="293">
        <f>Q123/Q$109</f>
        <v>2.0544537900436195</v>
      </c>
      <c r="Q123" s="294">
        <f>SUM(Q113:Q122)</f>
        <v>68807.150000000023</v>
      </c>
      <c r="R123" s="297"/>
      <c r="S123" s="294">
        <f t="shared" si="33"/>
        <v>-49511.620000000024</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4529.9000000000015</v>
      </c>
      <c r="M124" s="243"/>
      <c r="N124" s="266" t="e">
        <f t="shared" si="32"/>
        <v>#N/A</v>
      </c>
      <c r="O124" s="243"/>
      <c r="P124" s="38"/>
      <c r="Q124" s="266">
        <f>SUMIFS(BV_Data_An_Prec!$AM:$AM,BV_Data_An_Prec!$AP:$AP,$B124,BV_Data_An_Prec!$AQ:$AQ,$C124,BV_Data_An_Prec!$AR:$AR,$L$2)</f>
        <v>22393.14</v>
      </c>
      <c r="R124" s="243"/>
      <c r="S124" s="266">
        <f t="shared" si="33"/>
        <v>-17863.239999999998</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5717.4700000000012</v>
      </c>
      <c r="M125" s="243"/>
      <c r="N125" s="266" t="e">
        <f t="shared" si="32"/>
        <v>#N/A</v>
      </c>
      <c r="O125" s="243"/>
      <c r="P125" s="38"/>
      <c r="Q125" s="266">
        <f>SUMIFS(BV_Data_An_Prec!$AM:$AM,BV_Data_An_Prec!$AP:$AP,$B125,BV_Data_An_Prec!$AQ:$AQ,$C125,BV_Data_An_Prec!$AR:$AR,$L$2)</f>
        <v>4606.1400000000031</v>
      </c>
      <c r="R125" s="243"/>
      <c r="S125" s="266">
        <f t="shared" si="33"/>
        <v>1111.3299999999981</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1820.0400000000009</v>
      </c>
      <c r="M126" s="233"/>
      <c r="N126" s="303" t="e">
        <f t="shared" si="32"/>
        <v>#N/A</v>
      </c>
      <c r="O126" s="233"/>
      <c r="P126" s="301"/>
      <c r="Q126" s="303">
        <f>SUMIFS(BV_Data_An_Prec!$AM:$AM,BV_Data_An_Prec!$AP:$AP,$B126,BV_Data_An_Prec!$AQ:$AQ,$C126,BV_Data_An_Prec!$AR:$AR,$L$2)</f>
        <v>657.71999999999935</v>
      </c>
      <c r="R126" s="233"/>
      <c r="S126" s="303">
        <f t="shared" si="33"/>
        <v>1162.3200000000015</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1439.9399999999987</v>
      </c>
      <c r="M131" s="243"/>
      <c r="N131" s="266" t="e">
        <f t="shared" si="32"/>
        <v>#N/A</v>
      </c>
      <c r="O131" s="243"/>
      <c r="P131" s="38"/>
      <c r="Q131" s="266">
        <f>SUMIFS(BV_Data_An_Prec!$AM:$AM,BV_Data_An_Prec!$AP:$AP,$B131,BV_Data_An_Prec!$AQ:$AQ,$C131,BV_Data_An_Prec!$AR:$AR,$L$2)</f>
        <v>259.63000000000102</v>
      </c>
      <c r="R131" s="243"/>
      <c r="S131" s="266">
        <f t="shared" si="33"/>
        <v>1180.3099999999977</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6141.32</v>
      </c>
      <c r="M132" s="233"/>
      <c r="N132" s="303" t="e">
        <f t="shared" si="32"/>
        <v>#N/A</v>
      </c>
      <c r="O132" s="233"/>
      <c r="P132" s="301"/>
      <c r="Q132" s="303">
        <f>SUMIFS(BV_Data_An_Prec!$AM:$AM,BV_Data_An_Prec!$AP:$AP,$B132,BV_Data_An_Prec!$AQ:$AQ,$C132,BV_Data_An_Prec!$AR:$AR,$L$2)</f>
        <v>3143.0699999999997</v>
      </c>
      <c r="R132" s="233"/>
      <c r="S132" s="303">
        <f t="shared" si="33"/>
        <v>2998.25</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599.45999999999913</v>
      </c>
      <c r="M133" s="243"/>
      <c r="N133" s="266" t="e">
        <f t="shared" si="32"/>
        <v>#N/A</v>
      </c>
      <c r="O133" s="243"/>
      <c r="P133" s="38"/>
      <c r="Q133" s="266">
        <f>SUMIFS(BV_Data_An_Prec!$AM:$AM,BV_Data_An_Prec!$AP:$AP,$B133,BV_Data_An_Prec!$AQ:$AQ,$C133,BV_Data_An_Prec!$AR:$AR,$L$2)</f>
        <v>2068.2799999999988</v>
      </c>
      <c r="R133" s="243"/>
      <c r="S133" s="266">
        <f t="shared" si="33"/>
        <v>-1468.8199999999997</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2602.66</v>
      </c>
      <c r="M134" s="243"/>
      <c r="N134" s="266" t="e">
        <f t="shared" si="32"/>
        <v>#N/A</v>
      </c>
      <c r="O134" s="243"/>
      <c r="P134" s="38"/>
      <c r="Q134" s="266">
        <f>SUMIFS(BV_Data_An_Prec!$AM:$AM,BV_Data_An_Prec!$AP:$AP,$B134,BV_Data_An_Prec!$AQ:$AQ,$C134,BV_Data_An_Prec!$AR:$AR,$L$2)</f>
        <v>12.640000000000015</v>
      </c>
      <c r="R134" s="243"/>
      <c r="S134" s="266">
        <f t="shared" si="33"/>
        <v>2590.02</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0.94845481920838071</v>
      </c>
      <c r="L136" s="294">
        <f>SUM(L124:L135)</f>
        <v>22850.79</v>
      </c>
      <c r="M136" s="296"/>
      <c r="N136" s="294" t="e">
        <f t="shared" si="32"/>
        <v>#N/A</v>
      </c>
      <c r="O136" s="295" t="s">
        <v>115</v>
      </c>
      <c r="P136" s="293">
        <f>Q136/Q$109</f>
        <v>0.98951740281926137</v>
      </c>
      <c r="Q136" s="294">
        <f>SUM(Q124:Q135)</f>
        <v>33140.619999999995</v>
      </c>
      <c r="R136" s="297"/>
      <c r="S136" s="294">
        <f t="shared" si="33"/>
        <v>-10289.829999999994</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2309.1100000000006</v>
      </c>
      <c r="M140" s="243"/>
      <c r="N140" s="266" t="e">
        <f t="shared" si="32"/>
        <v>#N/A</v>
      </c>
      <c r="O140" s="243"/>
      <c r="P140" s="38"/>
      <c r="Q140" s="266">
        <f>SUMIFS(BV_Data_An_Prec!$AM:$AM,BV_Data_An_Prec!$AP:$AP,$B140,BV_Data_An_Prec!$AQ:$AQ,$C140,BV_Data_An_Prec!$AR:$AR,$L$2)</f>
        <v>2486.8500000000004</v>
      </c>
      <c r="R140" s="243"/>
      <c r="S140" s="266">
        <f t="shared" si="33"/>
        <v>-177.73999999999978</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557.3799999999992</v>
      </c>
      <c r="M141" s="243"/>
      <c r="N141" s="266" t="e">
        <f t="shared" si="32"/>
        <v>#N/A</v>
      </c>
      <c r="O141" s="243"/>
      <c r="P141" s="38"/>
      <c r="Q141" s="266">
        <f>SUMIFS(BV_Data_An_Prec!$AM:$AM,BV_Data_An_Prec!$AP:$AP,$B141,BV_Data_An_Prec!$AQ:$AQ,$C141,BV_Data_An_Prec!$AR:$AR,$L$2)</f>
        <v>300</v>
      </c>
      <c r="R141" s="243"/>
      <c r="S141" s="266">
        <f t="shared" si="33"/>
        <v>257.3799999999992</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448.22999999999956</v>
      </c>
      <c r="M146" s="243"/>
      <c r="N146" s="266" t="e">
        <f t="shared" si="32"/>
        <v>#N/A</v>
      </c>
      <c r="O146" s="243"/>
      <c r="P146" s="38"/>
      <c r="Q146" s="266">
        <f>SUMIFS(BV_Data_An_Prec!$AM:$AM,BV_Data_An_Prec!$AP:$AP,$B146,BV_Data_An_Prec!$AQ:$AQ,$C146,BV_Data_An_Prec!$AR:$AR,$L$2)</f>
        <v>646.51999999999953</v>
      </c>
      <c r="R146" s="243"/>
      <c r="S146" s="266">
        <f t="shared" si="33"/>
        <v>-198.28999999999996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443.51999999999953</v>
      </c>
      <c r="M150" s="243"/>
      <c r="N150" s="658" t="e">
        <f t="shared" si="32"/>
        <v>#N/A</v>
      </c>
      <c r="O150" s="243"/>
      <c r="P150" s="38"/>
      <c r="Q150" s="658">
        <f>SUMIFS(BV_Data_An_Prec!$AM:$AM,BV_Data_An_Prec!$AP:$AP,$B150,BV_Data_An_Prec!$AQ:$AQ,$C150,BV_Data_An_Prec!$AR:$AR,$L$2)</f>
        <v>191.58999999999992</v>
      </c>
      <c r="R150" s="243"/>
      <c r="S150" s="266">
        <f t="shared" si="33"/>
        <v>251.92999999999961</v>
      </c>
      <c r="T150" s="9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0.44288652348331842</v>
      </c>
      <c r="L154" s="294">
        <f>+SUM(L137:L153)</f>
        <v>10670.310000000001</v>
      </c>
      <c r="M154" s="296"/>
      <c r="N154" s="294" t="e">
        <f t="shared" si="32"/>
        <v>#N/A</v>
      </c>
      <c r="O154" s="295" t="s">
        <v>115</v>
      </c>
      <c r="P154" s="293">
        <f>Q154/Q$109</f>
        <v>0.4206567597345251</v>
      </c>
      <c r="Q154" s="294">
        <f>+SUM(Q137:Q153)</f>
        <v>14088.510000000004</v>
      </c>
      <c r="R154" s="297"/>
      <c r="S154" s="294">
        <f t="shared" si="33"/>
        <v>-3418.2000000000025</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2.1922299954551212</v>
      </c>
      <c r="L156" s="294">
        <f>L123+L136+L154</f>
        <v>52816.62999999999</v>
      </c>
      <c r="M156" s="296"/>
      <c r="N156" s="294" t="e">
        <f t="shared" ref="N156:N163" si="34">L156-F156</f>
        <v>#N/A</v>
      </c>
      <c r="O156" s="295" t="s">
        <v>115</v>
      </c>
      <c r="P156" s="293">
        <f>Q156/Q$109</f>
        <v>3.464627952597406</v>
      </c>
      <c r="Q156" s="294">
        <f>Q123+Q136+Q154</f>
        <v>116036.28000000003</v>
      </c>
      <c r="R156" s="297"/>
      <c r="S156" s="294">
        <f t="shared" si="33"/>
        <v>-63219.650000000038</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1253">
        <f>14*500</f>
        <v>7000</v>
      </c>
      <c r="U160" s="35" t="s">
        <v>3444</v>
      </c>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-21599.640000000829</v>
      </c>
      <c r="M166" s="958"/>
      <c r="N166" s="956" t="e">
        <f>L166-F166</f>
        <v>#N/A</v>
      </c>
      <c r="O166" s="957"/>
      <c r="P166" s="955"/>
      <c r="Q166" s="956">
        <f>Q109-Q156+Q164</f>
        <v>-82544.580000001908</v>
      </c>
      <c r="R166" s="959"/>
      <c r="S166" s="956">
        <f t="shared" si="33"/>
        <v>60944.940000001079</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2" t="s">
        <v>339</v>
      </c>
      <c r="E171" s="1272"/>
      <c r="F171" s="1273"/>
      <c r="G171" s="1271"/>
      <c r="H171" s="1272"/>
      <c r="I171" s="1273"/>
      <c r="J171" s="1271" t="s">
        <v>340</v>
      </c>
      <c r="K171" s="1272"/>
      <c r="L171" s="1273"/>
      <c r="M171" s="1271" t="s">
        <v>668</v>
      </c>
      <c r="N171" s="1273"/>
      <c r="O171" s="1271" t="s">
        <v>341</v>
      </c>
      <c r="P171" s="1272"/>
      <c r="Q171" s="1273"/>
      <c r="R171" s="1271" t="s">
        <v>670</v>
      </c>
      <c r="S171" s="1273"/>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286">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245">
        <f>SUMIFS(BV_Data_An_Cour!$AW:$AW,BV_Data_An_Cour!$AP:$AP,$B175,BV_Data_An_Cour!$AQ:$AQ,$C175,BV_Data_An_Cour!$AY:$AY,J$2)</f>
        <v>77</v>
      </c>
      <c r="K175" s="281">
        <f t="shared" ref="K175:K179" si="35">IF(J175=0,0,L175/J175)</f>
        <v>-783.68155844156422</v>
      </c>
      <c r="L175" s="266">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v>77</v>
      </c>
      <c r="U175" s="1240">
        <v>-60343.48</v>
      </c>
      <c r="V175" s="1239">
        <f>L175-U175</f>
        <v>-4.4383341446518898E-10</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245">
        <f>SUMIFS(BV_Data_An_Cour!$AW:$AW,BV_Data_An_Cour!$AP:$AP,$B177,BV_Data_An_Cour!$AQ:$AQ,$C177,BV_Data_An_Cour!$AY:$AY,J$2)</f>
        <v>27</v>
      </c>
      <c r="K177" s="281">
        <f t="shared" si="35"/>
        <v>844.68703703699566</v>
      </c>
      <c r="L177" s="266">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27</v>
      </c>
      <c r="U177" s="1238">
        <v>22806.55</v>
      </c>
      <c r="V177" s="1239">
        <f>L177-U177</f>
        <v>-1.1168594937771559E-9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8</v>
      </c>
      <c r="K179" s="281">
        <f t="shared" si="35"/>
        <v>2704.375</v>
      </c>
      <c r="L179" s="266">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5">
        <v>8</v>
      </c>
      <c r="U179" s="1240">
        <v>21635</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5"/>
      <c r="U182" s="1238">
        <f>SUM(U175:U181)</f>
        <v>-15901.930000000008</v>
      </c>
      <c r="V182" s="1239">
        <f>L182-U182</f>
        <v>-1.5570549294352531E-9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74.110294117647058</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4.1830882352941146</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0.12867647058823528</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82.797058823529582</v>
      </c>
      <c r="L192" s="658">
        <f>SUMIFS(BV_Data_An_Cour!$AM:$AM,BV_Data_An_Cour!$AP:$AP,$B192,BV_Data_An_Cour!$AQ:$AQ,$C192,BV_Data_An_Cour!$AR:$AR,$L$2)</f>
        <v>11260.400000000023</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5097.1500000000233</v>
      </c>
      <c r="T192" s="35">
        <v>12001</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-80.49666666666667</v>
      </c>
      <c r="L194" s="266">
        <f>SUMIFS(BV_Data_An_Cour!$AM:$AM,BV_Data_An_Cour!$AP:$AP,$B194,BV_Data_An_Cour!$AQ:$AQ,$C194,BV_Data_An_Cour!$AR:$AR,$L$2)</f>
        <v>-1931.92</v>
      </c>
      <c r="M194" s="243"/>
      <c r="N194" s="266" t="e">
        <f t="shared" si="40"/>
        <v>#N/A</v>
      </c>
      <c r="O194" s="243"/>
      <c r="P194" s="281">
        <f>IF($J$97=0,0,Q194/(O$94+O$95))</f>
        <v>0</v>
      </c>
      <c r="Q194" s="246">
        <f>SUMIFS(BV_Data_An_Prec!$AM:$AM,BV_Data_An_Prec!$AP:$AP,$B194,BV_Data_An_Prec!$AQ:$AQ,$C194,BV_Data_An_Prec!$AR:$AR,$L$2)</f>
        <v>0</v>
      </c>
      <c r="R194" s="243"/>
      <c r="S194" s="266">
        <f t="shared" si="41"/>
        <v>-1931.92</v>
      </c>
      <c r="T194" s="35">
        <v>-1932</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0.82987467132095138</v>
      </c>
      <c r="L196" s="294">
        <f>SUM(L186:L195)</f>
        <v>19993.880000000026</v>
      </c>
      <c r="M196" s="296"/>
      <c r="N196" s="294" t="e">
        <f t="shared" si="40"/>
        <v>#N/A</v>
      </c>
      <c r="O196" s="295" t="s">
        <v>115</v>
      </c>
      <c r="P196" s="293">
        <f>Q196/Q$109</f>
        <v>4.4869027251530504E-2</v>
      </c>
      <c r="Q196" s="294">
        <f>SUM(Q186:Q195)</f>
        <v>1502.7399999999998</v>
      </c>
      <c r="R196" s="297"/>
      <c r="S196" s="294">
        <f t="shared" si="41"/>
        <v>18491.140000000029</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1341.7999999999884</v>
      </c>
      <c r="M197" s="243"/>
      <c r="N197" s="266" t="e">
        <f t="shared" si="40"/>
        <v>#N/A</v>
      </c>
      <c r="O197" s="243"/>
      <c r="P197" s="38"/>
      <c r="Q197" s="266">
        <f>SUMIFS(BV_Data_An_Prec!$AM:$AM,BV_Data_An_Prec!$AP:$AP,$B197,BV_Data_An_Prec!$AQ:$AQ,$C197,BV_Data_An_Prec!$AR:$AR,$L$2)</f>
        <v>1288.1200000000536</v>
      </c>
      <c r="R197" s="243"/>
      <c r="S197" s="266">
        <f t="shared" si="41"/>
        <v>53.679999999934807</v>
      </c>
      <c r="T197" s="35"/>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-8418.5999999999985</v>
      </c>
      <c r="M198" s="243"/>
      <c r="N198" s="266" t="e">
        <f t="shared" si="40"/>
        <v>#N/A</v>
      </c>
      <c r="O198" s="243"/>
      <c r="P198" s="38"/>
      <c r="Q198" s="266">
        <f>SUMIFS(BV_Data_An_Prec!$AM:$AM,BV_Data_An_Prec!$AP:$AP,$B198,BV_Data_An_Prec!$AQ:$AQ,$C198,BV_Data_An_Prec!$AR:$AR,$L$2)</f>
        <v>10049.380000000005</v>
      </c>
      <c r="R198" s="243"/>
      <c r="S198" s="266">
        <f t="shared" si="41"/>
        <v>-18467.980000000003</v>
      </c>
      <c r="T198" s="35"/>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1266.1100000000006</v>
      </c>
      <c r="M204" s="243"/>
      <c r="N204" s="266" t="e">
        <f t="shared" si="40"/>
        <v>#N/A</v>
      </c>
      <c r="O204" s="243"/>
      <c r="P204" s="38"/>
      <c r="Q204" s="266">
        <f>SUMIFS(BV_Data_An_Prec!$AM:$AM,BV_Data_An_Prec!$AP:$AP,$B204,BV_Data_An_Prec!$AQ:$AQ,$C204,BV_Data_An_Prec!$AR:$AR,$L$2)</f>
        <v>2656.8000000000029</v>
      </c>
      <c r="R204" s="243"/>
      <c r="S204" s="266">
        <f t="shared" si="41"/>
        <v>-1390.6900000000023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-107.44999999999709</v>
      </c>
      <c r="M205" s="233"/>
      <c r="N205" s="303" t="e">
        <f t="shared" si="40"/>
        <v>#N/A</v>
      </c>
      <c r="O205" s="233"/>
      <c r="P205" s="301"/>
      <c r="Q205" s="303">
        <f>SUMIFS(BV_Data_An_Prec!$AM:$AM,BV_Data_An_Prec!$AP:$AP,$B205,BV_Data_An_Prec!$AQ:$AQ,$C205,BV_Data_An_Prec!$AR:$AR,$L$2)</f>
        <v>3644.630000000001</v>
      </c>
      <c r="R205" s="233"/>
      <c r="S205" s="303">
        <f t="shared" si="41"/>
        <v>-3752.0799999999981</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568.55000000000018</v>
      </c>
      <c r="M206" s="243"/>
      <c r="N206" s="266" t="e">
        <f t="shared" si="40"/>
        <v>#N/A</v>
      </c>
      <c r="O206" s="243"/>
      <c r="P206" s="38"/>
      <c r="Q206" s="266">
        <f>SUMIFS(BV_Data_An_Prec!$AM:$AM,BV_Data_An_Prec!$AP:$AP,$B206,BV_Data_An_Prec!$AQ:$AQ,$C206,BV_Data_An_Prec!$AR:$AR,$L$2)</f>
        <v>296.78000000000065</v>
      </c>
      <c r="R206" s="243"/>
      <c r="S206" s="266">
        <f t="shared" si="41"/>
        <v>271.76999999999953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290.33000000000004</v>
      </c>
      <c r="M207" s="243"/>
      <c r="N207" s="266" t="e">
        <f t="shared" si="40"/>
        <v>#N/A</v>
      </c>
      <c r="O207" s="243"/>
      <c r="P207" s="38"/>
      <c r="Q207" s="266">
        <f>SUMIFS(BV_Data_An_Prec!$AM:$AM,BV_Data_An_Prec!$AP:$AP,$B207,BV_Data_An_Prec!$AQ:$AQ,$C207,BV_Data_An_Prec!$AR:$AR,$L$2)</f>
        <v>0</v>
      </c>
      <c r="R207" s="243"/>
      <c r="S207" s="266">
        <f t="shared" si="41"/>
        <v>290.33000000000004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-0.20999184398562143</v>
      </c>
      <c r="L209" s="294">
        <f>SUM(L197:L208)</f>
        <v>-5059.2600000000066</v>
      </c>
      <c r="M209" s="296"/>
      <c r="N209" s="294" t="e">
        <f t="shared" si="40"/>
        <v>#N/A</v>
      </c>
      <c r="O209" s="295" t="s">
        <v>115</v>
      </c>
      <c r="P209" s="293">
        <f>Q209/Q$109</f>
        <v>1.7298527694922419</v>
      </c>
      <c r="Q209" s="294">
        <f>SUM(Q197:Q208)</f>
        <v>57935.710000000065</v>
      </c>
      <c r="R209" s="297"/>
      <c r="S209" s="294">
        <f t="shared" si="41"/>
        <v>-62994.970000000074</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9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2.5931975104441445E-2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0.64581480243977152</v>
      </c>
      <c r="L229" s="294">
        <f>L196+L209+L227</f>
        <v>15559.390000000021</v>
      </c>
      <c r="M229" s="296"/>
      <c r="N229" s="294" t="e">
        <f t="shared" ref="N229:N236" si="42">L229-F229</f>
        <v>#N/A</v>
      </c>
      <c r="O229" s="295" t="s">
        <v>115</v>
      </c>
      <c r="P229" s="293">
        <f>Q229/Q$109</f>
        <v>1.778395244194932</v>
      </c>
      <c r="Q229" s="294">
        <f>Q196+Q209+Q227</f>
        <v>59561.480000000061</v>
      </c>
      <c r="R229" s="297"/>
      <c r="S229" s="294">
        <f t="shared" ref="S229:S236" si="43">L229-Q229</f>
        <v>-44002.09000000004</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-31461.320000001586</v>
      </c>
      <c r="M239" s="958"/>
      <c r="N239" s="956" t="e">
        <f>L239-F239</f>
        <v>#REF!</v>
      </c>
      <c r="O239" s="957"/>
      <c r="P239" s="955"/>
      <c r="Q239" s="956">
        <f>Q182-Q229+Q237</f>
        <v>10748.989999999678</v>
      </c>
      <c r="R239" s="959"/>
      <c r="S239" s="956">
        <f>L239-Q239</f>
        <v>-42210.310000001264</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2" t="s">
        <v>339</v>
      </c>
      <c r="E244" s="1277"/>
      <c r="F244" s="1278"/>
      <c r="G244" s="1279"/>
      <c r="H244" s="1277"/>
      <c r="I244" s="1278"/>
      <c r="J244" s="1279" t="s">
        <v>340</v>
      </c>
      <c r="K244" s="1277"/>
      <c r="L244" s="1278"/>
      <c r="M244" s="1279" t="s">
        <v>668</v>
      </c>
      <c r="N244" s="1278"/>
      <c r="O244" s="1272" t="s">
        <v>341</v>
      </c>
      <c r="P244" s="1277"/>
      <c r="Q244" s="1278"/>
      <c r="R244" s="1271" t="s">
        <v>670</v>
      </c>
      <c r="S244" s="1280"/>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29770.659999999993</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-38834.929999999935</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0.68079216198515236</v>
      </c>
      <c r="M247" s="282"/>
      <c r="N247" s="266"/>
      <c r="O247" s="267"/>
      <c r="P247" s="38"/>
      <c r="Q247" s="332">
        <f>IF(Q246=0,0,Q246/P246)</f>
        <v>0.80781864700930683</v>
      </c>
      <c r="R247" s="267"/>
      <c r="S247" s="332">
        <f>IF(Q246=0,0,(S246/Q246))</f>
        <v>-0.56606072478933533</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t="s">
        <v>3421</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-5394.6400000000012</v>
      </c>
      <c r="M258" s="267"/>
      <c r="N258" s="266" t="e">
        <f>L258-F258</f>
        <v>#N/A</v>
      </c>
      <c r="O258" s="267"/>
      <c r="P258" s="281"/>
      <c r="Q258" s="281">
        <f>-SUMIFS(BV_Data_An_Prec!$AM:$AM,BV_Data_An_Prec!$AP:$AP,$B258,BV_Data_An_Prec!$AQ:$AQ,$C258,BV_Data_An_Prec!$AR:$AR,$L$2)</f>
        <v>1303.8599999999969</v>
      </c>
      <c r="R258" s="345"/>
      <c r="S258" s="266">
        <f t="shared" ref="S258:S259" si="44">L258-Q258</f>
        <v>-6698.4999999999982</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110128.83999999995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-29867.229999999996</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0.6578481943002854</v>
      </c>
      <c r="M260" s="977"/>
      <c r="N260" s="979" t="e">
        <f>N259/F259</f>
        <v>#N/A</v>
      </c>
      <c r="O260" s="977"/>
      <c r="P260" s="978">
        <f>IF(O259=0,0,P259/O259)</f>
        <v>216.93143187066968</v>
      </c>
      <c r="Q260" s="255">
        <f>IF(Q259=0,0,Q259/P259)</f>
        <v>0.74520450103378733</v>
      </c>
      <c r="R260" s="354"/>
      <c r="S260" s="255">
        <f>S259/Q259</f>
        <v>-0.21334334599535548</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112297.87999999996</v>
      </c>
      <c r="M268" s="272" t="e">
        <f>L269-F269</f>
        <v>#N/A</v>
      </c>
      <c r="N268" s="271" t="e">
        <f>L268-F268</f>
        <v>#N/A</v>
      </c>
      <c r="O268" s="272"/>
      <c r="P268" s="269">
        <f t="shared" ref="P268" si="48">P259+P262+P265</f>
        <v>215150.84999999998</v>
      </c>
      <c r="Q268" s="271">
        <f>Q259+Q262+Q265</f>
        <v>144346.68</v>
      </c>
      <c r="R268" s="272"/>
      <c r="S268" s="271">
        <f>L268-Q268</f>
        <v>-32048.800000000032</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0.60083752875299945</v>
      </c>
      <c r="M269" s="276"/>
      <c r="N269" s="277" t="e">
        <f>N268/F268</f>
        <v>#N/A</v>
      </c>
      <c r="O269" s="273"/>
      <c r="P269" s="945"/>
      <c r="Q269" s="326">
        <f>Q268/P268</f>
        <v>0.67090917837415009</v>
      </c>
      <c r="R269" s="276"/>
      <c r="S269" s="326">
        <f>L268/S268</f>
        <v>-3.5039652030653206</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5764.1000000000058</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-10361.149999999987</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6348.109999999986</v>
      </c>
      <c r="M273" s="243"/>
      <c r="N273" s="266" t="e">
        <f t="shared" si="49"/>
        <v>#N/A</v>
      </c>
      <c r="O273" s="243"/>
      <c r="P273" s="38"/>
      <c r="Q273" s="266">
        <f>SUMIFS(BV_Data_An_Prec!$AM:$AM,BV_Data_An_Prec!$AP:$AP,$B273,BV_Data_An_Prec!$AQ:$AQ,$C273,BV_Data_An_Prec!$AR:$AR,$L$2)</f>
        <v>23476.550000000017</v>
      </c>
      <c r="R273" s="243"/>
      <c r="S273" s="266">
        <f t="shared" si="50"/>
        <v>-17128.440000000031</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11770.770000000004</v>
      </c>
      <c r="M274" s="233"/>
      <c r="N274" s="303" t="e">
        <f t="shared" si="49"/>
        <v>#N/A</v>
      </c>
      <c r="O274" s="233"/>
      <c r="P274" s="301"/>
      <c r="Q274" s="303">
        <f>SUMIFS(BV_Data_An_Prec!$AM:$AM,BV_Data_An_Prec!$AP:$AP,$B274,BV_Data_An_Prec!$AQ:$AQ,$C274,BV_Data_An_Prec!$AR:$AR,$L$2)</f>
        <v>27417.919999999984</v>
      </c>
      <c r="R274" s="233"/>
      <c r="S274" s="303">
        <f t="shared" si="50"/>
        <v>-15647.14999999998</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9149.14</v>
      </c>
      <c r="M275" s="243"/>
      <c r="N275" s="266" t="e">
        <f t="shared" si="49"/>
        <v>#N/A</v>
      </c>
      <c r="O275" s="243"/>
      <c r="P275" s="745"/>
      <c r="Q275" s="266">
        <f>SUMIFS(BV_Data_An_Prec!$AM:$AM,BV_Data_An_Prec!$AP:$AP,$B275,BV_Data_An_Prec!$AQ:$AQ,$C275,BV_Data_An_Prec!$AR:$AR,$L$2)</f>
        <v>0</v>
      </c>
      <c r="R275" s="243"/>
      <c r="S275" s="266">
        <f t="shared" si="50"/>
        <v>9149.14</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7311.5</v>
      </c>
      <c r="M279" s="243"/>
      <c r="N279" s="266" t="e">
        <f t="shared" si="49"/>
        <v>#N/A</v>
      </c>
      <c r="O279" s="243"/>
      <c r="P279" s="38"/>
      <c r="Q279" s="266">
        <f>SUMIFS(BV_Data_An_Prec!$AM:$AM,BV_Data_An_Prec!$AP:$AP,$B279,BV_Data_An_Prec!$AQ:$AQ,$C279,BV_Data_An_Prec!$AR:$AR,$L$2)</f>
        <v>6063.6399999999994</v>
      </c>
      <c r="R279" s="243"/>
      <c r="S279" s="266">
        <f t="shared" si="50"/>
        <v>1247.8600000000006</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18011.47</v>
      </c>
      <c r="M280" s="233"/>
      <c r="N280" s="303" t="e">
        <f t="shared" si="49"/>
        <v>#N/A</v>
      </c>
      <c r="O280" s="233"/>
      <c r="P280" s="301"/>
      <c r="Q280" s="303">
        <f>SUMIFS(BV_Data_An_Prec!$AM:$AM,BV_Data_An_Prec!$AP:$AP,$B280,BV_Data_An_Prec!$AQ:$AQ,$C280,BV_Data_An_Prec!$AR:$AR,$L$2)</f>
        <v>16394.299999999988</v>
      </c>
      <c r="R280" s="233"/>
      <c r="S280" s="303">
        <f t="shared" si="50"/>
        <v>1617.1700000000128</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2533.0500000000029</v>
      </c>
      <c r="M281" s="243"/>
      <c r="N281" s="266" t="e">
        <f t="shared" si="49"/>
        <v>#N/A</v>
      </c>
      <c r="O281" s="243"/>
      <c r="P281" s="38"/>
      <c r="Q281" s="266">
        <f>SUMIFS(BV_Data_An_Prec!$AM:$AM,BV_Data_An_Prec!$AP:$AP,$B281,BV_Data_An_Prec!$AQ:$AQ,$C281,BV_Data_An_Prec!$AR:$AR,$L$2)</f>
        <v>10201.849999999991</v>
      </c>
      <c r="R281" s="243"/>
      <c r="S281" s="266">
        <f t="shared" si="50"/>
        <v>-7668.7999999999884</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4646.7799999999988</v>
      </c>
      <c r="M282" s="243"/>
      <c r="N282" s="266" t="e">
        <f t="shared" si="49"/>
        <v>#N/A</v>
      </c>
      <c r="O282" s="243"/>
      <c r="P282" s="38"/>
      <c r="Q282" s="266">
        <f>SUMIFS(BV_Data_An_Prec!$AM:$AM,BV_Data_An_Prec!$AP:$AP,$B282,BV_Data_An_Prec!$AQ:$AQ,$C282,BV_Data_An_Prec!$AR:$AR,$L$2)</f>
        <v>828.33000000000084</v>
      </c>
      <c r="R282" s="243"/>
      <c r="S282" s="266">
        <f t="shared" si="50"/>
        <v>3818.449999999998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0.58358109698954264</v>
      </c>
      <c r="L284" s="294">
        <f>+SUM(L272:L283)</f>
        <v>65534.92</v>
      </c>
      <c r="M284" s="296"/>
      <c r="N284" s="294" t="e">
        <f t="shared" si="49"/>
        <v>#N/A</v>
      </c>
      <c r="O284" s="295" t="s">
        <v>171</v>
      </c>
      <c r="P284" s="293">
        <f>Q284/Q$268</f>
        <v>0.6962947814248307</v>
      </c>
      <c r="Q284" s="294">
        <f>+SUM(Q272:Q283)</f>
        <v>100507.83999999998</v>
      </c>
      <c r="R284" s="297"/>
      <c r="S284" s="294">
        <f t="shared" si="50"/>
        <v>-34972.919999999984</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3118.8300000000017</v>
      </c>
      <c r="M288" s="243"/>
      <c r="N288" s="266" t="e">
        <f t="shared" si="49"/>
        <v>#N/A</v>
      </c>
      <c r="O288" s="243"/>
      <c r="P288" s="38"/>
      <c r="Q288" s="303">
        <f>SUMIFS(BV_Data_An_Prec!$AM:$AM,BV_Data_An_Prec!$AP:$AP,$B288,BV_Data_An_Prec!$AQ:$AQ,$C288,BV_Data_An_Prec!$AR:$AR,$L$2)</f>
        <v>2846.3300000000017</v>
      </c>
      <c r="R288" s="243"/>
      <c r="S288" s="266">
        <f t="shared" si="50"/>
        <v>272.5</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836.06999999999971</v>
      </c>
      <c r="M289" s="243"/>
      <c r="N289" s="266" t="e">
        <f t="shared" si="49"/>
        <v>#N/A</v>
      </c>
      <c r="O289" s="243"/>
      <c r="P289" s="38"/>
      <c r="Q289" s="266">
        <f>SUMIFS(BV_Data_An_Prec!$AM:$AM,BV_Data_An_Prec!$AP:$AP,$B289,BV_Data_An_Prec!$AQ:$AQ,$C289,BV_Data_An_Prec!$AR:$AR,$L$2)</f>
        <v>480.54</v>
      </c>
      <c r="R289" s="243"/>
      <c r="S289" s="266">
        <f t="shared" si="50"/>
        <v>355.52999999999969</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1307.99</v>
      </c>
      <c r="M293" s="243"/>
      <c r="N293" s="266" t="e">
        <f t="shared" si="49"/>
        <v>#N/A</v>
      </c>
      <c r="O293" s="243"/>
      <c r="P293" s="38"/>
      <c r="Q293" s="266">
        <f>SUMIFS(BV_Data_An_Prec!$AM:$AM,BV_Data_An_Prec!$AP:$AP,$B293,BV_Data_An_Prec!$AQ:$AQ,$C293,BV_Data_An_Prec!$AR:$AR,$L$2)</f>
        <v>0</v>
      </c>
      <c r="R293" s="243"/>
      <c r="S293" s="266">
        <f t="shared" si="50"/>
        <v>1307.99</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727.34999999999991</v>
      </c>
      <c r="M295" s="243"/>
      <c r="N295" s="266" t="e">
        <f t="shared" si="49"/>
        <v>#N/A</v>
      </c>
      <c r="O295" s="243"/>
      <c r="P295" s="38"/>
      <c r="Q295" s="266">
        <f>SUMIFS(BV_Data_An_Prec!$AM:$AM,BV_Data_An_Prec!$AP:$AP,$B295,BV_Data_An_Prec!$AQ:$AQ,$C295,BV_Data_An_Prec!$AR:$AR,$L$2)</f>
        <v>1024.7799999999997</v>
      </c>
      <c r="R295" s="243"/>
      <c r="S295" s="266">
        <f t="shared" si="50"/>
        <v>-297.42999999999984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552.35000000000036</v>
      </c>
      <c r="M299" s="243"/>
      <c r="N299" s="266" t="e">
        <f t="shared" si="49"/>
        <v>#N/A</v>
      </c>
      <c r="O299" s="243"/>
      <c r="P299" s="38"/>
      <c r="Q299" s="266">
        <f>SUMIFS(BV_Data_An_Prec!$AM:$AM,BV_Data_An_Prec!$AP:$AP,$B299,BV_Data_An_Prec!$AQ:$AQ,$C299,BV_Data_An_Prec!$AR:$AR,$L$2)</f>
        <v>312.42999999999984</v>
      </c>
      <c r="R299" s="243"/>
      <c r="S299" s="266">
        <f t="shared" si="50"/>
        <v>239.92000000000053</v>
      </c>
      <c r="T299" s="35"/>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0.33665773565805535</v>
      </c>
      <c r="L303" s="294">
        <f>+SUM(L285:L302)</f>
        <v>37805.950000000004</v>
      </c>
      <c r="M303" s="296"/>
      <c r="N303" s="294" t="e">
        <f t="shared" si="49"/>
        <v>#N/A</v>
      </c>
      <c r="O303" s="295" t="s">
        <v>171</v>
      </c>
      <c r="P303" s="293">
        <f>Q303/Q$268</f>
        <v>9.5839405520099202E-2</v>
      </c>
      <c r="Q303" s="294">
        <f>+SUM(Q285:Q302)</f>
        <v>13834.099999999993</v>
      </c>
      <c r="R303" s="297"/>
      <c r="S303" s="294">
        <f t="shared" si="50"/>
        <v>23971.850000000013</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0.92023883264759787</v>
      </c>
      <c r="L305" s="294">
        <f>L284+L303</f>
        <v>103340.87</v>
      </c>
      <c r="M305" s="296"/>
      <c r="N305" s="294" t="e">
        <f>L305-F305</f>
        <v>#N/A</v>
      </c>
      <c r="O305" s="295" t="s">
        <v>115</v>
      </c>
      <c r="P305" s="293">
        <f>Q305/Q$268</f>
        <v>0.79213418694492999</v>
      </c>
      <c r="Q305" s="294">
        <f>Q284+Q303</f>
        <v>114341.93999999997</v>
      </c>
      <c r="R305" s="297"/>
      <c r="S305" s="294">
        <f>L305-Q305</f>
        <v>-11001.069999999978</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8957.0099999999657</v>
      </c>
      <c r="M307" s="958"/>
      <c r="N307" s="956" t="e">
        <f>L307-F307</f>
        <v>#N/A</v>
      </c>
      <c r="O307" s="957"/>
      <c r="P307" s="955"/>
      <c r="Q307" s="956">
        <f>Q268-Q305</f>
        <v>30004.74000000002</v>
      </c>
      <c r="R307" s="959"/>
      <c r="S307" s="956">
        <f>L307-Q307</f>
        <v>-21047.730000000054</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2" t="s">
        <v>339</v>
      </c>
      <c r="E312" s="1277"/>
      <c r="F312" s="1278"/>
      <c r="G312" s="1279"/>
      <c r="H312" s="1277"/>
      <c r="I312" s="1278"/>
      <c r="J312" s="1279" t="s">
        <v>340</v>
      </c>
      <c r="K312" s="1277"/>
      <c r="L312" s="1278"/>
      <c r="M312" s="1279" t="s">
        <v>668</v>
      </c>
      <c r="N312" s="1278"/>
      <c r="O312" s="1272" t="s">
        <v>341</v>
      </c>
      <c r="P312" s="1277"/>
      <c r="Q312" s="1278"/>
      <c r="R312" s="1271" t="s">
        <v>670</v>
      </c>
      <c r="S312" s="1280"/>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41878.92</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-28451.429999999978</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0.45115875811363371</v>
      </c>
      <c r="M316" s="282"/>
      <c r="N316" s="266">
        <f>IFERROR(N315/M315,0)</f>
        <v>0</v>
      </c>
      <c r="O316" s="267"/>
      <c r="P316" s="38"/>
      <c r="Q316" s="332">
        <f>IFERROR(Q315/P315,0)</f>
        <v>0.40992524744603781</v>
      </c>
      <c r="R316" s="267"/>
      <c r="S316" s="332">
        <f>IF(Q315=0,0,(S315/Q315))</f>
        <v>-0.40453986081400117</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-1510.869999999999</v>
      </c>
      <c r="M324" s="928"/>
      <c r="N324" s="929"/>
      <c r="O324" s="681"/>
      <c r="P324" s="38"/>
      <c r="Q324" s="266">
        <f>-SUMIFS(BV_Data_An_Prec!$AM:$AM,BV_Data_An_Prec!$AP:$AP,$B324,BV_Data_An_Prec!$AQ:$AQ,$C324,BV_Data_An_Prec!$AR:$AR,$L$2)</f>
        <v>4423.45</v>
      </c>
      <c r="R324" s="282">
        <f>IF(O324=0,0,J324/O324)</f>
        <v>0</v>
      </c>
      <c r="S324" s="266">
        <f>L324-Q324</f>
        <v>-5934.3199999999988</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62886.059999999983</v>
      </c>
      <c r="M326" s="272" t="e">
        <f>L327-F327</f>
        <v>#N/A</v>
      </c>
      <c r="N326" s="271" t="e">
        <f>L326-F326</f>
        <v>#N/A</v>
      </c>
      <c r="O326" s="272"/>
      <c r="P326" s="269">
        <f t="shared" ref="P326" si="52">P318+P321+P315</f>
        <v>177711.16</v>
      </c>
      <c r="Q326" s="271">
        <f>Q318+Q321+Q315+Q324</f>
        <v>88965.239999999976</v>
      </c>
      <c r="R326" s="272"/>
      <c r="S326" s="271">
        <f>L326-Q326</f>
        <v>-26079.179999999993</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0.48075987601443509</v>
      </c>
      <c r="M327" s="276"/>
      <c r="N327" s="277" t="e">
        <f>N326/F326</f>
        <v>#N/A</v>
      </c>
      <c r="O327" s="273"/>
      <c r="P327" s="945"/>
      <c r="Q327" s="326">
        <f>Q326/P326</f>
        <v>0.50061706873108014</v>
      </c>
      <c r="R327" s="276"/>
      <c r="S327" s="326">
        <f>S326/Q326</f>
        <v>-0.29313898327031995</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14505.379999999997</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2140.2900000000009</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6524.5199999999968</v>
      </c>
      <c r="M331" s="243"/>
      <c r="N331" s="266" t="e">
        <f t="shared" si="53"/>
        <v>#N/A</v>
      </c>
      <c r="O331" s="243"/>
      <c r="P331" s="38"/>
      <c r="Q331" s="266">
        <f>SUMIFS(BV_Data_An_Prec!$AM:$AM,BV_Data_An_Prec!$AP:$AP,$B331,BV_Data_An_Prec!$AQ:$AQ,$C331,BV_Data_An_Prec!$AR:$AR,$L$2)</f>
        <v>6518.8700000000026</v>
      </c>
      <c r="R331" s="243"/>
      <c r="S331" s="266">
        <f t="shared" si="54"/>
        <v>5.6499999999941792</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374.27</v>
      </c>
      <c r="M332" s="233"/>
      <c r="N332" s="303" t="e">
        <f t="shared" si="53"/>
        <v>#N/A</v>
      </c>
      <c r="O332" s="233"/>
      <c r="P332" s="301"/>
      <c r="Q332" s="303">
        <f>SUMIFS(BV_Data_An_Prec!$AM:$AM,BV_Data_An_Prec!$AP:$AP,$B332,BV_Data_An_Prec!$AQ:$AQ,$C332,BV_Data_An_Prec!$AR:$AR,$L$2)</f>
        <v>0</v>
      </c>
      <c r="R332" s="233"/>
      <c r="S332" s="303">
        <f t="shared" si="54"/>
        <v>374.27</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3258.0600000000013</v>
      </c>
      <c r="M337" s="243"/>
      <c r="N337" s="266" t="e">
        <f t="shared" si="53"/>
        <v>#N/A</v>
      </c>
      <c r="O337" s="243"/>
      <c r="P337" s="38"/>
      <c r="Q337" s="266">
        <f>SUMIFS(BV_Data_An_Prec!$AM:$AM,BV_Data_An_Prec!$AP:$AP,$B337,BV_Data_An_Prec!$AQ:$AQ,$C337,BV_Data_An_Prec!$AR:$AR,$L$2)</f>
        <v>1160.2599999999984</v>
      </c>
      <c r="R337" s="243"/>
      <c r="S337" s="266">
        <f t="shared" si="54"/>
        <v>2097.8000000000029</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5736.760000000002</v>
      </c>
      <c r="M338" s="233"/>
      <c r="N338" s="303" t="e">
        <f t="shared" si="53"/>
        <v>#N/A</v>
      </c>
      <c r="O338" s="233"/>
      <c r="P338" s="301"/>
      <c r="Q338" s="303">
        <f>SUMIFS(BV_Data_An_Prec!$AM:$AM,BV_Data_An_Prec!$AP:$AP,$B338,BV_Data_An_Prec!$AQ:$AQ,$C338,BV_Data_An_Prec!$AR:$AR,$L$2)</f>
        <v>4550.2700000000004</v>
      </c>
      <c r="R338" s="233"/>
      <c r="S338" s="303">
        <f t="shared" si="54"/>
        <v>1186.4900000000016</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663.1299999999992</v>
      </c>
      <c r="M339" s="243"/>
      <c r="N339" s="266" t="e">
        <f t="shared" si="53"/>
        <v>#N/A</v>
      </c>
      <c r="O339" s="243"/>
      <c r="P339" s="38"/>
      <c r="Q339" s="266">
        <f>SUMIFS(BV_Data_An_Prec!$AM:$AM,BV_Data_An_Prec!$AP:$AP,$B339,BV_Data_An_Prec!$AQ:$AQ,$C339,BV_Data_An_Prec!$AR:$AR,$L$2)</f>
        <v>2780.4700000000012</v>
      </c>
      <c r="R339" s="243"/>
      <c r="S339" s="266">
        <f t="shared" si="54"/>
        <v>-2117.340000000002</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1655.21</v>
      </c>
      <c r="M340" s="243"/>
      <c r="N340" s="266" t="e">
        <f t="shared" si="53"/>
        <v>#N/A</v>
      </c>
      <c r="O340" s="243"/>
      <c r="P340" s="38"/>
      <c r="Q340" s="266">
        <f>SUMIFS(BV_Data_An_Prec!$AM:$AM,BV_Data_An_Prec!$AP:$AP,$B340,BV_Data_An_Prec!$AQ:$AQ,$C340,BV_Data_An_Prec!$AR:$AR,$L$2)</f>
        <v>34.680000000000007</v>
      </c>
      <c r="R340" s="243"/>
      <c r="S340" s="266">
        <f t="shared" si="54"/>
        <v>1620.53</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0.52026363235349782</v>
      </c>
      <c r="L342" s="294">
        <f>+SUM(L330:L341)</f>
        <v>32717.329999999994</v>
      </c>
      <c r="M342" s="296"/>
      <c r="N342" s="294" t="e">
        <f t="shared" si="53"/>
        <v>#N/A</v>
      </c>
      <c r="O342" s="295" t="s">
        <v>115</v>
      </c>
      <c r="P342" s="293">
        <f>IF(Q326=0,0,Q342/Q$326)</f>
        <v>0.30809381281947879</v>
      </c>
      <c r="Q342" s="294">
        <f>+SUM(Q330:Q341)</f>
        <v>27409.64</v>
      </c>
      <c r="R342" s="297"/>
      <c r="S342" s="294">
        <f t="shared" si="54"/>
        <v>5307.6899999999951</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4636.6499999999996</v>
      </c>
      <c r="M345" s="238"/>
      <c r="N345" s="286" t="e">
        <f t="shared" si="53"/>
        <v>#N/A</v>
      </c>
      <c r="O345" s="238"/>
      <c r="P345" s="304"/>
      <c r="Q345" s="266">
        <f>SUMIFS(BV_Data_An_Prec!$AM:$AM,BV_Data_An_Prec!$AP:$AP,$B345,BV_Data_An_Prec!$AQ:$AQ,$C345,BV_Data_An_Prec!$AR:$AR,$L$2)</f>
        <v>-3839.2400000000007</v>
      </c>
      <c r="R345" s="238"/>
      <c r="S345" s="286">
        <f t="shared" si="54"/>
        <v>8475.89</v>
      </c>
      <c r="T345" s="35"/>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1879.2800000000025</v>
      </c>
      <c r="M346" s="243"/>
      <c r="N346" s="266" t="e">
        <f t="shared" si="53"/>
        <v>#N/A</v>
      </c>
      <c r="O346" s="243"/>
      <c r="P346" s="38"/>
      <c r="Q346" s="303">
        <f>SUMIFS(BV_Data_An_Prec!$AM:$AM,BV_Data_An_Prec!$AP:$AP,$B346,BV_Data_An_Prec!$AQ:$AQ,$C346,BV_Data_An_Prec!$AR:$AR,$L$2)</f>
        <v>1609.2700000000004</v>
      </c>
      <c r="R346" s="243"/>
      <c r="S346" s="266">
        <f t="shared" si="54"/>
        <v>270.01000000000204</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278.69000000000051</v>
      </c>
      <c r="M347" s="243"/>
      <c r="N347" s="266" t="e">
        <f t="shared" si="53"/>
        <v>#N/A</v>
      </c>
      <c r="O347" s="243"/>
      <c r="P347" s="38"/>
      <c r="Q347" s="266">
        <f>SUMIFS(BV_Data_An_Prec!$AM:$AM,BV_Data_An_Prec!$AP:$AP,$B347,BV_Data_An_Prec!$AQ:$AQ,$C347,BV_Data_An_Prec!$AR:$AR,$L$2)</f>
        <v>150</v>
      </c>
      <c r="R347" s="243"/>
      <c r="S347" s="266">
        <f t="shared" si="54"/>
        <v>128.69000000000051</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6492.9900000000052</v>
      </c>
      <c r="M350" s="243"/>
      <c r="N350" s="266" t="e">
        <f t="shared" si="53"/>
        <v>#N/A</v>
      </c>
      <c r="O350" s="243"/>
      <c r="P350" s="38"/>
      <c r="Q350" s="266">
        <f>SUMIFS(BV_Data_An_Prec!$AM:$AM,BV_Data_An_Prec!$AP:$AP,$B350,BV_Data_An_Prec!$AQ:$AQ,$C350,BV_Data_An_Prec!$AR:$AR,$L$2)</f>
        <v>5904.1499999999978</v>
      </c>
      <c r="R350" s="243"/>
      <c r="S350" s="266">
        <f t="shared" si="54"/>
        <v>588.84000000000742</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438.31</v>
      </c>
      <c r="M351" s="243"/>
      <c r="N351" s="266" t="e">
        <f t="shared" si="53"/>
        <v>#N/A</v>
      </c>
      <c r="O351" s="243"/>
      <c r="P351" s="38"/>
      <c r="Q351" s="266">
        <f>SUMIFS(BV_Data_An_Prec!$AM:$AM,BV_Data_An_Prec!$AP:$AP,$B351,BV_Data_An_Prec!$AQ:$AQ,$C351,BV_Data_An_Prec!$AR:$AR,$L$2)</f>
        <v>0</v>
      </c>
      <c r="R351" s="243"/>
      <c r="S351" s="266">
        <f t="shared" si="54"/>
        <v>438.31</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224.12000000000012</v>
      </c>
      <c r="M353" s="243"/>
      <c r="N353" s="266" t="e">
        <f t="shared" si="53"/>
        <v>#N/A</v>
      </c>
      <c r="O353" s="243"/>
      <c r="P353" s="38"/>
      <c r="Q353" s="266">
        <f>SUMIFS(BV_Data_An_Prec!$AM:$AM,BV_Data_An_Prec!$AP:$AP,$B353,BV_Data_An_Prec!$AQ:$AQ,$C353,BV_Data_An_Prec!$AR:$AR,$L$2)</f>
        <v>323.25</v>
      </c>
      <c r="R353" s="243"/>
      <c r="S353" s="266">
        <f t="shared" si="54"/>
        <v>-99.129999999999882</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178.01999999999998</v>
      </c>
      <c r="M357" s="243"/>
      <c r="N357" s="266" t="e">
        <f t="shared" si="53"/>
        <v>#N/A</v>
      </c>
      <c r="O357" s="243"/>
      <c r="P357" s="38"/>
      <c r="Q357" s="266">
        <f>SUMIFS(BV_Data_An_Prec!$AM:$AM,BV_Data_An_Prec!$AP:$AP,$B357,BV_Data_An_Prec!$AQ:$AQ,$C357,BV_Data_An_Prec!$AR:$AR,$L$2)</f>
        <v>95.789999999999964</v>
      </c>
      <c r="R357" s="243"/>
      <c r="S357" s="266">
        <f t="shared" si="54"/>
        <v>82.230000000000018</v>
      </c>
      <c r="T357" s="35"/>
      <c r="X357" s="38"/>
      <c r="Y357" s="38"/>
      <c r="Z357" s="38"/>
      <c r="AA357" s="38"/>
      <c r="AB357" s="38"/>
      <c r="AC357" s="38"/>
      <c r="AD357" s="38"/>
      <c r="AE357" s="38"/>
      <c r="AF357" s="38"/>
      <c r="AG357" s="38"/>
      <c r="AH357" s="38"/>
      <c r="AI357" s="38"/>
      <c r="AJ357" s="38"/>
      <c r="AK357" s="38"/>
      <c r="AL357" s="38"/>
      <c r="AM357" s="38"/>
      <c r="AN357" s="38"/>
    </row>
    <row r="358" spans="1:40" ht="20.45"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5"/>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0.34705306708672812</v>
      </c>
      <c r="L361" s="294">
        <f>+SUM(L343:L360)</f>
        <v>21824.800000000003</v>
      </c>
      <c r="M361" s="296"/>
      <c r="N361" s="294" t="e">
        <f>+SUM(N343:N360)</f>
        <v>#N/A</v>
      </c>
      <c r="O361" s="295" t="s">
        <v>115</v>
      </c>
      <c r="P361" s="293">
        <f>Q361/Q$326</f>
        <v>0.123060197443406</v>
      </c>
      <c r="Q361" s="294">
        <f>+SUM(Q343:Q360)</f>
        <v>10948.079999999998</v>
      </c>
      <c r="R361" s="297"/>
      <c r="S361" s="294">
        <f t="shared" si="54"/>
        <v>10876.720000000005</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0.86731669944022594</v>
      </c>
      <c r="L363" s="294">
        <f>L342+L361</f>
        <v>54542.13</v>
      </c>
      <c r="M363" s="296"/>
      <c r="N363" s="294" t="e">
        <f>L363-F363</f>
        <v>#N/A</v>
      </c>
      <c r="O363" s="295" t="s">
        <v>115</v>
      </c>
      <c r="P363" s="293">
        <f>Q363/Q$326</f>
        <v>0.4311540102628848</v>
      </c>
      <c r="Q363" s="294">
        <f>Q342+Q361</f>
        <v>38357.72</v>
      </c>
      <c r="R363" s="297"/>
      <c r="S363" s="294">
        <f>L363-Q363</f>
        <v>16184.409999999996</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8343.9299999999857</v>
      </c>
      <c r="M365" s="958"/>
      <c r="N365" s="956" t="e">
        <f>L365-F365</f>
        <v>#N/A</v>
      </c>
      <c r="O365" s="957"/>
      <c r="P365" s="955"/>
      <c r="Q365" s="956">
        <f>Q326-Q363</f>
        <v>50607.519999999975</v>
      </c>
      <c r="R365" s="959"/>
      <c r="S365" s="956">
        <f>L365-Q365</f>
        <v>-42263.589999999989</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2" t="s">
        <v>339</v>
      </c>
      <c r="E369" s="1277"/>
      <c r="F369" s="1278"/>
      <c r="G369" s="1279"/>
      <c r="H369" s="1277"/>
      <c r="I369" s="1278"/>
      <c r="J369" s="1279" t="s">
        <v>340</v>
      </c>
      <c r="K369" s="1277"/>
      <c r="L369" s="1278"/>
      <c r="M369" s="1279" t="s">
        <v>668</v>
      </c>
      <c r="N369" s="1278"/>
      <c r="O369" s="1272" t="s">
        <v>341</v>
      </c>
      <c r="P369" s="1277"/>
      <c r="Q369" s="1278"/>
      <c r="R369" s="1271" t="s">
        <v>670</v>
      </c>
      <c r="S369" s="1280"/>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6873.2900000000009</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2389.8700000000026</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2116.0299999999988</v>
      </c>
      <c r="M395" s="243"/>
      <c r="N395" s="246" t="e">
        <f t="shared" si="71"/>
        <v>#N/A</v>
      </c>
      <c r="O395" s="243"/>
      <c r="P395" s="38"/>
      <c r="Q395" s="266">
        <f>SUMIFS(BV_Data_An_Prec!$AM:$AM,BV_Data_An_Prec!$AP:$AP,$B395,BV_Data_An_Prec!$AQ:$AQ,$C395,BV_Data_An_Prec!$AR:$AR,$L$2)</f>
        <v>2434.4900000000016</v>
      </c>
      <c r="R395" s="243"/>
      <c r="S395" s="266">
        <f t="shared" si="72"/>
        <v>-318.46000000000276</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13305.910000000003</v>
      </c>
      <c r="M396" s="233"/>
      <c r="N396" s="262" t="e">
        <f t="shared" si="71"/>
        <v>#N/A</v>
      </c>
      <c r="O396" s="233"/>
      <c r="P396" s="301"/>
      <c r="Q396" s="303">
        <f>SUMIFS(BV_Data_An_Prec!$AM:$AM,BV_Data_An_Prec!$AP:$AP,$B396,BV_Data_An_Prec!$AQ:$AQ,$C396,BV_Data_An_Prec!$AR:$AR,$L$2)</f>
        <v>17580.00999999998</v>
      </c>
      <c r="R396" s="233"/>
      <c r="S396" s="303">
        <f t="shared" si="72"/>
        <v>-4274.0999999999767</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1849.3499999999985</v>
      </c>
      <c r="M401" s="243"/>
      <c r="N401" s="246" t="e">
        <f t="shared" si="71"/>
        <v>#N/A</v>
      </c>
      <c r="O401" s="243"/>
      <c r="P401" s="38"/>
      <c r="Q401" s="266">
        <f>SUMIFS(BV_Data_An_Prec!$AM:$AM,BV_Data_An_Prec!$AP:$AP,$B401,BV_Data_An_Prec!$AQ:$AQ,$C401,BV_Data_An_Prec!$AR:$AR,$L$2)</f>
        <v>1134.9199999999983</v>
      </c>
      <c r="R401" s="243"/>
      <c r="S401" s="266">
        <f t="shared" si="72"/>
        <v>714.43000000000029</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3728.8300000000017</v>
      </c>
      <c r="M402" s="233"/>
      <c r="N402" s="262" t="e">
        <f t="shared" si="71"/>
        <v>#N/A</v>
      </c>
      <c r="O402" s="233"/>
      <c r="P402" s="301"/>
      <c r="Q402" s="303">
        <f>SUMIFS(BV_Data_An_Prec!$AM:$AM,BV_Data_An_Prec!$AP:$AP,$B402,BV_Data_An_Prec!$AQ:$AQ,$C402,BV_Data_An_Prec!$AR:$AR,$L$2)</f>
        <v>3052.8999999999978</v>
      </c>
      <c r="R402" s="233"/>
      <c r="S402" s="303">
        <f t="shared" si="72"/>
        <v>675.93000000000393</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444.86999999999989</v>
      </c>
      <c r="M403" s="243"/>
      <c r="N403" s="246" t="e">
        <f t="shared" si="71"/>
        <v>#N/A</v>
      </c>
      <c r="O403" s="243"/>
      <c r="P403" s="38"/>
      <c r="Q403" s="266">
        <f>SUMIFS(BV_Data_An_Prec!$AM:$AM,BV_Data_An_Prec!$AP:$AP,$B403,BV_Data_An_Prec!$AQ:$AQ,$C403,BV_Data_An_Prec!$AR:$AR,$L$2)</f>
        <v>1428.4499999999989</v>
      </c>
      <c r="R403" s="243"/>
      <c r="S403" s="266">
        <f t="shared" si="72"/>
        <v>-983.57999999999902</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1388.9700000000003</v>
      </c>
      <c r="M404" s="243"/>
      <c r="N404" s="246" t="e">
        <f t="shared" si="71"/>
        <v>#N/A</v>
      </c>
      <c r="O404" s="243"/>
      <c r="P404" s="38"/>
      <c r="Q404" s="266">
        <f>SUMIFS(BV_Data_An_Prec!$AM:$AM,BV_Data_An_Prec!$AP:$AP,$B404,BV_Data_An_Prec!$AQ:$AQ,$C404,BV_Data_An_Prec!$AR:$AR,$L$2)</f>
        <v>183.91000000000008</v>
      </c>
      <c r="R404" s="243"/>
      <c r="S404" s="266">
        <f t="shared" si="72"/>
        <v>1205.0600000000002</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0.32177681872452957</v>
      </c>
      <c r="L406" s="294">
        <f>+SUM(L394:L405)</f>
        <v>29707.250000000004</v>
      </c>
      <c r="M406" s="296"/>
      <c r="N406" s="294" t="e">
        <f t="shared" si="71"/>
        <v>#N/A</v>
      </c>
      <c r="O406" s="295" t="s">
        <v>115</v>
      </c>
      <c r="P406" s="293">
        <f>Q406/Q$390</f>
        <v>0.31030138196214518</v>
      </c>
      <c r="Q406" s="294">
        <f>+SUM(Q394:Q405)</f>
        <v>30298.099999999973</v>
      </c>
      <c r="R406" s="297"/>
      <c r="S406" s="294">
        <f t="shared" si="72"/>
        <v>-590.84999999996944</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1981.5600000000013</v>
      </c>
      <c r="M410" s="243"/>
      <c r="N410" s="266" t="e">
        <f t="shared" si="71"/>
        <v>#N/A</v>
      </c>
      <c r="O410" s="243"/>
      <c r="P410" s="38"/>
      <c r="Q410" s="266">
        <f>SUMIFS(BV_Data_An_Prec!$AM:$AM,BV_Data_An_Prec!$AP:$AP,$B410,BV_Data_An_Prec!$AQ:$AQ,$C410,BV_Data_An_Prec!$AR:$AR,$L$2)</f>
        <v>1828.7899999999991</v>
      </c>
      <c r="R410" s="243"/>
      <c r="S410" s="266">
        <f t="shared" si="72"/>
        <v>152.77000000000226</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278.6899999999996</v>
      </c>
      <c r="M411" s="243"/>
      <c r="N411" s="266" t="e">
        <f t="shared" si="71"/>
        <v>#N/A</v>
      </c>
      <c r="O411" s="243"/>
      <c r="P411" s="38"/>
      <c r="Q411" s="266">
        <f>SUMIFS(BV_Data_An_Prec!$AM:$AM,BV_Data_An_Prec!$AP:$AP,$B411,BV_Data_An_Prec!$AQ:$AQ,$C411,BV_Data_An_Prec!$AR:$AR,$L$2)</f>
        <v>150</v>
      </c>
      <c r="R411" s="243"/>
      <c r="S411" s="266">
        <f t="shared" si="72"/>
        <v>128.6899999999996</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224.08999999999992</v>
      </c>
      <c r="M417" s="243"/>
      <c r="N417" s="266" t="e">
        <f t="shared" si="71"/>
        <v>#N/A</v>
      </c>
      <c r="O417" s="243"/>
      <c r="P417" s="38"/>
      <c r="Q417" s="266">
        <f>SUMIFS(BV_Data_An_Prec!$AM:$AM,BV_Data_An_Prec!$AP:$AP,$B417,BV_Data_An_Prec!$AQ:$AQ,$C417,BV_Data_An_Prec!$AR:$AR,$L$2)</f>
        <v>323.27</v>
      </c>
      <c r="R417" s="243"/>
      <c r="S417" s="266">
        <f t="shared" si="72"/>
        <v>-99.180000000000064</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177.98999999999978</v>
      </c>
      <c r="M421" s="243"/>
      <c r="N421" s="266" t="e">
        <f t="shared" si="71"/>
        <v>#N/A</v>
      </c>
      <c r="O421" s="243"/>
      <c r="P421" s="38"/>
      <c r="Q421" s="266">
        <f>SUMIFS(BV_Data_An_Prec!$AM:$AM,BV_Data_An_Prec!$AP:$AP,$B421,BV_Data_An_Prec!$AQ:$AQ,$C421,BV_Data_An_Prec!$AR:$AR,$L$2)</f>
        <v>95.799999999999955</v>
      </c>
      <c r="R421" s="243"/>
      <c r="S421" s="266">
        <f t="shared" si="72"/>
        <v>82.189999999999827</v>
      </c>
      <c r="T421" s="35"/>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9.8345441789777416E-2</v>
      </c>
      <c r="L425" s="294">
        <f>+SUM(L407:L424)</f>
        <v>9079.4999999999982</v>
      </c>
      <c r="M425" s="296"/>
      <c r="N425" s="294" t="e">
        <f>+SUM(N407:N424)</f>
        <v>#N/A</v>
      </c>
      <c r="O425" s="295" t="s">
        <v>115</v>
      </c>
      <c r="P425" s="293">
        <f>Q425/Q$390</f>
        <v>0.12854738711900182</v>
      </c>
      <c r="Q425" s="294">
        <f>+SUM(Q407:Q424)</f>
        <v>12551.48</v>
      </c>
      <c r="R425" s="297"/>
      <c r="S425" s="294">
        <f>+SUM(S407:S424)</f>
        <v>-3471.9800000000014</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0.42012226051430696</v>
      </c>
      <c r="L427" s="294">
        <f>L406+L425</f>
        <v>38786.75</v>
      </c>
      <c r="M427" s="296"/>
      <c r="N427" s="294" t="e">
        <f>L427-F427</f>
        <v>#N/A</v>
      </c>
      <c r="O427" s="295" t="s">
        <v>115</v>
      </c>
      <c r="P427" s="293">
        <f>Q427/Q$390</f>
        <v>0.43884876908114701</v>
      </c>
      <c r="Q427" s="294">
        <f>Q406+Q425</f>
        <v>42849.579999999973</v>
      </c>
      <c r="R427" s="297"/>
      <c r="S427" s="294">
        <f>L427-Q427</f>
        <v>-4062.8299999999726</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53535.780000000188</v>
      </c>
      <c r="M429" s="958"/>
      <c r="N429" s="956" t="e">
        <f>L429-F429</f>
        <v>#N/A</v>
      </c>
      <c r="O429" s="957"/>
      <c r="P429" s="955"/>
      <c r="Q429" s="956">
        <f>Q390-Q427</f>
        <v>54791.3</v>
      </c>
      <c r="R429" s="959"/>
      <c r="S429" s="956">
        <f>L429-Q429</f>
        <v>-1255.5199999998149</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2" t="s">
        <v>339</v>
      </c>
      <c r="E434" s="1277"/>
      <c r="F434" s="1278"/>
      <c r="G434" s="1279"/>
      <c r="H434" s="1277"/>
      <c r="I434" s="1278"/>
      <c r="J434" s="1279" t="s">
        <v>340</v>
      </c>
      <c r="K434" s="1277"/>
      <c r="L434" s="1278"/>
      <c r="M434" s="1279"/>
      <c r="N434" s="1278"/>
      <c r="O434" s="1272" t="s">
        <v>341</v>
      </c>
      <c r="P434" s="1277"/>
      <c r="Q434" s="1278"/>
      <c r="R434" s="1279" t="s">
        <v>342</v>
      </c>
      <c r="S434" s="1278"/>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38417.480000000003</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38417.480000000003</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0.71305238736021537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150</v>
      </c>
      <c r="L445" s="927"/>
      <c r="M445" s="925"/>
      <c r="N445" s="658"/>
      <c r="O445" s="924"/>
      <c r="P445" s="1250">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-2023.32</v>
      </c>
      <c r="M446" s="925"/>
      <c r="N446" s="658"/>
      <c r="O446" s="924"/>
      <c r="P446" s="38"/>
      <c r="Q446" s="658">
        <f>-SUMIFS(BV_Data_An_Prec!$AM:$AM,BV_Data_An_Prec!$AP:$AP,$B446,BV_Data_An_Prec!$AQ:$AQ,$C446,BV_Data_An_Prec!$AR:$AR,$L$2)</f>
        <v>0</v>
      </c>
      <c r="R446" s="924"/>
      <c r="S446" s="266">
        <f>L446-Q446</f>
        <v>-2023.32</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49579.840000000011</v>
      </c>
      <c r="M448" s="272"/>
      <c r="N448" s="271"/>
      <c r="O448" s="272"/>
      <c r="P448" s="269">
        <f>P437+P440+P443</f>
        <v>65384.339999999967</v>
      </c>
      <c r="Q448" s="271">
        <f>Q437+Q440+Q443+Q446</f>
        <v>48143.309999999983</v>
      </c>
      <c r="R448" s="272">
        <f>IF(O448=0,0,(J448-O448)/O448)</f>
        <v>0</v>
      </c>
      <c r="S448" s="271">
        <f>S437+S440+S443+S446</f>
        <v>1436.5300000000227</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0.69098414689383658</v>
      </c>
      <c r="M449" s="276"/>
      <c r="N449" s="277"/>
      <c r="O449" s="273"/>
      <c r="P449" s="945"/>
      <c r="Q449" s="326">
        <f>Q448/P448</f>
        <v>0.73631254823402681</v>
      </c>
      <c r="R449" s="276"/>
      <c r="S449" s="326">
        <f>IF(Q448=0,0,S448/Q448)</f>
        <v>2.9838621399318477E-2</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4410.9700000000012</v>
      </c>
      <c r="M453" s="243"/>
      <c r="N453" s="266"/>
      <c r="O453" s="243"/>
      <c r="P453" s="38"/>
      <c r="Q453" s="286">
        <f>SUMIFS(BV_Data_An_Prec!$AM:$AM,BV_Data_An_Prec!$AP:$AP,$B453,BV_Data_An_Prec!$AQ:$AQ,$C453,BV_Data_An_Prec!$AR:$AR,$L$2)</f>
        <v>0</v>
      </c>
      <c r="R453" s="243"/>
      <c r="S453" s="266">
        <f t="shared" si="73"/>
        <v>4410.9700000000012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2841.9000000000015</v>
      </c>
      <c r="M459" s="243"/>
      <c r="N459" s="266"/>
      <c r="O459" s="243"/>
      <c r="P459" s="38"/>
      <c r="Q459" s="286">
        <f>SUMIFS(BV_Data_An_Prec!$AM:$AM,BV_Data_An_Prec!$AP:$AP,$B459,BV_Data_An_Prec!$AQ:$AQ,$C459,BV_Data_An_Prec!$AR:$AR,$L$2)</f>
        <v>0</v>
      </c>
      <c r="R459" s="243"/>
      <c r="S459" s="266">
        <f t="shared" si="73"/>
        <v>2841.9000000000015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4901.619999999999</v>
      </c>
      <c r="M460" s="233"/>
      <c r="N460" s="303"/>
      <c r="O460" s="233"/>
      <c r="P460" s="301"/>
      <c r="Q460" s="266">
        <f>SUMIFS(BV_Data_An_Prec!$AM:$AM,BV_Data_An_Prec!$AP:$AP,$B460,BV_Data_An_Prec!$AQ:$AQ,$C460,BV_Data_An_Prec!$AR:$AR,$L$2)</f>
        <v>0</v>
      </c>
      <c r="R460" s="233"/>
      <c r="S460" s="303">
        <f t="shared" si="73"/>
        <v>4901.619999999999</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1280.1999999999998</v>
      </c>
      <c r="M461" s="243"/>
      <c r="N461" s="266"/>
      <c r="O461" s="243"/>
      <c r="P461" s="38"/>
      <c r="Q461" s="266">
        <f>SUMIFS(BV_Data_An_Prec!$AM:$AM,BV_Data_An_Prec!$AP:$AP,$B461,BV_Data_An_Prec!$AQ:$AQ,$C461,BV_Data_An_Prec!$AR:$AR,$L$2)</f>
        <v>0</v>
      </c>
      <c r="R461" s="243"/>
      <c r="S461" s="266">
        <f t="shared" si="73"/>
        <v>1280.1999999999998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647.62999999999988</v>
      </c>
      <c r="M462" s="243"/>
      <c r="N462" s="266"/>
      <c r="O462" s="243"/>
      <c r="P462" s="38"/>
      <c r="Q462" s="266">
        <f>SUMIFS(BV_Data_An_Prec!$AM:$AM,BV_Data_An_Prec!$AP:$AP,$B462,BV_Data_An_Prec!$AQ:$AQ,$C462,BV_Data_An_Prec!$AR:$AR,$L$2)</f>
        <v>0</v>
      </c>
      <c r="R462" s="243"/>
      <c r="S462" s="266">
        <f t="shared" si="73"/>
        <v>647.62999999999988</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0.29159674577408878</v>
      </c>
      <c r="L464" s="294">
        <f>+SUM(L452:L463)</f>
        <v>14457.320000000002</v>
      </c>
      <c r="M464" s="296"/>
      <c r="N464" s="294"/>
      <c r="O464" s="295" t="s">
        <v>115</v>
      </c>
      <c r="P464" s="293">
        <f>IFERROR(Q464/Q$448,0)</f>
        <v>0</v>
      </c>
      <c r="Q464" s="294">
        <f>+SUM(Q452:Q463)</f>
        <v>0</v>
      </c>
      <c r="R464" s="297"/>
      <c r="S464" s="294">
        <f t="shared" si="73"/>
        <v>14457.320000000002</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435.59</v>
      </c>
      <c r="M472" s="243"/>
      <c r="N472" s="266"/>
      <c r="O472" s="243"/>
      <c r="P472" s="38"/>
      <c r="Q472" s="266">
        <f>SUMIFS(BV_Data_An_Prec!$AM:$AM,BV_Data_An_Prec!$AP:$AP,$B472,BV_Data_An_Prec!$AQ:$AQ,$C472,BV_Data_An_Prec!$AR:$AR,$L$2)</f>
        <v>0</v>
      </c>
      <c r="R472" s="243"/>
      <c r="S472" s="266">
        <f t="shared" si="73"/>
        <v>435.59</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8.7856273840335071E-3</v>
      </c>
      <c r="L482" s="294">
        <f>+SUM(L465:L481)</f>
        <v>435.59</v>
      </c>
      <c r="M482" s="296"/>
      <c r="N482" s="294"/>
      <c r="O482" s="295" t="s">
        <v>115</v>
      </c>
      <c r="P482" s="293">
        <f>IFERROR(Q482/Q$448,0)</f>
        <v>0</v>
      </c>
      <c r="Q482" s="294">
        <f>+SUM(Q465:Q481)</f>
        <v>0</v>
      </c>
      <c r="R482" s="297"/>
      <c r="S482" s="294">
        <f>+SUM(S465:S481)</f>
        <v>435.59</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0.30038237315812227</v>
      </c>
      <c r="L484" s="294">
        <f>L464+L482</f>
        <v>14892.910000000002</v>
      </c>
      <c r="M484" s="296"/>
      <c r="N484" s="294"/>
      <c r="O484" s="295" t="s">
        <v>115</v>
      </c>
      <c r="P484" s="293">
        <f>IFERROR(Q484/Q$448,0)</f>
        <v>0</v>
      </c>
      <c r="Q484" s="294">
        <f>Q464+Q482</f>
        <v>0</v>
      </c>
      <c r="R484" s="297"/>
      <c r="S484" s="294">
        <f>L484-Q484</f>
        <v>14892.910000000002</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34686.930000000008</v>
      </c>
      <c r="M486" s="958"/>
      <c r="N486" s="956"/>
      <c r="O486" s="957"/>
      <c r="P486" s="955"/>
      <c r="Q486" s="956">
        <f>Q448-Q484</f>
        <v>48143.309999999983</v>
      </c>
      <c r="R486" s="959"/>
      <c r="S486" s="956">
        <f>L486-Q486</f>
        <v>-13456.379999999976</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1" t="s">
        <v>592</v>
      </c>
      <c r="Y491" s="1275"/>
      <c r="Z491" s="1282"/>
      <c r="AA491" s="1274"/>
      <c r="AB491" s="1275"/>
      <c r="AC491" s="1282"/>
      <c r="AD491" s="1274" t="s">
        <v>340</v>
      </c>
      <c r="AE491" s="1275"/>
      <c r="AF491" s="1282"/>
      <c r="AG491" s="1274" t="s">
        <v>668</v>
      </c>
      <c r="AH491" s="1275"/>
      <c r="AI491" s="1282"/>
      <c r="AJ491" s="1274" t="s">
        <v>593</v>
      </c>
      <c r="AK491" s="1275"/>
      <c r="AL491" s="1275"/>
      <c r="AM491" s="1274" t="s">
        <v>594</v>
      </c>
      <c r="AN491" s="1275"/>
      <c r="AO491" s="1276"/>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13775669.239999995</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3.4173525205806791E-2</v>
      </c>
      <c r="AE494" s="393"/>
      <c r="AF494" s="391">
        <f>L27+L109+L182+L268+L326+L390+L448</f>
        <v>470763.17999999708</v>
      </c>
      <c r="AG494" s="392"/>
      <c r="AH494" s="393" t="e">
        <f>AF494-Z494</f>
        <v>#N/A</v>
      </c>
      <c r="AI494" s="394" t="e">
        <f>AH494/Z494</f>
        <v>#N/A</v>
      </c>
      <c r="AJ494" s="754">
        <f>AL494/AL493</f>
        <v>4.2011977298220475E-2</v>
      </c>
      <c r="AK494" s="393"/>
      <c r="AL494" s="391">
        <f>Q27+Q109+Q182+Q268+Q326+Q390+Q448</f>
        <v>789154.20999998925</v>
      </c>
      <c r="AM494" s="395"/>
      <c r="AN494" s="393">
        <f>AF494-AL494</f>
        <v>-318391.02999999217</v>
      </c>
      <c r="AO494" s="396">
        <f>IF(AL494=0,0,AN494/AL494)</f>
        <v>-0.40345857117076839</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716.76233766233702</v>
      </c>
      <c r="AF496" s="399">
        <f t="shared" ref="AF496:AF502" si="76">+SUMIF($C:$C,$V496,L:L)</f>
        <v>55190.699999999953</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-409.69807900432977</v>
      </c>
      <c r="AN496" s="401">
        <f>AF496-AL496</f>
        <v>-52949.500000000058</v>
      </c>
      <c r="AO496" s="408">
        <f>IF(AL496=0,0,AN496/AL496)</f>
        <v>-0.48963752610037758</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-33.525194805194552</v>
      </c>
      <c r="AF498" s="399">
        <f t="shared" si="76"/>
        <v>-2581.4399999999805</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205.60365936147213</v>
      </c>
      <c r="AN498" s="401">
        <f t="shared" si="83"/>
        <v>20374.930000000022</v>
      </c>
      <c r="AO498" s="408">
        <f t="shared" si="84"/>
        <v>-0.88755016581454382</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236.18740259740261</v>
      </c>
      <c r="AF501" s="399">
        <f t="shared" si="76"/>
        <v>18186.43</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47.479694264069224</v>
      </c>
      <c r="AN501" s="401">
        <f t="shared" si="83"/>
        <v>70.489999999994325</v>
      </c>
      <c r="AO501" s="408">
        <f t="shared" si="84"/>
        <v>3.8910484357971105E-3</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569.52792207792277</v>
      </c>
      <c r="AF502" s="399">
        <f t="shared" si="76"/>
        <v>43853.650000000052</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-443.10884875541058</v>
      </c>
      <c r="AN502" s="401">
        <f t="shared" si="83"/>
        <v>-53359.479999999952</v>
      </c>
      <c r="AO502" s="408">
        <f t="shared" si="84"/>
        <v>-0.54889169806588833</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-179.88662337662345</v>
      </c>
      <c r="AF504" s="399">
        <f>IFERROR(SUMIF($C:$C,$V504,L:L),0)</f>
        <v>-13851.270000000006</v>
      </c>
      <c r="AG504" s="400" t="e">
        <f t="shared" si="77"/>
        <v>#N/A</v>
      </c>
      <c r="AH504" s="401">
        <f t="shared" si="78"/>
        <v>-13851.270000000006</v>
      </c>
      <c r="AI504" s="402">
        <f t="shared" si="79"/>
        <v>0</v>
      </c>
      <c r="AJ504" s="407"/>
      <c r="AK504" s="401">
        <f t="shared" si="81"/>
        <v>0</v>
      </c>
      <c r="AL504" s="399">
        <f>SUMIFS(BV_Data_An_Prec!$AM:$AM,BV_Data_An_Prec!$AQ:$AQ,$V504)</f>
        <v>0</v>
      </c>
      <c r="AM504" s="403">
        <f t="shared" si="82"/>
        <v>-179.88662337662345</v>
      </c>
      <c r="AN504" s="401">
        <f t="shared" si="83"/>
        <v>-13851.270000000006</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0.11357330452224487</v>
      </c>
      <c r="AE506" s="419"/>
      <c r="AF506" s="416">
        <f>SUM(AF496:AF505)</f>
        <v>53466.130000000048</v>
      </c>
      <c r="AG506" s="418"/>
      <c r="AH506" s="419" t="e">
        <f t="shared" ref="AH506:AH538" si="88">AF506-Z506</f>
        <v>#N/A</v>
      </c>
      <c r="AI506" s="415" t="e">
        <f>AH506/Z506</f>
        <v>#N/A</v>
      </c>
      <c r="AJ506" s="417">
        <f>AL506/AL494</f>
        <v>0.14553349465119336</v>
      </c>
      <c r="AK506" s="419"/>
      <c r="AL506" s="416">
        <f>SUM(AL496:AL505)</f>
        <v>114848.37000000017</v>
      </c>
      <c r="AM506" s="423"/>
      <c r="AN506" s="419">
        <f t="shared" si="86"/>
        <v>-61382.240000000122</v>
      </c>
      <c r="AO506" s="396">
        <f t="shared" si="87"/>
        <v>-0.53446331018890414</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13557.709999999997</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5084.7299999999832</v>
      </c>
      <c r="AO507" s="408">
        <f t="shared" si="87"/>
        <v>0.60011117694128568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39341.349999999984</v>
      </c>
      <c r="AG508" s="400"/>
      <c r="AH508" s="401" t="e">
        <f t="shared" si="88"/>
        <v>#N/A</v>
      </c>
      <c r="AI508" s="402" t="e">
        <f t="shared" si="89"/>
        <v>#N/A</v>
      </c>
      <c r="AJ508" s="407"/>
      <c r="AK508" s="406"/>
      <c r="AL508" s="399">
        <f>SUMIFS(BV_Data_An_Prec!$AM:$AM,BV_Data_An_Prec!$AQ:$AQ,$V508)</f>
        <v>69414.170000000042</v>
      </c>
      <c r="AM508" s="403"/>
      <c r="AN508" s="401">
        <f t="shared" si="86"/>
        <v>-30072.820000000058</v>
      </c>
      <c r="AO508" s="408">
        <f t="shared" si="87"/>
        <v>-0.43323747874533458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25274.689999999988</v>
      </c>
      <c r="AG509" s="384"/>
      <c r="AH509" s="385" t="e">
        <f t="shared" si="88"/>
        <v>#N/A</v>
      </c>
      <c r="AI509" s="412" t="e">
        <f t="shared" si="89"/>
        <v>#N/A</v>
      </c>
      <c r="AJ509" s="411"/>
      <c r="AK509" s="410"/>
      <c r="AL509" s="383">
        <f>SUMIFS(BV_Data_An_Prec!$AM:$AM,BV_Data_An_Prec!$AQ:$AQ,$V509)</f>
        <v>74596.130000000048</v>
      </c>
      <c r="AM509" s="387"/>
      <c r="AN509" s="385">
        <f t="shared" si="86"/>
        <v>-49321.440000000061</v>
      </c>
      <c r="AO509" s="388">
        <f t="shared" si="87"/>
        <v>-0.66117960811103782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32813.570000000007</v>
      </c>
      <c r="AG510" s="400"/>
      <c r="AH510" s="401" t="e">
        <f t="shared" si="88"/>
        <v>#N/A</v>
      </c>
      <c r="AI510" s="402" t="e">
        <f t="shared" si="89"/>
        <v>#N/A</v>
      </c>
      <c r="AJ510" s="407"/>
      <c r="AK510" s="406"/>
      <c r="AL510" s="399">
        <f>SUMIFS(BV_Data_An_Prec!$AM:$AM,BV_Data_An_Prec!$AQ:$AQ,$V510)</f>
        <v>90767.849999999962</v>
      </c>
      <c r="AM510" s="403"/>
      <c r="AN510" s="401">
        <f t="shared" si="86"/>
        <v>-57954.279999999955</v>
      </c>
      <c r="AO510" s="408">
        <f t="shared" si="87"/>
        <v>-0.63848906854133902</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9149.14</v>
      </c>
      <c r="AG511" s="400"/>
      <c r="AH511" s="401" t="e">
        <f t="shared" si="88"/>
        <v>#N/A</v>
      </c>
      <c r="AI511" s="402" t="e">
        <f t="shared" si="89"/>
        <v>#N/A</v>
      </c>
      <c r="AJ511" s="407"/>
      <c r="AK511" s="406"/>
      <c r="AL511" s="399">
        <f>SUMIFS(BV_Data_An_Prec!$AM:$AM,BV_Data_An_Prec!$AQ:$AQ,$V511)</f>
        <v>0</v>
      </c>
      <c r="AM511" s="403"/>
      <c r="AN511" s="401">
        <f t="shared" si="86"/>
        <v>9149.14</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20493.46</v>
      </c>
      <c r="AG515" s="384"/>
      <c r="AH515" s="385" t="e">
        <f t="shared" si="88"/>
        <v>#N/A</v>
      </c>
      <c r="AI515" s="412" t="e">
        <f t="shared" si="89"/>
        <v>#N/A</v>
      </c>
      <c r="AJ515" s="411"/>
      <c r="AK515" s="410"/>
      <c r="AL515" s="383">
        <f>SUMIFS(BV_Data_An_Prec!$AM:$AM,BV_Data_An_Prec!$AQ:$AQ,$V515)</f>
        <v>17647.25</v>
      </c>
      <c r="AM515" s="387"/>
      <c r="AN515" s="385">
        <f t="shared" si="86"/>
        <v>2846.2099999999991</v>
      </c>
      <c r="AO515" s="388">
        <f t="shared" si="87"/>
        <v>0.16128348609556725</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47483.479999999996</v>
      </c>
      <c r="AG516" s="400"/>
      <c r="AH516" s="401" t="e">
        <f t="shared" si="88"/>
        <v>#N/A</v>
      </c>
      <c r="AI516" s="402" t="e">
        <f t="shared" si="89"/>
        <v>#N/A</v>
      </c>
      <c r="AJ516" s="407"/>
      <c r="AK516" s="406"/>
      <c r="AL516" s="399">
        <f>SUMIFS(BV_Data_An_Prec!$AM:$AM,BV_Data_An_Prec!$AQ:$AQ,$V516)</f>
        <v>45059.379999999976</v>
      </c>
      <c r="AM516" s="403"/>
      <c r="AN516" s="401">
        <f t="shared" si="86"/>
        <v>2424.1000000000204</v>
      </c>
      <c r="AO516" s="408">
        <f t="shared" si="87"/>
        <v>5.3797899571632404E-2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7310.7800000000016</v>
      </c>
      <c r="AG517" s="400"/>
      <c r="AH517" s="401" t="e">
        <f t="shared" si="88"/>
        <v>#N/A</v>
      </c>
      <c r="AI517" s="402" t="e">
        <f t="shared" si="89"/>
        <v>#N/A</v>
      </c>
      <c r="AJ517" s="407"/>
      <c r="AK517" s="406"/>
      <c r="AL517" s="399">
        <f>SUMIFS(BV_Data_An_Prec!$AM:$AM,BV_Data_An_Prec!$AQ:$AQ,$V517)</f>
        <v>21241.299999999988</v>
      </c>
      <c r="AM517" s="403"/>
      <c r="AN517" s="401">
        <f t="shared" si="86"/>
        <v>-13930.519999999986</v>
      </c>
      <c r="AO517" s="408">
        <f t="shared" si="87"/>
        <v>-0.65582238375240653</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15034.749999999998</v>
      </c>
      <c r="AG518" s="400"/>
      <c r="AH518" s="401" t="e">
        <f t="shared" si="88"/>
        <v>#N/A</v>
      </c>
      <c r="AI518" s="420" t="e">
        <f t="shared" si="89"/>
        <v>#N/A</v>
      </c>
      <c r="AJ518" s="407"/>
      <c r="AK518" s="406"/>
      <c r="AL518" s="399">
        <f>SUMIFS(BV_Data_An_Prec!$AM:$AM,BV_Data_An_Prec!$AQ:$AQ,$V518)</f>
        <v>1095.6000000000008</v>
      </c>
      <c r="AM518" s="403"/>
      <c r="AN518" s="401">
        <f t="shared" si="86"/>
        <v>13939.149999999998</v>
      </c>
      <c r="AO518" s="408">
        <f t="shared" si="87"/>
        <v>12.722845929171219</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0.44705902870313957</v>
      </c>
      <c r="AE520" s="421"/>
      <c r="AF520" s="416">
        <f>SUM(AF507:AF519)</f>
        <v>210458.92999999996</v>
      </c>
      <c r="AG520" s="418"/>
      <c r="AH520" s="419" t="e">
        <f t="shared" si="88"/>
        <v>#N/A</v>
      </c>
      <c r="AI520" s="415" t="e">
        <f>AH520/Z520</f>
        <v>#N/A</v>
      </c>
      <c r="AJ520" s="417">
        <f>AL520/AL494</f>
        <v>0.41600824761487926</v>
      </c>
      <c r="AK520" s="421"/>
      <c r="AL520" s="416">
        <f>SUM(AL507:AL519)</f>
        <v>328294.65999999997</v>
      </c>
      <c r="AM520" s="423"/>
      <c r="AN520" s="419">
        <f t="shared" si="86"/>
        <v>-117835.73000000001</v>
      </c>
      <c r="AO520" s="396">
        <f t="shared" si="87"/>
        <v>-0.35893282577304186</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22757.21000000001</v>
      </c>
      <c r="AG523" s="384"/>
      <c r="AH523" s="385" t="e">
        <f t="shared" si="88"/>
        <v>#N/A</v>
      </c>
      <c r="AI523" s="412" t="e">
        <f t="shared" si="92"/>
        <v>#N/A</v>
      </c>
      <c r="AJ523" s="411"/>
      <c r="AK523" s="410"/>
      <c r="AL523" s="383">
        <f>SUMIFS(BV_Data_An_Prec!$AM:$AM,BV_Data_An_Prec!$AQ:$AQ,$V523)</f>
        <v>-24.409999999995307</v>
      </c>
      <c r="AM523" s="387"/>
      <c r="AN523" s="385">
        <f t="shared" si="86"/>
        <v>22781.620000000006</v>
      </c>
      <c r="AO523" s="388">
        <f t="shared" si="87"/>
        <v>-933.29045473184703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14103.610000000004</v>
      </c>
      <c r="AG524" s="400"/>
      <c r="AH524" s="401" t="e">
        <f t="shared" si="88"/>
        <v>#N/A</v>
      </c>
      <c r="AI524" s="402" t="e">
        <f t="shared" si="92"/>
        <v>#N/A</v>
      </c>
      <c r="AJ524" s="407"/>
      <c r="AK524" s="406"/>
      <c r="AL524" s="399">
        <f>SUMIFS(BV_Data_An_Prec!$AM:$AM,BV_Data_An_Prec!$AQ:$AQ,$V524)</f>
        <v>14283.7</v>
      </c>
      <c r="AM524" s="403"/>
      <c r="AN524" s="401">
        <f t="shared" si="86"/>
        <v>-180.08999999999651</v>
      </c>
      <c r="AO524" s="408">
        <f t="shared" si="87"/>
        <v>-1.2608077738960949E-2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3034.8699999999967</v>
      </c>
      <c r="AG525" s="400"/>
      <c r="AH525" s="401" t="e">
        <f t="shared" si="88"/>
        <v>#N/A</v>
      </c>
      <c r="AI525" s="402" t="e">
        <f t="shared" si="92"/>
        <v>#N/A</v>
      </c>
      <c r="AJ525" s="407"/>
      <c r="AK525" s="406"/>
      <c r="AL525" s="399">
        <f>SUMIFS(BV_Data_An_Prec!$AM:$AM,BV_Data_An_Prec!$AQ:$AQ,$V525)</f>
        <v>2338.5599999999995</v>
      </c>
      <c r="AM525" s="403"/>
      <c r="AN525" s="401">
        <f t="shared" si="86"/>
        <v>696.30999999999722</v>
      </c>
      <c r="AO525" s="408">
        <f t="shared" si="87"/>
        <v>0.29775160782703775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9028.5200000000077</v>
      </c>
      <c r="AG528" s="400"/>
      <c r="AH528" s="401" t="e">
        <f t="shared" si="88"/>
        <v>#N/A</v>
      </c>
      <c r="AI528" s="402" t="e">
        <f t="shared" si="92"/>
        <v>#N/A</v>
      </c>
      <c r="AJ528" s="407"/>
      <c r="AK528" s="406"/>
      <c r="AL528" s="399">
        <f>SUMIFS(BV_Data_An_Prec!$AM:$AM,BV_Data_An_Prec!$AQ:$AQ,$V528)</f>
        <v>7515.7199999999984</v>
      </c>
      <c r="AM528" s="403"/>
      <c r="AN528" s="401">
        <f t="shared" si="86"/>
        <v>1512.8000000000093</v>
      </c>
      <c r="AO528" s="408">
        <f t="shared" si="87"/>
        <v>0.20128477378082335</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2181.89</v>
      </c>
      <c r="AG529" s="400"/>
      <c r="AH529" s="401" t="e">
        <f t="shared" si="88"/>
        <v>#N/A</v>
      </c>
      <c r="AI529" s="420" t="e">
        <f t="shared" si="92"/>
        <v>#N/A</v>
      </c>
      <c r="AJ529" s="407"/>
      <c r="AK529" s="406"/>
      <c r="AL529" s="399">
        <f>SUMIFS(BV_Data_An_Prec!$AM:$AM,BV_Data_An_Prec!$AQ:$AQ,$V529)</f>
        <v>0</v>
      </c>
      <c r="AM529" s="403"/>
      <c r="AN529" s="401">
        <f t="shared" si="86"/>
        <v>2181.89</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2296.1399999999994</v>
      </c>
      <c r="AG531" s="400"/>
      <c r="AH531" s="401" t="e">
        <f t="shared" si="88"/>
        <v>#N/A</v>
      </c>
      <c r="AI531" s="420" t="e">
        <f t="shared" si="92"/>
        <v>#N/A</v>
      </c>
      <c r="AJ531" s="407"/>
      <c r="AK531" s="406"/>
      <c r="AL531" s="399">
        <f>SUMIFS(BV_Data_An_Prec!$AM:$AM,BV_Data_An_Prec!$AQ:$AQ,$V531)</f>
        <v>3287.599999999999</v>
      </c>
      <c r="AM531" s="403"/>
      <c r="AN531" s="401">
        <f t="shared" si="86"/>
        <v>-991.45999999999958</v>
      </c>
      <c r="AO531" s="408">
        <f t="shared" si="87"/>
        <v>-0.30157561747171185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1920.9299999999989</v>
      </c>
      <c r="AG535" s="400"/>
      <c r="AH535" s="659" t="e">
        <f t="shared" si="88"/>
        <v>#N/A</v>
      </c>
      <c r="AI535" s="402" t="e">
        <f t="shared" si="92"/>
        <v>#N/A</v>
      </c>
      <c r="AJ535" s="407"/>
      <c r="AK535" s="406"/>
      <c r="AL535" s="399">
        <f>SUMIFS(BV_Data_An_Prec!$AM:$AM,BV_Data_An_Prec!$AQ:$AQ,$V535)</f>
        <v>994.98999999999933</v>
      </c>
      <c r="AM535" s="403"/>
      <c r="AN535" s="401">
        <f t="shared" si="86"/>
        <v>925.9399999999996</v>
      </c>
      <c r="AO535" s="408">
        <f t="shared" si="87"/>
        <v>0.93060231761123247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0.2184158072855244</v>
      </c>
      <c r="AE539" s="414"/>
      <c r="AF539" s="416">
        <f>+SUM(AF521:AF538)</f>
        <v>102822.12</v>
      </c>
      <c r="AG539" s="422"/>
      <c r="AH539" s="435" t="e">
        <f>+SUM(AH521:AH538)</f>
        <v>#N/A</v>
      </c>
      <c r="AI539" s="415" t="e">
        <f>AH539/Z539</f>
        <v>#N/A</v>
      </c>
      <c r="AJ539" s="417">
        <f>AL539/AL494</f>
        <v>0.10510606032248264</v>
      </c>
      <c r="AK539" s="414"/>
      <c r="AL539" s="416">
        <f>+SUM(AL521:AL538)</f>
        <v>82944.89</v>
      </c>
      <c r="AM539" s="423"/>
      <c r="AN539" s="419">
        <f t="shared" si="86"/>
        <v>19877.229999999996</v>
      </c>
      <c r="AO539" s="436">
        <f t="shared" si="87"/>
        <v>0.23964381651479671</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3422</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3806.5800000000008</v>
      </c>
      <c r="AG548" s="400"/>
      <c r="AH548" s="401" t="e">
        <f t="shared" si="94"/>
        <v>#N/A</v>
      </c>
      <c r="AI548" s="439" t="e">
        <f t="shared" si="95"/>
        <v>#N/A</v>
      </c>
      <c r="AJ548" s="407"/>
      <c r="AK548" s="406"/>
      <c r="AL548" s="399">
        <f>SUMIFS(BV_Data_An_Prec!$AM:$AM,BV_Data_An_Prec!$AQ:$AQ,$V548)</f>
        <v>158.19999999999973</v>
      </c>
      <c r="AM548" s="403"/>
      <c r="AN548" s="401">
        <f t="shared" si="86"/>
        <v>3648.380000000001</v>
      </c>
      <c r="AO548" s="408">
        <f t="shared" si="87"/>
        <v>23.061820480404595</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0.27208716705499525</v>
      </c>
      <c r="AE553" s="414"/>
      <c r="AF553" s="416">
        <f>SUM(AF540:AF552)</f>
        <v>128088.62</v>
      </c>
      <c r="AG553" s="422"/>
      <c r="AH553" s="435" t="e">
        <f>SUM(AH540:AH552)</f>
        <v>#N/A</v>
      </c>
      <c r="AI553" s="415" t="e">
        <f>IF(Z553=0,0,AH553/Z553)</f>
        <v>#N/A</v>
      </c>
      <c r="AJ553" s="417">
        <f>AL553/AL494</f>
        <v>0.25450707536617301</v>
      </c>
      <c r="AK553" s="414"/>
      <c r="AL553" s="416">
        <f>SUM(AL540:AL552)</f>
        <v>200845.33</v>
      </c>
      <c r="AM553" s="423"/>
      <c r="AN553" s="419">
        <f t="shared" si="86"/>
        <v>-72756.709999999992</v>
      </c>
      <c r="AO553" s="436">
        <f t="shared" si="87"/>
        <v>-0.36225243574246907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1.051135307565904</v>
      </c>
      <c r="AE555" s="414"/>
      <c r="AF555" s="416">
        <f>AF506+AF520+AF539+AF553</f>
        <v>494835.8</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-232097.45000000013</v>
      </c>
      <c r="AO555" s="396">
        <f t="shared" ref="AO555:AO568" si="98">IF(AL555=0,0,AN555/AL555)</f>
        <v>-0.31928302908141853</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-277.76000000000613</v>
      </c>
      <c r="AG556" s="446"/>
      <c r="AH556" s="401" t="e">
        <f t="shared" si="96"/>
        <v>#N/A</v>
      </c>
      <c r="AI556" s="439" t="e">
        <f>IF(AH556=0,0,AH556/Z556)</f>
        <v>#N/A</v>
      </c>
      <c r="AJ556" s="445"/>
      <c r="AK556" s="444"/>
      <c r="AL556" s="426">
        <f>-SUMIFS(BV_Data_An_Prec!$AM:$AM,BV_Data_An_Prec!$AQ:$AQ,$V556)</f>
        <v>-19182.250000000036</v>
      </c>
      <c r="AM556" s="447"/>
      <c r="AN556" s="401">
        <f t="shared" si="97"/>
        <v>18904.490000000031</v>
      </c>
      <c r="AO556" s="408">
        <f t="shared" si="98"/>
        <v>-0.98551994682584132</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49.118917835671333</v>
      </c>
      <c r="AE567" s="437">
        <f>(AF567/399)/(J13+J15+J97)</f>
        <v>0.79778472154411995</v>
      </c>
      <c r="AF567" s="399">
        <f>+SUMIF($C:$C,$V567,L:L)</f>
        <v>24510.339999999997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24510.339999999997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0.1263353263948985</v>
      </c>
      <c r="AE568" s="434"/>
      <c r="AF568" s="416">
        <f>SUM(AF556:AF567)</f>
        <v>59474.01999999999</v>
      </c>
      <c r="AG568" s="422"/>
      <c r="AH568" s="419" t="e">
        <f t="shared" si="96"/>
        <v>#N/A</v>
      </c>
      <c r="AI568" s="415" t="e">
        <f>AH568/Z568</f>
        <v>#N/A</v>
      </c>
      <c r="AJ568" s="415">
        <f>AL568/+AL494</f>
        <v>7.9380302615379393E-3</v>
      </c>
      <c r="AK568" s="434"/>
      <c r="AL568" s="416">
        <f>SUM(AL556:AL567)</f>
        <v>6264.3299999999799</v>
      </c>
      <c r="AM568" s="453"/>
      <c r="AN568" s="419">
        <f t="shared" si="97"/>
        <v>53209.69000000001</v>
      </c>
      <c r="AO568" s="436">
        <f t="shared" si="98"/>
        <v>8.4940751844171967</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2.5698497389297871E-3</v>
      </c>
      <c r="AF570" s="468">
        <f>AF494-AF555+AF568</f>
        <v>35401.399999997084</v>
      </c>
      <c r="AG570" s="470"/>
      <c r="AH570" s="470" t="e">
        <f>AF570-Z570</f>
        <v>#N/A</v>
      </c>
      <c r="AI570" s="471" t="e">
        <f>AH570/Z570</f>
        <v>#N/A</v>
      </c>
      <c r="AJ570" s="466" t="s">
        <v>215</v>
      </c>
      <c r="AK570" s="467">
        <f>AL570/AL493</f>
        <v>3.6459318245816975E-3</v>
      </c>
      <c r="AL570" s="468">
        <f>AL494-AL555+AL568</f>
        <v>68485.289999989123</v>
      </c>
      <c r="AM570" s="472"/>
      <c r="AN570" s="469">
        <f>AF570-AL570</f>
        <v>-33083.88999999204</v>
      </c>
      <c r="AO570" s="473">
        <f>IF(AL570=0,0,AN570/AL570)</f>
        <v>-0.48308023518623189</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5.7532631351126405E-3</v>
      </c>
      <c r="AF575" s="752">
        <f>AF576+AF502</f>
        <v>79255.049999997136</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-86443.369999991992</v>
      </c>
      <c r="AO575" s="753">
        <f t="shared" ref="AO575:AO585" si="104">IF(AL575=0,0,AN575/AL575)</f>
        <v>-0.52169097327541003</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2.5698497389297871E-3</v>
      </c>
      <c r="AF576" s="468">
        <f>AF570</f>
        <v>35401.399999997084</v>
      </c>
      <c r="AG576" s="469"/>
      <c r="AH576" s="470" t="e">
        <f>AF576-Z576</f>
        <v>#N/A</v>
      </c>
      <c r="AI576" s="471" t="e">
        <f>AH576/Z576</f>
        <v>#N/A</v>
      </c>
      <c r="AJ576" s="466" t="s">
        <v>215</v>
      </c>
      <c r="AK576" s="467">
        <f>IF($AL$493=0,0,AL576/$AL$493)</f>
        <v>3.6459318245816975E-3</v>
      </c>
      <c r="AL576" s="468">
        <f>AL570</f>
        <v>68485.289999989123</v>
      </c>
      <c r="AM576" s="474"/>
      <c r="AN576" s="475">
        <f t="shared" si="103"/>
        <v>-33083.88999999204</v>
      </c>
      <c r="AO576" s="476">
        <f t="shared" si="104"/>
        <v>-0.48308023518623189</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v>10810</v>
      </c>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7941.2200000000012</v>
      </c>
      <c r="AG580" s="35"/>
      <c r="AH580" s="401" t="e">
        <f t="shared" si="105"/>
        <v>#N/A</v>
      </c>
      <c r="AI580" s="420" t="e">
        <f t="shared" si="106"/>
        <v>#N/A</v>
      </c>
      <c r="AJ580" s="35"/>
      <c r="AK580" s="38"/>
      <c r="AL580" s="399">
        <f>SUMIFS(BV_Data_An_Prec!$AM:$AM,BV_Data_An_Prec!$AQ:$AQ,$V580)</f>
        <v>0</v>
      </c>
      <c r="AM580" s="480"/>
      <c r="AN580" s="401">
        <f t="shared" si="103"/>
        <v>7941.2200000000012</v>
      </c>
      <c r="AO580" s="408">
        <f t="shared" si="104"/>
        <v>0</v>
      </c>
      <c r="AP580" s="35"/>
      <c r="AQ580" s="35">
        <v>7941</v>
      </c>
      <c r="AR580" s="91">
        <f>AQ580-AF580</f>
        <v>-0.22000000000116415</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1.2086657794926187E-3</v>
      </c>
      <c r="AF585" s="468">
        <f>AF576-AF578-AF579-AF580-AF584-AF583</f>
        <v>16650.179999997083</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-41044.979999992043</v>
      </c>
      <c r="AO585" s="482">
        <f t="shared" si="104"/>
        <v>-0.71141114783284731</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16650.18</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2.9176590032875538E-9</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866" priority="189" stopIfTrue="1">
      <formula>"esterreur(reference)"</formula>
    </cfRule>
  </conditionalFormatting>
  <conditionalFormatting sqref="D246:D255">
    <cfRule type="expression" dxfId="865" priority="547" stopIfTrue="1">
      <formula>"esterreur(reference)"</formula>
    </cfRule>
  </conditionalFormatting>
  <conditionalFormatting sqref="D487">
    <cfRule type="expression" dxfId="864" priority="196" stopIfTrue="1">
      <formula>"esterreur(reference)"</formula>
    </cfRule>
  </conditionalFormatting>
  <conditionalFormatting sqref="D186:E192">
    <cfRule type="expression" dxfId="863" priority="148" stopIfTrue="1">
      <formula>"esterreur(reference)"</formula>
    </cfRule>
  </conditionalFormatting>
  <conditionalFormatting sqref="E260">
    <cfRule type="expression" dxfId="862" priority="548" stopIfTrue="1">
      <formula>"esterreur(reference)"</formula>
    </cfRule>
  </conditionalFormatting>
  <conditionalFormatting sqref="F5">
    <cfRule type="expression" dxfId="861" priority="545" stopIfTrue="1">
      <formula>"esterreur(reference)"</formula>
    </cfRule>
  </conditionalFormatting>
  <conditionalFormatting sqref="F84">
    <cfRule type="expression" dxfId="860" priority="544" stopIfTrue="1">
      <formula>"esterreur(reference)"</formula>
    </cfRule>
  </conditionalFormatting>
  <conditionalFormatting sqref="F102">
    <cfRule type="expression" dxfId="859" priority="549" stopIfTrue="1">
      <formula>"esterreur(reference)"</formula>
    </cfRule>
  </conditionalFormatting>
  <conditionalFormatting sqref="F258">
    <cfRule type="expression" dxfId="858" priority="346" stopIfTrue="1">
      <formula>"esterreur(reference)"</formula>
    </cfRule>
  </conditionalFormatting>
  <conditionalFormatting sqref="G31:G32">
    <cfRule type="expression" dxfId="857" priority="542" stopIfTrue="1">
      <formula>"esterreur(reference)"</formula>
    </cfRule>
  </conditionalFormatting>
  <conditionalFormatting sqref="G113:G114">
    <cfRule type="expression" dxfId="856" priority="525" stopIfTrue="1">
      <formula>"esterreur(reference)"</formula>
    </cfRule>
  </conditionalFormatting>
  <conditionalFormatting sqref="G186:G187">
    <cfRule type="expression" dxfId="855" priority="157" stopIfTrue="1">
      <formula>"esterreur(reference)"</formula>
    </cfRule>
  </conditionalFormatting>
  <conditionalFormatting sqref="G246:G255">
    <cfRule type="expression" dxfId="854" priority="546" stopIfTrue="1">
      <formula>"esterreur(reference)"</formula>
    </cfRule>
  </conditionalFormatting>
  <conditionalFormatting sqref="H25:H26 H28:H72">
    <cfRule type="expression" dxfId="853" priority="537" stopIfTrue="1">
      <formula>"esterreur(reference)"</formula>
    </cfRule>
  </conditionalFormatting>
  <conditionalFormatting sqref="H74">
    <cfRule type="expression" dxfId="852" priority="126" stopIfTrue="1">
      <formula>"esterreur(reference)"</formula>
    </cfRule>
  </conditionalFormatting>
  <conditionalFormatting sqref="H83">
    <cfRule type="expression" dxfId="851" priority="123" stopIfTrue="1">
      <formula>"esterreur(reference)"</formula>
    </cfRule>
  </conditionalFormatting>
  <conditionalFormatting sqref="H85">
    <cfRule type="expression" dxfId="850" priority="39" stopIfTrue="1">
      <formula>"esterreur(reference)"</formula>
    </cfRule>
  </conditionalFormatting>
  <conditionalFormatting sqref="H110:H154">
    <cfRule type="expression" dxfId="849" priority="32" stopIfTrue="1">
      <formula>"esterreur(reference)"</formula>
    </cfRule>
  </conditionalFormatting>
  <conditionalFormatting sqref="H156:H158">
    <cfRule type="expression" dxfId="848" priority="115" stopIfTrue="1">
      <formula>"esterreur(reference)"</formula>
    </cfRule>
  </conditionalFormatting>
  <conditionalFormatting sqref="H164">
    <cfRule type="expression" dxfId="847" priority="112" stopIfTrue="1">
      <formula>"esterreur(reference)"</formula>
    </cfRule>
  </conditionalFormatting>
  <conditionalFormatting sqref="H166">
    <cfRule type="expression" dxfId="846" priority="42"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101" stopIfTrue="1">
      <formula>"esterreur(reference)"</formula>
    </cfRule>
  </conditionalFormatting>
  <conditionalFormatting sqref="H237">
    <cfRule type="expression" dxfId="843" priority="98" stopIfTrue="1">
      <formula>"esterreur(reference)"</formula>
    </cfRule>
  </conditionalFormatting>
  <conditionalFormatting sqref="H239">
    <cfRule type="expression" dxfId="842" priority="45" stopIfTrue="1">
      <formula>"esterreur(reference)"</formula>
    </cfRule>
  </conditionalFormatting>
  <conditionalFormatting sqref="H269">
    <cfRule type="expression" dxfId="841" priority="19" stopIfTrue="1">
      <formula>"esterreur(reference)"</formula>
    </cfRule>
  </conditionalFormatting>
  <conditionalFormatting sqref="H272:H303">
    <cfRule type="expression" dxfId="840" priority="91" stopIfTrue="1">
      <formula>"esterreur(reference)"</formula>
    </cfRule>
  </conditionalFormatting>
  <conditionalFormatting sqref="H305">
    <cfRule type="expression" dxfId="839" priority="89" stopIfTrue="1">
      <formula>"esterreur(reference)"</formula>
    </cfRule>
  </conditionalFormatting>
  <conditionalFormatting sqref="H307">
    <cfRule type="expression" dxfId="838" priority="48" stopIfTrue="1">
      <formula>"esterreur(reference)"</formula>
    </cfRule>
  </conditionalFormatting>
  <conditionalFormatting sqref="H327">
    <cfRule type="expression" dxfId="837" priority="12" stopIfTrue="1">
      <formula>"esterreur(reference)"</formula>
    </cfRule>
  </conditionalFormatting>
  <conditionalFormatting sqref="H330:H361">
    <cfRule type="expression" dxfId="836" priority="82" stopIfTrue="1">
      <formula>"esterreur(reference)"</formula>
    </cfRule>
  </conditionalFormatting>
  <conditionalFormatting sqref="H363">
    <cfRule type="expression" dxfId="835" priority="80" stopIfTrue="1">
      <formula>"esterreur(reference)"</formula>
    </cfRule>
  </conditionalFormatting>
  <conditionalFormatting sqref="H365">
    <cfRule type="expression" dxfId="834" priority="51" stopIfTrue="1">
      <formula>"esterreur(reference)"</formula>
    </cfRule>
  </conditionalFormatting>
  <conditionalFormatting sqref="H391">
    <cfRule type="expression" dxfId="833" priority="9" stopIfTrue="1">
      <formula>"esterreur(reference)"</formula>
    </cfRule>
  </conditionalFormatting>
  <conditionalFormatting sqref="H394:H425">
    <cfRule type="expression" dxfId="832" priority="73" stopIfTrue="1">
      <formula>"esterreur(reference)"</formula>
    </cfRule>
  </conditionalFormatting>
  <conditionalFormatting sqref="H427">
    <cfRule type="expression" dxfId="831" priority="71" stopIfTrue="1">
      <formula>"esterreur(reference)"</formula>
    </cfRule>
  </conditionalFormatting>
  <conditionalFormatting sqref="H429:H431">
    <cfRule type="expression" dxfId="830" priority="54" stopIfTrue="1">
      <formula>"esterreur(reference)"</formula>
    </cfRule>
  </conditionalFormatting>
  <conditionalFormatting sqref="H449">
    <cfRule type="expression" dxfId="829" priority="5" stopIfTrue="1">
      <formula>"esterreur(reference)"</formula>
    </cfRule>
  </conditionalFormatting>
  <conditionalFormatting sqref="H452:H482">
    <cfRule type="expression" dxfId="828" priority="63" stopIfTrue="1">
      <formula>"esterreur(reference)"</formula>
    </cfRule>
  </conditionalFormatting>
  <conditionalFormatting sqref="H484">
    <cfRule type="expression" dxfId="827" priority="60" stopIfTrue="1">
      <formula>"esterreur(reference)"</formula>
    </cfRule>
  </conditionalFormatting>
  <conditionalFormatting sqref="H486:H487">
    <cfRule type="expression" dxfId="826" priority="57" stopIfTrue="1">
      <formula>"esterreur(reference)"</formula>
    </cfRule>
  </conditionalFormatting>
  <conditionalFormatting sqref="H433:I433 K433:L433 J433:J434">
    <cfRule type="expression" dxfId="825" priority="212" stopIfTrue="1">
      <formula>"esterreur(reference)"</formula>
    </cfRule>
  </conditionalFormatting>
  <conditionalFormatting sqref="H317:J317">
    <cfRule type="expression" dxfId="824" priority="183" stopIfTrue="1">
      <formula>"esterreur(reference)"</formula>
    </cfRule>
  </conditionalFormatting>
  <conditionalFormatting sqref="H439:J439">
    <cfRule type="expression" dxfId="823" priority="142" stopIfTrue="1">
      <formula>"esterreur(reference)"</formula>
    </cfRule>
  </conditionalFormatting>
  <conditionalFormatting sqref="H435:L436">
    <cfRule type="expression" dxfId="822" priority="138" stopIfTrue="1">
      <formula>"esterreur(reference)"</formula>
    </cfRule>
  </conditionalFormatting>
  <conditionalFormatting sqref="H447:L447 H450:L451">
    <cfRule type="expression" dxfId="821" priority="137" stopIfTrue="1">
      <formula>"esterreur(reference)"</formula>
    </cfRule>
  </conditionalFormatting>
  <conditionalFormatting sqref="H483:L483 H485:L485">
    <cfRule type="expression" dxfId="820" priority="213" stopIfTrue="1">
      <formula>"esterreur(reference)"</formula>
    </cfRule>
  </conditionalFormatting>
  <conditionalFormatting sqref="I16:I18 I20 I24:I30">
    <cfRule type="expression" dxfId="819" priority="543" stopIfTrue="1">
      <formula>"esterreur(reference)"</formula>
    </cfRule>
  </conditionalFormatting>
  <conditionalFormatting sqref="I109:I110">
    <cfRule type="expression" dxfId="818" priority="33" stopIfTrue="1">
      <formula>"esterreur(reference)"</formula>
    </cfRule>
  </conditionalFormatting>
  <conditionalFormatting sqref="I182:I183">
    <cfRule type="expression" dxfId="817" priority="23" stopIfTrue="1">
      <formula>"esterreur(reference)"</formula>
    </cfRule>
  </conditionalFormatting>
  <conditionalFormatting sqref="I268:I269">
    <cfRule type="expression" dxfId="816" priority="20" stopIfTrue="1">
      <formula>"esterreur(reference)"</formula>
    </cfRule>
  </conditionalFormatting>
  <conditionalFormatting sqref="I326:I327">
    <cfRule type="expression" dxfId="815" priority="13" stopIfTrue="1">
      <formula>"esterreur(reference)"</formula>
    </cfRule>
  </conditionalFormatting>
  <conditionalFormatting sqref="I390:I391">
    <cfRule type="expression" dxfId="814" priority="10" stopIfTrue="1">
      <formula>"esterreur(reference)"</formula>
    </cfRule>
  </conditionalFormatting>
  <conditionalFormatting sqref="I448:I449">
    <cfRule type="expression" dxfId="813"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198" stopIfTrue="1">
      <formula>"esterreur(reference)"</formula>
    </cfRule>
  </conditionalFormatting>
  <conditionalFormatting sqref="J16 L16:L24">
    <cfRule type="expression" dxfId="811" priority="185" stopIfTrue="1">
      <formula>"esterreur(reference)"</formula>
    </cfRule>
  </conditionalFormatting>
  <conditionalFormatting sqref="J182 J183:L183">
    <cfRule type="expression" dxfId="810" priority="24" stopIfTrue="1">
      <formula>"esterreur(reference)"</formula>
    </cfRule>
  </conditionalFormatting>
  <conditionalFormatting sqref="J326 J327:K327">
    <cfRule type="expression" dxfId="809" priority="14" stopIfTrue="1">
      <formula>"esterreur(reference)"</formula>
    </cfRule>
  </conditionalFormatting>
  <conditionalFormatting sqref="J371:J390">
    <cfRule type="expression" dxfId="808" priority="3" stopIfTrue="1">
      <formula>"esterreur(reference)"</formula>
    </cfRule>
  </conditionalFormatting>
  <conditionalFormatting sqref="J448 J449:K449">
    <cfRule type="expression" dxfId="807" priority="7" stopIfTrue="1">
      <formula>"esterreur(reference)"</formula>
    </cfRule>
  </conditionalFormatting>
  <conditionalFormatting sqref="J54:K54">
    <cfRule type="expression" dxfId="806" priority="130" stopIfTrue="1">
      <formula>"esterreur(reference)"</formula>
    </cfRule>
  </conditionalFormatting>
  <conditionalFormatting sqref="J72:K72">
    <cfRule type="expression" dxfId="805" priority="128" stopIfTrue="1">
      <formula>"esterreur(reference)"</formula>
    </cfRule>
  </conditionalFormatting>
  <conditionalFormatting sqref="J74:K74">
    <cfRule type="expression" dxfId="804" priority="125" stopIfTrue="1">
      <formula>"esterreur(reference)"</formula>
    </cfRule>
  </conditionalFormatting>
  <conditionalFormatting sqref="J85:K85">
    <cfRule type="expression" dxfId="803" priority="38" stopIfTrue="1">
      <formula>"esterreur(reference)"</formula>
    </cfRule>
  </conditionalFormatting>
  <conditionalFormatting sqref="J156:K158">
    <cfRule type="expression" dxfId="802" priority="114" stopIfTrue="1">
      <formula>"esterreur(reference)"</formula>
    </cfRule>
  </conditionalFormatting>
  <conditionalFormatting sqref="J164:K164">
    <cfRule type="expression" dxfId="801" priority="111" stopIfTrue="1">
      <formula>"esterreur(reference)"</formula>
    </cfRule>
  </conditionalFormatting>
  <conditionalFormatting sqref="J166:K166">
    <cfRule type="expression" dxfId="800" priority="41" stopIfTrue="1">
      <formula>"esterreur(reference)"</formula>
    </cfRule>
  </conditionalFormatting>
  <conditionalFormatting sqref="J229:K231">
    <cfRule type="expression" dxfId="799" priority="100" stopIfTrue="1">
      <formula>"esterreur(reference)"</formula>
    </cfRule>
  </conditionalFormatting>
  <conditionalFormatting sqref="J237:K237">
    <cfRule type="expression" dxfId="798" priority="97" stopIfTrue="1">
      <formula>"esterreur(reference)"</formula>
    </cfRule>
  </conditionalFormatting>
  <conditionalFormatting sqref="J239:K239">
    <cfRule type="expression" dxfId="797" priority="44" stopIfTrue="1">
      <formula>"esterreur(reference)"</formula>
    </cfRule>
  </conditionalFormatting>
  <conditionalFormatting sqref="J305:K305">
    <cfRule type="expression" dxfId="796" priority="88" stopIfTrue="1">
      <formula>"esterreur(reference)"</formula>
    </cfRule>
  </conditionalFormatting>
  <conditionalFormatting sqref="J307:K307">
    <cfRule type="expression" dxfId="795" priority="47" stopIfTrue="1">
      <formula>"esterreur(reference)"</formula>
    </cfRule>
  </conditionalFormatting>
  <conditionalFormatting sqref="J363:K363">
    <cfRule type="expression" dxfId="794" priority="79" stopIfTrue="1">
      <formula>"esterreur(reference)"</formula>
    </cfRule>
  </conditionalFormatting>
  <conditionalFormatting sqref="J365:K365">
    <cfRule type="expression" dxfId="793" priority="50" stopIfTrue="1">
      <formula>"esterreur(reference)"</formula>
    </cfRule>
  </conditionalFormatting>
  <conditionalFormatting sqref="J427:K427">
    <cfRule type="expression" dxfId="792" priority="70" stopIfTrue="1">
      <formula>"esterreur(reference)"</formula>
    </cfRule>
  </conditionalFormatting>
  <conditionalFormatting sqref="J429:K431">
    <cfRule type="expression" dxfId="791" priority="53" stopIfTrue="1">
      <formula>"esterreur(reference)"</formula>
    </cfRule>
  </conditionalFormatting>
  <conditionalFormatting sqref="J464:K464">
    <cfRule type="expression" dxfId="790" priority="65" stopIfTrue="1">
      <formula>"esterreur(reference)"</formula>
    </cfRule>
  </conditionalFormatting>
  <conditionalFormatting sqref="J482:K482">
    <cfRule type="expression" dxfId="789" priority="62" stopIfTrue="1">
      <formula>"esterreur(reference)"</formula>
    </cfRule>
  </conditionalFormatting>
  <conditionalFormatting sqref="J484:K484">
    <cfRule type="expression" dxfId="788" priority="59" stopIfTrue="1">
      <formula>"esterreur(reference)"</formula>
    </cfRule>
  </conditionalFormatting>
  <conditionalFormatting sqref="J486:K487">
    <cfRule type="expression" dxfId="787" priority="56" stopIfTrue="1">
      <formula>"esterreur(reference)"</formula>
    </cfRule>
  </conditionalFormatting>
  <conditionalFormatting sqref="J53:L53 J55:L71">
    <cfRule type="expression" dxfId="786" priority="184" stopIfTrue="1">
      <formula>"esterreur(reference)"</formula>
    </cfRule>
  </conditionalFormatting>
  <conditionalFormatting sqref="J465:L481">
    <cfRule type="expression" dxfId="785" priority="214" stopIfTrue="1">
      <formula>"esterreur(reference)"</formula>
    </cfRule>
  </conditionalFormatting>
  <conditionalFormatting sqref="K5">
    <cfRule type="expression" dxfId="784" priority="325" stopIfTrue="1">
      <formula>"esterreur(reference)"</formula>
    </cfRule>
  </conditionalFormatting>
  <conditionalFormatting sqref="K321:L321">
    <cfRule type="expression" dxfId="783" priority="305" stopIfTrue="1">
      <formula>"esterreur(reference)"</formula>
    </cfRule>
  </conditionalFormatting>
  <conditionalFormatting sqref="K437:L437 L439 K440:L440">
    <cfRule type="expression" dxfId="782" priority="143" stopIfTrue="1">
      <formula>"esterreur(reference)"</formula>
    </cfRule>
  </conditionalFormatting>
  <conditionalFormatting sqref="K443:L443">
    <cfRule type="expression" dxfId="781" priority="144" stopIfTrue="1">
      <formula>"esterreur(reference)"</formula>
    </cfRule>
  </conditionalFormatting>
  <conditionalFormatting sqref="L5:L14">
    <cfRule type="expression" dxfId="780" priority="36" stopIfTrue="1">
      <formula>"esterreur(reference)"</formula>
    </cfRule>
  </conditionalFormatting>
  <conditionalFormatting sqref="L75:L82">
    <cfRule type="expression" dxfId="779" priority="205" stopIfTrue="1">
      <formula>"esterreur(reference)"</formula>
    </cfRule>
  </conditionalFormatting>
  <conditionalFormatting sqref="L157:L163">
    <cfRule type="expression" dxfId="778" priority="283" stopIfTrue="1">
      <formula>"esterreur(reference)"</formula>
    </cfRule>
  </conditionalFormatting>
  <conditionalFormatting sqref="L230:L236">
    <cfRule type="expression" dxfId="777" priority="156" stopIfTrue="1">
      <formula>"esterreur(reference)"</formula>
    </cfRule>
  </conditionalFormatting>
  <conditionalFormatting sqref="L272:L283">
    <cfRule type="expression" dxfId="776" priority="260" stopIfTrue="1">
      <formula>"esterreur(reference)"</formula>
    </cfRule>
  </conditionalFormatting>
  <conditionalFormatting sqref="L285:L302">
    <cfRule type="expression" dxfId="775" priority="262" stopIfTrue="1">
      <formula>"esterreur(reference)"</formula>
    </cfRule>
  </conditionalFormatting>
  <conditionalFormatting sqref="L324">
    <cfRule type="expression" dxfId="774" priority="134" stopIfTrue="1">
      <formula>"esterreur(reference)"</formula>
    </cfRule>
  </conditionalFormatting>
  <conditionalFormatting sqref="L330:L341">
    <cfRule type="expression" dxfId="773" priority="306" stopIfTrue="1">
      <formula>"esterreur(reference)"</formula>
    </cfRule>
  </conditionalFormatting>
  <conditionalFormatting sqref="L422:L424">
    <cfRule type="expression" dxfId="772" priority="226" stopIfTrue="1">
      <formula>"esterreur(reference)"</formula>
    </cfRule>
  </conditionalFormatting>
  <conditionalFormatting sqref="L446">
    <cfRule type="expression" dxfId="771" priority="2" stopIfTrue="1">
      <formula>"esterreur(reference)"</formula>
    </cfRule>
  </conditionalFormatting>
  <conditionalFormatting sqref="M95:M97">
    <cfRule type="expression" dxfId="770" priority="199" stopIfTrue="1">
      <formula>"esterreur(reference)"</formula>
    </cfRule>
  </conditionalFormatting>
  <conditionalFormatting sqref="M177:M179">
    <cfRule type="expression" dxfId="769" priority="155" stopIfTrue="1">
      <formula>"esterreur(reference)"</formula>
    </cfRule>
  </conditionalFormatting>
  <conditionalFormatting sqref="N283">
    <cfRule type="expression" dxfId="768" priority="188" stopIfTrue="1">
      <formula>"esterreur(reference)"</formula>
    </cfRule>
  </conditionalFormatting>
  <conditionalFormatting sqref="N394:N404">
    <cfRule type="expression" dxfId="767" priority="193" stopIfTrue="1">
      <formula>"esterreur(reference)"</formula>
    </cfRule>
  </conditionalFormatting>
  <conditionalFormatting sqref="N271:Q271">
    <cfRule type="expression" dxfId="766" priority="173" stopIfTrue="1">
      <formula>"esterreur(reference)"</formula>
    </cfRule>
  </conditionalFormatting>
  <conditionalFormatting sqref="O16 Q16:Q24">
    <cfRule type="expression" dxfId="765" priority="178" stopIfTrue="1">
      <formula>"esterreur(reference)"</formula>
    </cfRule>
  </conditionalFormatting>
  <conditionalFormatting sqref="O109 O110:Q122">
    <cfRule type="expression" dxfId="764" priority="31" stopIfTrue="1">
      <formula>"esterreur(reference)"</formula>
    </cfRule>
  </conditionalFormatting>
  <conditionalFormatting sqref="O182 O183:Q195">
    <cfRule type="expression" dxfId="763"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72" stopIfTrue="1">
      <formula>"esterreur(reference)"</formula>
    </cfRule>
  </conditionalFormatting>
  <conditionalFormatting sqref="O266:O268 O269:P269">
    <cfRule type="expression" dxfId="761" priority="18" stopIfTrue="1">
      <formula>"esterreur(reference)"</formula>
    </cfRule>
  </conditionalFormatting>
  <conditionalFormatting sqref="O317">
    <cfRule type="expression" dxfId="760" priority="167" stopIfTrue="1">
      <formula>"esterreur(reference)"</formula>
    </cfRule>
  </conditionalFormatting>
  <conditionalFormatting sqref="O326 O327:P327">
    <cfRule type="expression" dxfId="759" priority="11" stopIfTrue="1">
      <formula>"esterreur(reference)"</formula>
    </cfRule>
  </conditionalFormatting>
  <conditionalFormatting sqref="O390 O391:P391">
    <cfRule type="expression" dxfId="758" priority="8" stopIfTrue="1">
      <formula>"esterreur(reference)"</formula>
    </cfRule>
  </conditionalFormatting>
  <conditionalFormatting sqref="O439">
    <cfRule type="expression" dxfId="757" priority="139" stopIfTrue="1">
      <formula>"esterreur(reference)"</formula>
    </cfRule>
  </conditionalFormatting>
  <conditionalFormatting sqref="O448 O449:P449">
    <cfRule type="expression" dxfId="756" priority="4" stopIfTrue="1">
      <formula>"esterreur(reference)"</formula>
    </cfRule>
  </conditionalFormatting>
  <conditionalFormatting sqref="O54:P54">
    <cfRule type="expression" dxfId="755" priority="129" stopIfTrue="1">
      <formula>"esterreur(reference)"</formula>
    </cfRule>
  </conditionalFormatting>
  <conditionalFormatting sqref="O72:P72">
    <cfRule type="expression" dxfId="754" priority="127" stopIfTrue="1">
      <formula>"esterreur(reference)"</formula>
    </cfRule>
  </conditionalFormatting>
  <conditionalFormatting sqref="O74:P74">
    <cfRule type="expression" dxfId="753" priority="124" stopIfTrue="1">
      <formula>"esterreur(reference)"</formula>
    </cfRule>
  </conditionalFormatting>
  <conditionalFormatting sqref="O85:P85">
    <cfRule type="expression" dxfId="752" priority="37" stopIfTrue="1">
      <formula>"esterreur(reference)"</formula>
    </cfRule>
  </conditionalFormatting>
  <conditionalFormatting sqref="O123:P133">
    <cfRule type="expression" dxfId="751" priority="120" stopIfTrue="1">
      <formula>"esterreur(reference)"</formula>
    </cfRule>
  </conditionalFormatting>
  <conditionalFormatting sqref="O136:P136">
    <cfRule type="expression" dxfId="750" priority="118" stopIfTrue="1">
      <formula>"esterreur(reference)"</formula>
    </cfRule>
  </conditionalFormatting>
  <conditionalFormatting sqref="O154:P154">
    <cfRule type="expression" dxfId="749" priority="116" stopIfTrue="1">
      <formula>"esterreur(reference)"</formula>
    </cfRule>
  </conditionalFormatting>
  <conditionalFormatting sqref="O156:P158">
    <cfRule type="expression" dxfId="748" priority="113" stopIfTrue="1">
      <formula>"esterreur(reference)"</formula>
    </cfRule>
  </conditionalFormatting>
  <conditionalFormatting sqref="O164:P164">
    <cfRule type="expression" dxfId="747" priority="110" stopIfTrue="1">
      <formula>"esterreur(reference)"</formula>
    </cfRule>
  </conditionalFormatting>
  <conditionalFormatting sqref="O166:P166">
    <cfRule type="expression" dxfId="746" priority="40" stopIfTrue="1">
      <formula>"esterreur(reference)"</formula>
    </cfRule>
  </conditionalFormatting>
  <conditionalFormatting sqref="O196:P206">
    <cfRule type="expression" dxfId="745" priority="106" stopIfTrue="1">
      <formula>"esterreur(reference)"</formula>
    </cfRule>
  </conditionalFormatting>
  <conditionalFormatting sqref="O209:P209">
    <cfRule type="expression" dxfId="744" priority="104" stopIfTrue="1">
      <formula>"esterreur(reference)"</formula>
    </cfRule>
  </conditionalFormatting>
  <conditionalFormatting sqref="O227:P227">
    <cfRule type="expression" dxfId="743" priority="102" stopIfTrue="1">
      <formula>"esterreur(reference)"</formula>
    </cfRule>
  </conditionalFormatting>
  <conditionalFormatting sqref="O229:P231">
    <cfRule type="expression" dxfId="742" priority="99" stopIfTrue="1">
      <formula>"esterreur(reference)"</formula>
    </cfRule>
  </conditionalFormatting>
  <conditionalFormatting sqref="O237:P237">
    <cfRule type="expression" dxfId="741" priority="96" stopIfTrue="1">
      <formula>"esterreur(reference)"</formula>
    </cfRule>
  </conditionalFormatting>
  <conditionalFormatting sqref="O239:P239">
    <cfRule type="expression" dxfId="740" priority="43" stopIfTrue="1">
      <formula>"esterreur(reference)"</formula>
    </cfRule>
  </conditionalFormatting>
  <conditionalFormatting sqref="O276:P303">
    <cfRule type="expression" dxfId="739" priority="90" stopIfTrue="1">
      <formula>"esterreur(reference)"</formula>
    </cfRule>
  </conditionalFormatting>
  <conditionalFormatting sqref="O305:P305">
    <cfRule type="expression" dxfId="738" priority="87" stopIfTrue="1">
      <formula>"esterreur(reference)"</formula>
    </cfRule>
  </conditionalFormatting>
  <conditionalFormatting sqref="O307:P307">
    <cfRule type="expression" dxfId="737" priority="46" stopIfTrue="1">
      <formula>"esterreur(reference)"</formula>
    </cfRule>
  </conditionalFormatting>
  <conditionalFormatting sqref="O330:P342">
    <cfRule type="expression" dxfId="736" priority="83" stopIfTrue="1">
      <formula>"esterreur(reference)"</formula>
    </cfRule>
  </conditionalFormatting>
  <conditionalFormatting sqref="O361:P361">
    <cfRule type="expression" dxfId="735" priority="81" stopIfTrue="1">
      <formula>"esterreur(reference)"</formula>
    </cfRule>
  </conditionalFormatting>
  <conditionalFormatting sqref="O363:P363">
    <cfRule type="expression" dxfId="734" priority="78" stopIfTrue="1">
      <formula>"esterreur(reference)"</formula>
    </cfRule>
  </conditionalFormatting>
  <conditionalFormatting sqref="O365:P365">
    <cfRule type="expression" dxfId="733" priority="49" stopIfTrue="1">
      <formula>"esterreur(reference)"</formula>
    </cfRule>
  </conditionalFormatting>
  <conditionalFormatting sqref="O371:P379 O380:Q382 O383:P384 O385:Q389 O392:Q405 O428:Q428">
    <cfRule type="expression" dxfId="732" priority="165" stopIfTrue="1">
      <formula>"esterreur(reference)"</formula>
    </cfRule>
  </conditionalFormatting>
  <conditionalFormatting sqref="O406:P425">
    <cfRule type="expression" dxfId="731" priority="72" stopIfTrue="1">
      <formula>"esterreur(reference)"</formula>
    </cfRule>
  </conditionalFormatting>
  <conditionalFormatting sqref="O427:P427">
    <cfRule type="expression" dxfId="730" priority="69" stopIfTrue="1">
      <formula>"esterreur(reference)"</formula>
    </cfRule>
  </conditionalFormatting>
  <conditionalFormatting sqref="O429:P429">
    <cfRule type="expression" dxfId="729" priority="52" stopIfTrue="1">
      <formula>"esterreur(reference)"</formula>
    </cfRule>
  </conditionalFormatting>
  <conditionalFormatting sqref="O464:P464">
    <cfRule type="expression" dxfId="728" priority="64" stopIfTrue="1">
      <formula>"esterreur(reference)"</formula>
    </cfRule>
  </conditionalFormatting>
  <conditionalFormatting sqref="O482:P482">
    <cfRule type="expression" dxfId="727" priority="61" stopIfTrue="1">
      <formula>"esterreur(reference)"</formula>
    </cfRule>
  </conditionalFormatting>
  <conditionalFormatting sqref="O484:P484">
    <cfRule type="expression" dxfId="726" priority="58" stopIfTrue="1">
      <formula>"esterreur(reference)"</formula>
    </cfRule>
  </conditionalFormatting>
  <conditionalFormatting sqref="O486:P486">
    <cfRule type="expression" dxfId="725" priority="55" stopIfTrue="1">
      <formula>"esterreur(reference)"</formula>
    </cfRule>
  </conditionalFormatting>
  <conditionalFormatting sqref="O53:Q53 O55:Q71">
    <cfRule type="expression" dxfId="724" priority="177" stopIfTrue="1">
      <formula>"esterreur(reference)"</formula>
    </cfRule>
  </conditionalFormatting>
  <conditionalFormatting sqref="O180:Q181">
    <cfRule type="expression" dxfId="723" priority="149" stopIfTrue="1">
      <formula>"esterreur(reference)"</formula>
    </cfRule>
  </conditionalFormatting>
  <conditionalFormatting sqref="O436:Q436">
    <cfRule type="expression" dxfId="722" priority="160" stopIfTrue="1">
      <formula>"esterreur(reference)"</formula>
    </cfRule>
  </conditionalFormatting>
  <conditionalFormatting sqref="O447:Q447 O450:Q463 O465:Q481">
    <cfRule type="expression" dxfId="721" priority="136" stopIfTrue="1">
      <formula>"esterreur(reference)"</formula>
    </cfRule>
  </conditionalFormatting>
  <conditionalFormatting sqref="O483:Q483 O485:Q485">
    <cfRule type="expression" dxfId="720" priority="135" stopIfTrue="1">
      <formula>"esterreur(reference)"</formula>
    </cfRule>
  </conditionalFormatting>
  <conditionalFormatting sqref="P5:Q5">
    <cfRule type="expression" dxfId="719" priority="182" stopIfTrue="1">
      <formula>"esterreur(reference)"</formula>
    </cfRule>
  </conditionalFormatting>
  <conditionalFormatting sqref="P315:Q315 P317:Q318 O328:Q329 O343:Q360 O364:Q364">
    <cfRule type="expression" dxfId="718" priority="168" stopIfTrue="1">
      <formula>"esterreur(reference)"</formula>
    </cfRule>
  </conditionalFormatting>
  <conditionalFormatting sqref="P321:Q321">
    <cfRule type="expression" dxfId="717" priority="170" stopIfTrue="1">
      <formula>"esterreur(reference)"</formula>
    </cfRule>
  </conditionalFormatting>
  <conditionalFormatting sqref="P437:Q437 Q439 P440:Q440">
    <cfRule type="expression" dxfId="716" priority="140" stopIfTrue="1">
      <formula>"esterreur(reference)"</formula>
    </cfRule>
  </conditionalFormatting>
  <conditionalFormatting sqref="P443:Q443">
    <cfRule type="expression" dxfId="715" priority="141" stopIfTrue="1">
      <formula>"esterreur(reference)"</formula>
    </cfRule>
  </conditionalFormatting>
  <conditionalFormatting sqref="Q6:Q14 O13:O14 O18:O24 O25:Q26 O27 O28:Q30 O31:P36 O37 O38:P52 O83:P83 O84:Q84">
    <cfRule type="expression" dxfId="714" priority="180" stopIfTrue="1">
      <formula>"esterreur(reference)"</formula>
    </cfRule>
  </conditionalFormatting>
  <conditionalFormatting sqref="Q75:Q82">
    <cfRule type="expression" dxfId="713" priority="181" stopIfTrue="1">
      <formula>"esterreur(reference)"</formula>
    </cfRule>
  </conditionalFormatting>
  <conditionalFormatting sqref="Q157:Q163">
    <cfRule type="expression" dxfId="712" priority="176" stopIfTrue="1">
      <formula>"esterreur(reference)"</formula>
    </cfRule>
  </conditionalFormatting>
  <conditionalFormatting sqref="Q230:Q236">
    <cfRule type="expression" dxfId="711" priority="153" stopIfTrue="1">
      <formula>"esterreur(reference)"</formula>
    </cfRule>
  </conditionalFormatting>
  <conditionalFormatting sqref="Q259">
    <cfRule type="expression" dxfId="710" priority="131" stopIfTrue="1">
      <formula>"esterreur(reference)"</formula>
    </cfRule>
  </conditionalFormatting>
  <conditionalFormatting sqref="Q272:Q283">
    <cfRule type="expression" dxfId="709" priority="174" stopIfTrue="1">
      <formula>"esterreur(reference)"</formula>
    </cfRule>
  </conditionalFormatting>
  <conditionalFormatting sqref="Q285:Q302">
    <cfRule type="expression" dxfId="708" priority="175" stopIfTrue="1">
      <formula>"esterreur(reference)"</formula>
    </cfRule>
  </conditionalFormatting>
  <conditionalFormatting sqref="Q324">
    <cfRule type="expression" dxfId="707" priority="133" stopIfTrue="1">
      <formula>"esterreur(reference)"</formula>
    </cfRule>
  </conditionalFormatting>
  <conditionalFormatting sqref="Q330:Q341">
    <cfRule type="expression" dxfId="706" priority="171" stopIfTrue="1">
      <formula>"esterreur(reference)"</formula>
    </cfRule>
  </conditionalFormatting>
  <conditionalFormatting sqref="Q422:Q424">
    <cfRule type="expression" dxfId="705" priority="166" stopIfTrue="1">
      <formula>"esterreur(reference)"</formula>
    </cfRule>
  </conditionalFormatting>
  <conditionalFormatting sqref="Q446">
    <cfRule type="expression" dxfId="704" priority="1" stopIfTrue="1">
      <formula>"esterreur(reference)"</formula>
    </cfRule>
  </conditionalFormatting>
  <conditionalFormatting sqref="R388">
    <cfRule type="expression" dxfId="703" priority="207" stopIfTrue="1">
      <formula>"esterreur(reference)"</formula>
    </cfRule>
  </conditionalFormatting>
  <conditionalFormatting sqref="S260">
    <cfRule type="expression" dxfId="702" priority="349" stopIfTrue="1">
      <formula>"esterreur(reference)"</formula>
    </cfRule>
  </conditionalFormatting>
  <conditionalFormatting sqref="AG496:AI505 AH507:AI519 AH521:AI538 AH540:AI547 AH548:AH549 AH550:AI552 AH554:AI554 AH578:AI584">
    <cfRule type="cellIs" dxfId="701" priority="208" operator="greaterThan">
      <formula>0</formula>
    </cfRule>
  </conditionalFormatting>
  <conditionalFormatting sqref="AH556:AI563 AH567:AI567">
    <cfRule type="cellIs" dxfId="700" priority="209" operator="lessThan">
      <formula>0</formula>
    </cfRule>
  </conditionalFormatting>
  <conditionalFormatting sqref="AH564:AI566">
    <cfRule type="cellIs" dxfId="699" priority="533" operator="greaterThan">
      <formula>0</formula>
    </cfRule>
  </conditionalFormatting>
  <conditionalFormatting sqref="AO496:AO505">
    <cfRule type="cellIs" dxfId="698"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Q567" zoomScale="80" zoomScaleNormal="80" workbookViewId="0">
      <selection activeCell="AN532" sqref="AN532"/>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2.625" bestFit="1"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 thickTop="1">
      <c r="B3" s="38"/>
      <c r="C3" s="230"/>
      <c r="D3" s="1272" t="s">
        <v>339</v>
      </c>
      <c r="E3" s="1277"/>
      <c r="F3" s="1278"/>
      <c r="G3" s="1279"/>
      <c r="H3" s="1277"/>
      <c r="I3" s="1278"/>
      <c r="J3" s="1279" t="s">
        <v>340</v>
      </c>
      <c r="K3" s="1277"/>
      <c r="L3" s="1278"/>
      <c r="M3" s="1279" t="s">
        <v>668</v>
      </c>
      <c r="N3" s="1278"/>
      <c r="O3" s="1272" t="s">
        <v>341</v>
      </c>
      <c r="P3" s="1277"/>
      <c r="Q3" s="1278"/>
      <c r="R3" s="1271" t="s">
        <v>670</v>
      </c>
      <c r="S3" s="1280"/>
      <c r="T3" s="38"/>
      <c r="U3" s="38"/>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25">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85851260.560000002</v>
      </c>
      <c r="M5" s="242"/>
      <c r="N5" s="950"/>
      <c r="O5" s="238"/>
      <c r="P5" s="949"/>
      <c r="Q5" s="286">
        <f>-SUMIFS(BV_Data_An_Prec!$AN:$AN,BV_Data_An_Prec!$AS:$AS,"Oui",BV_Data_An_Prec!$AP:$AP,$B5)</f>
        <v>104105852.95999998</v>
      </c>
      <c r="R5" s="242"/>
      <c r="S5" s="962"/>
      <c r="T5" s="38"/>
      <c r="U5" s="35">
        <f>L5/AF493</f>
        <v>0.5195594534056609</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45"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0.25">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0.25">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0.25">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25">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544.1644989338987</v>
      </c>
      <c r="L17" s="266">
        <f>-SUMIFS(BV_Data_An_Cour!$AN:$AN,BV_Data_An_Cour!$AP:$AP,$B17,BV_Data_An_Cour!$AQ:$AQ,$C17,BV_Data_An_Cour!$AR:$AR,L$2)</f>
        <v>510426.29999999702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-211589.3599999994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0.25"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0.25">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34.056994382022474</v>
      </c>
      <c r="L21" s="266">
        <f>-SUMIFS(BV_Data_An_Cour!$AN:$AN,BV_Data_An_Cour!$AP:$AP,$B21,BV_Data_An_Cour!$AQ:$AQ,$C21,BV_Data_An_Cour!$AR:$AR,L$2)</f>
        <v>12124.29</v>
      </c>
      <c r="M21" s="245"/>
      <c r="N21" s="246" t="e">
        <f>L21-F21</f>
        <v>#N/A</v>
      </c>
      <c r="O21" s="245"/>
      <c r="P21" s="281">
        <f>IF(O13=0,0,Q21/(O13+O15))</f>
        <v>10.119032258064514</v>
      </c>
      <c r="Q21" s="266">
        <f>-SUMIFS(BV_Data_An_Prec!$AN:$AN,BV_Data_An_Prec!$AP:$AP,$B21,BV_Data_An_Prec!$AQ:$AQ,$C21,BV_Data_An_Prec!$AR:$AR,Q$2)</f>
        <v>5332.73</v>
      </c>
      <c r="R21" s="267">
        <f>P21-K21</f>
        <v>-23.937962123957959</v>
      </c>
      <c r="S21" s="266">
        <f t="shared" ref="S21:S23" si="12">L21-Q21</f>
        <v>6791.5600000000013</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787.77415730337088</v>
      </c>
      <c r="L22" s="266">
        <f>-SUMIFS(BV_Data_An_Cour!$AN:$AN,BV_Data_An_Cour!$AP:$AP,$B22,BV_Data_An_Cour!$AQ:$AQ,$C22,BV_Data_An_Cour!$AR:$AR,L$2)</f>
        <v>280447.60000000003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-110.50265825213739</v>
      </c>
      <c r="S22" s="266">
        <f t="shared" si="12"/>
        <v>-76474.48000000004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94.731123595505636</v>
      </c>
      <c r="L23" s="266">
        <f>-SUMIFS(BV_Data_An_Cour!$AN:$AN,BV_Data_An_Cour!$AP:$AP,$B23,BV_Data_An_Cour!$AQ:$AQ,$C23,BV_Data_An_Cour!$AR:$AR,L$2)</f>
        <v>33724.280000000006</v>
      </c>
      <c r="M23" s="257"/>
      <c r="N23" s="246" t="e">
        <f>L23-F23</f>
        <v>#N/A</v>
      </c>
      <c r="O23" s="245"/>
      <c r="P23" s="281">
        <f>IF(O13=0,0,Q23/(O13+O15))</f>
        <v>68.6750284629981</v>
      </c>
      <c r="Q23" s="266">
        <f>-SUMIFS(BV_Data_An_Prec!$AN:$AN,BV_Data_An_Prec!$AP:$AP,$B23,BV_Data_An_Prec!$AQ:$AQ,$C23,BV_Data_An_Prec!$AR:$AR,Q$2)</f>
        <v>36191.74</v>
      </c>
      <c r="R23" s="267">
        <f t="shared" si="13"/>
        <v>-26.056095132507537</v>
      </c>
      <c r="S23" s="266">
        <f t="shared" si="12"/>
        <v>-2467.4599999999919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916.56227528089903</v>
      </c>
      <c r="L24" s="356">
        <f>L21+L22+L23</f>
        <v>326296.17000000004</v>
      </c>
      <c r="M24" s="265" t="e">
        <f>J24-D24</f>
        <v>#N/A</v>
      </c>
      <c r="N24" s="251" t="e">
        <f>L24-F24</f>
        <v>#N/A</v>
      </c>
      <c r="O24" s="252">
        <f>+O15+O13</f>
        <v>527</v>
      </c>
      <c r="P24" s="355">
        <f>IF(O24&lt;=0,0,Q24/O24)</f>
        <v>756.06555977229607</v>
      </c>
      <c r="Q24" s="356">
        <f>Q21+Q22+Q23</f>
        <v>398446.55000000005</v>
      </c>
      <c r="R24" s="337">
        <f>P24-K24</f>
        <v>-160.49671550860296</v>
      </c>
      <c r="S24" s="356">
        <f>L24-Q24</f>
        <v>-72150.38</v>
      </c>
      <c r="T24" s="38"/>
      <c r="U24" s="1051">
        <f>L24-L32</f>
        <v>221124.84000000003</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-0.18107919368356934</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1254.7740880989172</v>
      </c>
      <c r="L27" s="271">
        <f>L13+L17+L24+L19+L15</f>
        <v>1623677.669999999</v>
      </c>
      <c r="M27" s="272" t="e">
        <f>J27-D27</f>
        <v>#N/A</v>
      </c>
      <c r="N27" s="271" t="e">
        <f>L27-F27</f>
        <v>#N/A</v>
      </c>
      <c r="O27" s="272">
        <f>+O13+O15+O17</f>
        <v>1697</v>
      </c>
      <c r="P27" s="269">
        <f>IF(O27&lt;=0,0,Q27/O27)</f>
        <v>1477.6017855038278</v>
      </c>
      <c r="Q27" s="271">
        <f>Q13+Q17+Q24+Q19+Q15</f>
        <v>2507490.2299999958</v>
      </c>
      <c r="R27" s="272">
        <f>J27-O27</f>
        <v>-403</v>
      </c>
      <c r="S27" s="271">
        <f>L27-Q27</f>
        <v>-883812.5599999968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1998.359907000505</v>
      </c>
      <c r="R28" s="276">
        <f>R27/O27</f>
        <v>-0.2374779021803182</v>
      </c>
      <c r="S28" s="326">
        <f>IF(Q27=0,0,S27/Q27)</f>
        <v>-0.35246899446543339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0.24316554536965435</v>
      </c>
      <c r="K31" s="281">
        <f>IF(L31=0,0,L31/J$24)</f>
        <v>886.17550561797748</v>
      </c>
      <c r="L31" s="266">
        <f>SUMIFS(BV_Data_An_Cour!$AN:$AN,BV_Data_An_Cour!$AP:$AP,$B31,BV_Data_An_Cour!$AQ:$AQ,$C31,BV_Data_An_Cour!$AR:$AR,L$2)</f>
        <v>315478.48</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-130784.28000000003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0.32231861624364144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673.54365168539323</v>
      </c>
      <c r="L33" s="952">
        <f>SUMIFS(BV_Data_An_Cour!$AN:$AN,BV_Data_An_Cour!$AP:$AP,$B33,BV_Data_An_Cour!$AQ:$AQ,$C33,BV_Data_An_Cour!$AR:$AR,L$2)</f>
        <v>239781.54</v>
      </c>
      <c r="M33" s="243"/>
      <c r="N33" s="266" t="e">
        <f t="shared" si="15"/>
        <v>#N/A</v>
      </c>
      <c r="O33" s="243"/>
      <c r="P33" s="281">
        <f t="shared" si="16"/>
        <v>-62.653225806451616</v>
      </c>
      <c r="Q33" s="266">
        <f>SUMIFS(BV_Data_An_Prec!$AN:$AN,BV_Data_An_Prec!$AP:$AP,$B33,BV_Data_An_Prec!$AQ:$AQ,$C33,BV_Data_An_Prec!$AR:$AR,Q$2)</f>
        <v>-33018.25</v>
      </c>
      <c r="R33" s="243"/>
      <c r="S33" s="266">
        <f t="shared" si="18"/>
        <v>272799.79000000004</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-204.23674157303375</v>
      </c>
      <c r="L36" s="952">
        <f>SUMIFS(BV_Data_An_Cour!$AN:$AN,BV_Data_An_Cour!$AP:$AP,$B36,BV_Data_An_Cour!$AQ:$AQ,$C36,BV_Data_An_Cour!$AR:$AR,L$2)</f>
        <v>-72708.280000000013</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75531.759999999966</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1261.7102247191012</v>
      </c>
      <c r="L37" s="266">
        <f>SUMIFS(BV_Data_An_Cour!$AN:$AN,BV_Data_An_Cour!$AP:$AP,$B37,BV_Data_An_Cour!$AQ:$AQ,$C37,BV_Data_An_Cour!$AR:$AR,L$2)</f>
        <v>449168.84</v>
      </c>
      <c r="M37" s="243"/>
      <c r="N37" s="658" t="e">
        <f t="shared" si="15"/>
        <v>#N/A</v>
      </c>
      <c r="O37" s="243"/>
      <c r="P37" s="281">
        <f t="shared" si="16"/>
        <v>1452.3985009487667</v>
      </c>
      <c r="Q37" s="266">
        <f>SUMIFS(BV_Data_An_Prec!$AN:$AN,BV_Data_An_Prec!$AP:$AP,$B37,BV_Data_An_Prec!$AQ:$AQ,$C37,BV_Data_An_Prec!$AR:$AR,Q$2)</f>
        <v>765414.01</v>
      </c>
      <c r="R37" s="243"/>
      <c r="S37" s="266">
        <f t="shared" si="18"/>
        <v>-316245.17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v>
      </c>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-0.30840404425836593</v>
      </c>
      <c r="L41" s="294">
        <f>SUM(L31:L40)</f>
        <v>-500748.76000000013</v>
      </c>
      <c r="M41" s="296"/>
      <c r="N41" s="294" t="e">
        <f t="shared" si="15"/>
        <v>#N/A</v>
      </c>
      <c r="O41" s="295" t="s">
        <v>115</v>
      </c>
      <c r="P41" s="293">
        <f>Q41/Q$27</f>
        <v>-0.35012653269640109</v>
      </c>
      <c r="Q41" s="294">
        <f>SUM(Q31:Q40)</f>
        <v>-877938.85999999987</v>
      </c>
      <c r="R41" s="297"/>
      <c r="S41" s="294">
        <f t="shared" si="20"/>
        <v>377190.09999999974</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80979.34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156469.21</v>
      </c>
      <c r="M43" s="243"/>
      <c r="N43" s="266" t="e">
        <f t="shared" si="15"/>
        <v>#N/A</v>
      </c>
      <c r="O43" s="243"/>
      <c r="P43" s="38"/>
      <c r="Q43" s="286">
        <f>SUMIFS(BV_Data_An_Prec!$AN:$AN,BV_Data_An_Prec!$AP:$AP,$B43,BV_Data_An_Prec!$AQ:$AQ,$C43,BV_Data_An_Prec!$AR:$AR,Q$2)</f>
        <v>199441.88</v>
      </c>
      <c r="R43" s="243"/>
      <c r="S43" s="266">
        <f t="shared" ref="S43:S53" si="21">L43-Q43</f>
        <v>-42972.670000000013</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40137.29</v>
      </c>
      <c r="M44" s="233"/>
      <c r="N44" s="303" t="e">
        <f t="shared" si="15"/>
        <v>#N/A</v>
      </c>
      <c r="O44" s="233"/>
      <c r="P44" s="301"/>
      <c r="Q44" s="281">
        <f>SUMIFS(BV_Data_An_Prec!$AN:$AN,BV_Data_An_Prec!$AP:$AP,$B44,BV_Data_An_Prec!$AQ:$AQ,$C44,BV_Data_An_Prec!$AR:$AR,Q$2)</f>
        <v>26446.33</v>
      </c>
      <c r="R44" s="233"/>
      <c r="S44" s="303">
        <f t="shared" si="21"/>
        <v>13690.96</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56839.63</v>
      </c>
      <c r="M49" s="243"/>
      <c r="N49" s="266" t="e">
        <f t="shared" si="15"/>
        <v>#N/A</v>
      </c>
      <c r="O49" s="243"/>
      <c r="P49" s="38"/>
      <c r="Q49" s="286">
        <f>SUMIFS(BV_Data_An_Prec!$AN:$AN,BV_Data_An_Prec!$AP:$AP,$B49,BV_Data_An_Prec!$AQ:$AQ,$C49,BV_Data_An_Prec!$AR:$AR,Q$2)</f>
        <v>96954.97</v>
      </c>
      <c r="R49" s="243"/>
      <c r="S49" s="266">
        <f t="shared" si="21"/>
        <v>-40115.340000000004</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117114.98</v>
      </c>
      <c r="M50" s="233"/>
      <c r="N50" s="303" t="e">
        <f t="shared" si="15"/>
        <v>#N/A</v>
      </c>
      <c r="O50" s="233"/>
      <c r="P50" s="301"/>
      <c r="Q50" s="281">
        <f>SUMIFS(BV_Data_An_Prec!$AN:$AN,BV_Data_An_Prec!$AP:$AP,$B50,BV_Data_An_Prec!$AQ:$AQ,$C50,BV_Data_An_Prec!$AR:$AR,Q$2)</f>
        <v>152045.29999999999</v>
      </c>
      <c r="R50" s="233"/>
      <c r="S50" s="303">
        <f t="shared" si="21"/>
        <v>-34930.319999999992</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27876.34</v>
      </c>
      <c r="M51" s="243"/>
      <c r="N51" s="266" t="e">
        <f t="shared" si="15"/>
        <v>#N/A</v>
      </c>
      <c r="O51" s="243"/>
      <c r="P51" s="38"/>
      <c r="Q51" s="281">
        <f>SUMIFS(BV_Data_An_Prec!$AN:$AN,BV_Data_An_Prec!$AP:$AP,$B51,BV_Data_An_Prec!$AQ:$AQ,$C51,BV_Data_An_Prec!$AR:$AR,Q$2)</f>
        <v>41061.14</v>
      </c>
      <c r="R51" s="243"/>
      <c r="S51" s="266">
        <f t="shared" si="21"/>
        <v>-13184.8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21344.57</v>
      </c>
      <c r="M52" s="243"/>
      <c r="N52" s="266" t="e">
        <f t="shared" si="15"/>
        <v>#N/A</v>
      </c>
      <c r="O52" s="243"/>
      <c r="P52" s="38"/>
      <c r="Q52" s="281">
        <f>SUMIFS(BV_Data_An_Prec!$AN:$AN,BV_Data_An_Prec!$AP:$AP,$B52,BV_Data_An_Prec!$AQ:$AQ,$C52,BV_Data_An_Prec!$AR:$AR,Q$2)</f>
        <v>799.62</v>
      </c>
      <c r="R52" s="243"/>
      <c r="S52" s="266">
        <f t="shared" si="21"/>
        <v>20544.95</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0.30841180441928495</v>
      </c>
      <c r="L54" s="294">
        <f>+SUM(L42:L53)</f>
        <v>500761.36</v>
      </c>
      <c r="M54" s="296"/>
      <c r="N54" s="294" t="e">
        <f>+SUM(N42:N53)</f>
        <v>#N/A</v>
      </c>
      <c r="O54" s="295" t="s">
        <v>115</v>
      </c>
      <c r="P54" s="293">
        <f>Q54/Q$27</f>
        <v>0.2549221816908141</v>
      </c>
      <c r="Q54" s="294">
        <f>+SUM(Q42:Q53)</f>
        <v>639214.88000000012</v>
      </c>
      <c r="R54" s="297"/>
      <c r="S54" s="294">
        <f>+SUM(S42:S53)</f>
        <v>-96967.220000000016</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83024.460000000006</v>
      </c>
      <c r="M57" s="238"/>
      <c r="N57" s="286" t="e">
        <f t="shared" si="22"/>
        <v>#N/A</v>
      </c>
      <c r="O57" s="238"/>
      <c r="P57" s="304"/>
      <c r="Q57" s="286">
        <f>SUMIFS(BV_Data_An_Prec!$AN:$AN,BV_Data_An_Prec!$AP:$AP,$B57,BV_Data_An_Prec!$AQ:$AQ,$C57,BV_Data_An_Prec!$AR:$AR,Q$2)</f>
        <v>99842.55</v>
      </c>
      <c r="R57" s="238"/>
      <c r="S57" s="286">
        <f t="shared" si="23"/>
        <v>-16818.089999999997</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27257.03</v>
      </c>
      <c r="M58" s="243"/>
      <c r="N58" s="266" t="e">
        <f t="shared" si="22"/>
        <v>#N/A</v>
      </c>
      <c r="O58" s="243"/>
      <c r="P58" s="38"/>
      <c r="Q58" s="266">
        <f>SUMIFS(BV_Data_An_Prec!$AN:$AN,BV_Data_An_Prec!$AP:$AP,$B58,BV_Data_An_Prec!$AQ:$AQ,$C58,BV_Data_An_Prec!$AR:$AR,Q$2)</f>
        <v>34850.93</v>
      </c>
      <c r="R58" s="243"/>
      <c r="S58" s="266">
        <f t="shared" si="23"/>
        <v>-7593.9000000000015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24005.919999999998</v>
      </c>
      <c r="M59" s="243"/>
      <c r="N59" s="266" t="e">
        <f t="shared" si="22"/>
        <v>#N/A</v>
      </c>
      <c r="O59" s="243"/>
      <c r="P59" s="38"/>
      <c r="Q59" s="266">
        <f>SUMIFS(BV_Data_An_Prec!$AN:$AN,BV_Data_An_Prec!$AP:$AP,$B59,BV_Data_An_Prec!$AQ:$AQ,$C59,BV_Data_An_Prec!$AR:$AR,Q$2)</f>
        <v>31104.739999999998</v>
      </c>
      <c r="R59" s="243"/>
      <c r="S59" s="266">
        <f t="shared" si="23"/>
        <v>-7098.82</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4789.62</v>
      </c>
      <c r="M64" s="243"/>
      <c r="N64" s="266" t="e">
        <f t="shared" si="22"/>
        <v>#N/A</v>
      </c>
      <c r="O64" s="243"/>
      <c r="P64" s="38"/>
      <c r="Q64" s="266">
        <f>SUMIFS(BV_Data_An_Prec!$AN:$AN,BV_Data_An_Prec!$AP:$AP,$B64,BV_Data_An_Prec!$AQ:$AQ,$C64,BV_Data_An_Prec!$AR:$AR,Q$2)</f>
        <v>8583.16</v>
      </c>
      <c r="R64" s="243"/>
      <c r="S64" s="266">
        <f t="shared" si="23"/>
        <v>-3793.54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10517.38</v>
      </c>
      <c r="M68" s="243"/>
      <c r="N68" s="658" t="e">
        <f t="shared" si="22"/>
        <v>#N/A</v>
      </c>
      <c r="O68" s="243"/>
      <c r="P68" s="38"/>
      <c r="Q68" s="266">
        <f>SUMIFS(BV_Data_An_Prec!$AN:$AN,BV_Data_An_Prec!$AP:$AP,$B68,BV_Data_An_Prec!$AQ:$AQ,$C68,BV_Data_An_Prec!$AR:$AR,Q$2)</f>
        <v>2841.99</v>
      </c>
      <c r="R68" s="243"/>
      <c r="S68" s="266">
        <f t="shared" si="23"/>
        <v>7675.3899999999994</v>
      </c>
      <c r="T68" s="38"/>
      <c r="X68" s="38"/>
      <c r="Y68" s="38"/>
      <c r="Z68" s="38"/>
      <c r="AA68" s="38"/>
      <c r="AB68" s="38"/>
      <c r="AC68" s="38"/>
      <c r="AD68" s="38"/>
      <c r="AE68" s="38"/>
      <c r="AF68" s="38"/>
      <c r="AG68" s="38"/>
      <c r="AH68" s="38"/>
      <c r="AI68" s="38"/>
      <c r="AJ68" s="38"/>
      <c r="AK68" s="38"/>
      <c r="AL68" s="38"/>
      <c r="AM68" s="38"/>
      <c r="AN68" s="38"/>
    </row>
    <row r="69" spans="1:40" ht="20.45"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0.16914169916495816</v>
      </c>
      <c r="L72" s="294">
        <f>+SUM(L55:L71)</f>
        <v>274631.60000000003</v>
      </c>
      <c r="M72" s="296"/>
      <c r="N72" s="294" t="e">
        <f>+SUM(N55:N71)</f>
        <v>#N/A</v>
      </c>
      <c r="O72" s="295" t="s">
        <v>115</v>
      </c>
      <c r="P72" s="293">
        <f>Q72/Q$27</f>
        <v>0.11583948624198648</v>
      </c>
      <c r="Q72" s="294">
        <f>+SUM(Q55:Q71)</f>
        <v>290466.38</v>
      </c>
      <c r="R72" s="297"/>
      <c r="S72" s="294">
        <f>+SUM(S55:S71)</f>
        <v>-15834.779999999988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0.16914945932587719</v>
      </c>
      <c r="L74" s="294">
        <f>L41+L54+L72</f>
        <v>274644.1999999999</v>
      </c>
      <c r="M74" s="296"/>
      <c r="N74" s="294" t="e">
        <f t="shared" ref="N74:N82" si="24">L74-F74</f>
        <v>#N/A</v>
      </c>
      <c r="O74" s="295" t="s">
        <v>115</v>
      </c>
      <c r="P74" s="293">
        <f>Q74/Q$27</f>
        <v>2.0635135236399444E-2</v>
      </c>
      <c r="Q74" s="294">
        <f>Q41+Q54+Q72</f>
        <v>51742.400000000256</v>
      </c>
      <c r="R74" s="297"/>
      <c r="S74" s="294">
        <f>L74-Q74</f>
        <v>222901.79999999964</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0.86242384787256265</v>
      </c>
      <c r="K82" s="307">
        <f>+L82/J24</f>
        <v>602.83426966292132</v>
      </c>
      <c r="L82" s="266">
        <f>-SUMIFS(BV_Data_An_Cour!$AN:$AN,BV_Data_An_Cour!$AP:$AP,$B82,BV_Data_An_Cour!$AQ:$AQ,$C82,BV_Data_An_Cour!$AR:$AR,L$2)</f>
        <v>214609</v>
      </c>
      <c r="M82" s="243"/>
      <c r="N82" s="266" t="e">
        <f t="shared" si="24"/>
        <v>#N/A</v>
      </c>
      <c r="O82" s="744"/>
      <c r="P82" s="307"/>
      <c r="Q82" s="266">
        <f>-SUMIFS(BV_Data_An_Prec!$AN:$AN,BV_Data_An_Prec!$AP:$AP,$B82,BV_Data_An_Prec!$AQ:$AQ,$C82,BV_Data_An_Prec!$AR:$AR,Q$2)</f>
        <v>0</v>
      </c>
      <c r="R82" s="243"/>
      <c r="S82" s="266">
        <f t="shared" si="25"/>
        <v>214609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346117.06</v>
      </c>
      <c r="M83" s="296"/>
      <c r="N83" s="294" t="e">
        <f>+SUM(N75:N82)</f>
        <v>#N/A</v>
      </c>
      <c r="O83" s="295"/>
      <c r="P83" s="293"/>
      <c r="Q83" s="294">
        <f>+SUM(Q75:Q82)</f>
        <v>203730.07</v>
      </c>
      <c r="R83" s="297"/>
      <c r="S83" s="294">
        <f>+SUM(S75:S82)</f>
        <v>214609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1695150.5299999991</v>
      </c>
      <c r="M85" s="958"/>
      <c r="N85" s="956" t="e">
        <f>N27-N41-N54-N72+N83</f>
        <v>#N/A</v>
      </c>
      <c r="O85" s="957"/>
      <c r="P85" s="955"/>
      <c r="Q85" s="956">
        <f>Q27-Q74+Q83</f>
        <v>2659477.8999999953</v>
      </c>
      <c r="R85" s="959"/>
      <c r="S85" s="956">
        <f>L85-Q85</f>
        <v>-964327.36999999615</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2" t="s">
        <v>339</v>
      </c>
      <c r="E91" s="1277"/>
      <c r="F91" s="1278"/>
      <c r="G91" s="1279"/>
      <c r="H91" s="1277"/>
      <c r="I91" s="1278"/>
      <c r="J91" s="1279" t="s">
        <v>340</v>
      </c>
      <c r="K91" s="1277"/>
      <c r="L91" s="1278"/>
      <c r="M91" s="1279" t="s">
        <v>668</v>
      </c>
      <c r="N91" s="1278"/>
      <c r="O91" s="1272" t="s">
        <v>341</v>
      </c>
      <c r="P91" s="1277"/>
      <c r="Q91" s="1278"/>
      <c r="R91" s="1271" t="s">
        <v>670</v>
      </c>
      <c r="S91" s="1280"/>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13660809.43</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171</v>
      </c>
      <c r="K95" s="281">
        <f t="shared" si="28"/>
        <v>1239.6612865497079</v>
      </c>
      <c r="L95" s="266">
        <f>-SUMIFS(BV_Data_An_Cour!$AN:$AN,BV_Data_An_Cour!$AP:$AP,$B95,BV_Data_An_Cour!$AQ:$AQ,$C95,BV_Data_An_Cour!$AR:$AR,$L2)</f>
        <v>211982.08000000007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102</v>
      </c>
      <c r="S95" s="266">
        <f t="shared" si="31"/>
        <v>195539.51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1239.6612865497079</v>
      </c>
      <c r="L97" s="356">
        <f>+L94+L95+L96</f>
        <v>211982.08000000007</v>
      </c>
      <c r="M97" s="252" t="e">
        <f>J97-D97</f>
        <v>#N/A</v>
      </c>
      <c r="N97" s="251" t="e">
        <f>L97-F97</f>
        <v>#N/A</v>
      </c>
      <c r="O97" s="250">
        <f>+O94+O95+O96</f>
        <v>69</v>
      </c>
      <c r="P97" s="305">
        <f>IF(O97&lt;=0,0,Q97/O97)</f>
        <v>238.29811594202994</v>
      </c>
      <c r="Q97" s="356">
        <f>+Q94+Q95+Q96</f>
        <v>16442.570000000065</v>
      </c>
      <c r="R97" s="252">
        <f>R94+R95</f>
        <v>102</v>
      </c>
      <c r="S97" s="356">
        <f>S94+S95</f>
        <v>195539.51</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1.4782608695652173</v>
      </c>
      <c r="S98" s="255">
        <f>IF(Q97=0,0,(S97/Q97))</f>
        <v>11.892271706916816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468.68960698689926</v>
      </c>
      <c r="L101" s="266">
        <f>-SUMIFS(BV_Data_An_Cour!$AN:$AN,BV_Data_An_Cour!$AP:$AP,$B101,BV_Data_An_Cour!$AQ:$AQ,$C101,BV_Data_An_Cour!$AR:$AR,L$2)</f>
        <v>107329.91999999993</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-267111.66999999806</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454.90403508771925</v>
      </c>
      <c r="L103" s="266">
        <f>-SUMIFS(BV_Data_An_Cour!$AN:$AN,BV_Data_An_Cour!$AP:$AP,$B103,BV_Data_An_Cour!$AQ:$AQ,$C103,BV_Data_An_Cour!$AR:$AR,$L2)</f>
        <v>77788.59</v>
      </c>
      <c r="M103" s="245"/>
      <c r="N103" s="246" t="e">
        <f>L103-F103</f>
        <v>#N/A</v>
      </c>
      <c r="O103" s="245"/>
      <c r="P103" s="281">
        <f>IF(O97=0,0,Q103/O97)</f>
        <v>358.03391304347826</v>
      </c>
      <c r="Q103" s="266">
        <f>-SUMIFS(BV_Data_An_Prec!$AN:$AN,BV_Data_An_Prec!$AP:$AP,$B103,BV_Data_An_Prec!$AQ:$AQ,$C103,BV_Data_An_Prec!$AR:$AR,$L2)</f>
        <v>24704.34</v>
      </c>
      <c r="R103" s="267">
        <f>P103-K103</f>
        <v>-96.870122044240986</v>
      </c>
      <c r="S103" s="266">
        <f t="shared" ref="S103:S105" si="41">L103-Q103</f>
        <v>53084.25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499.65052631578948</v>
      </c>
      <c r="L104" s="266">
        <f>-SUMIFS(BV_Data_An_Cour!$AN:$AN,BV_Data_An_Cour!$AP:$AP,$B104,BV_Data_An_Cour!$AQ:$AQ,$C104,BV_Data_An_Cour!$AR:$AR,$L2)</f>
        <v>85440.24</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208.76715484363086</v>
      </c>
      <c r="S104" s="266">
        <f t="shared" si="41"/>
        <v>36559.420000000006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954.55456140350884</v>
      </c>
      <c r="L106" s="356">
        <f>L103+L104+L105</f>
        <v>163228.83000000002</v>
      </c>
      <c r="M106" s="265" t="e">
        <f>J106-D106</f>
        <v>#N/A</v>
      </c>
      <c r="N106" s="251" t="e">
        <f>L106-F106</f>
        <v>#N/A</v>
      </c>
      <c r="O106" s="252">
        <f>O97</f>
        <v>69</v>
      </c>
      <c r="P106" s="355">
        <f>IF(O106&lt;=0,0,Q106/O106)</f>
        <v>1066.4515942028986</v>
      </c>
      <c r="Q106" s="356">
        <f>Q103+Q104+Q105</f>
        <v>73585.16</v>
      </c>
      <c r="R106" s="357">
        <f t="shared" si="42"/>
        <v>111.89703279938976</v>
      </c>
      <c r="S106" s="356">
        <f>L106-Q106</f>
        <v>89643.670000000013</v>
      </c>
      <c r="T106" s="38"/>
      <c r="U106" s="1051">
        <f>L106-L114</f>
        <v>120755.58000000002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1.2182302790399586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1206.352075</v>
      </c>
      <c r="L109" s="271">
        <f>L97+L106+L101+L99</f>
        <v>482540.83</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18071.510000001988</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3.8907865862920853E-2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0.39515962858747289</v>
      </c>
      <c r="K113" s="281">
        <f>IF($J$97=0,0,L113/(J$94+J$95+J96))</f>
        <v>489.86409356725142</v>
      </c>
      <c r="L113" s="266">
        <f>SUMIFS(BV_Data_An_Cour!$AN:$AN,BV_Data_An_Cour!$AP:$AP,$B113,BV_Data_An_Cour!$AQ:$AQ,$C113,BV_Data_An_Cour!$AR:$AR,$L$2)</f>
        <v>83766.759999999995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-6667.070000000007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0.2602067906753972</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414.4140350877193</v>
      </c>
      <c r="L118" s="266">
        <f>SUMIFS(BV_Data_An_Cour!$AN:$AN,BV_Data_An_Cour!$AP:$AP,$B118,BV_Data_An_Cour!$AQ:$AQ,$C118,BV_Data_An_Cour!$AR:$AR,$L$2)</f>
        <v>70864.800000000003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41253.43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1257.9766081871346</v>
      </c>
      <c r="L119" s="658">
        <f>SUMIFS(BV_Data_An_Cour!$AN:$AN,BV_Data_An_Cour!$AP:$AP,$B119,BV_Data_An_Cour!$AQ:$AQ,$C119,BV_Data_An_Cour!$AR:$AR,$L$2)</f>
        <v>215114</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32796.660000000003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-216.07801169590641</v>
      </c>
      <c r="L121" s="266">
        <f>SUMIFS(BV_Data_An_Cour!$AN:$AN,BV_Data_An_Cour!$AP:$AP,$B121,BV_Data_An_Cour!$AQ:$AQ,$C121,BV_Data_An_Cour!$AR:$AR,$L$2)</f>
        <v>-36949.339999999997</v>
      </c>
      <c r="M121" s="243"/>
      <c r="N121" s="266" t="e">
        <f t="shared" si="44"/>
        <v>#N/A</v>
      </c>
      <c r="O121" s="243"/>
      <c r="P121" s="281">
        <f t="shared" si="47"/>
        <v>0</v>
      </c>
      <c r="Q121" s="266">
        <f>SUMIFS(BV_Data_An_Prec!$AN:$AN,BV_Data_An_Prec!$AP:$AP,$B121,BV_Data_An_Prec!$AQ:$AQ,$C121,BV_Data_An_Prec!$AR:$AR,$L$2)</f>
        <v>0</v>
      </c>
      <c r="R121" s="243"/>
      <c r="S121" s="266">
        <f t="shared" si="45"/>
        <v>-36949.339999999997</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0.77940726798186166</v>
      </c>
      <c r="L123" s="294">
        <f>SUM(L113:L122)</f>
        <v>376095.82999999996</v>
      </c>
      <c r="M123" s="296"/>
      <c r="N123" s="294" t="e">
        <f t="shared" si="44"/>
        <v>#N/A</v>
      </c>
      <c r="O123" s="295" t="s">
        <v>115</v>
      </c>
      <c r="P123" s="293">
        <f>Q123/Q$109</f>
        <v>0.67809260254262071</v>
      </c>
      <c r="Q123" s="294">
        <f>SUM(Q113:Q122)</f>
        <v>314953.21000000002</v>
      </c>
      <c r="R123" s="297"/>
      <c r="S123" s="294">
        <f t="shared" si="45"/>
        <v>61142.619999999937</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68030.77</v>
      </c>
      <c r="M124" s="243"/>
      <c r="N124" s="266" t="e">
        <f t="shared" si="44"/>
        <v>#N/A</v>
      </c>
      <c r="O124" s="243"/>
      <c r="P124" s="38"/>
      <c r="Q124" s="266">
        <f>SUMIFS(BV_Data_An_Prec!$AN:$AN,BV_Data_An_Prec!$AP:$AP,$B124,BV_Data_An_Prec!$AQ:$AQ,$C124,BV_Data_An_Prec!$AR:$AR,$L$2)</f>
        <v>105903.06</v>
      </c>
      <c r="R124" s="243"/>
      <c r="S124" s="266">
        <f t="shared" si="45"/>
        <v>-37872.289999999994</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36696.32</v>
      </c>
      <c r="M125" s="243"/>
      <c r="N125" s="266" t="e">
        <f t="shared" si="44"/>
        <v>#N/A</v>
      </c>
      <c r="O125" s="243"/>
      <c r="P125" s="38"/>
      <c r="Q125" s="266">
        <f>SUMIFS(BV_Data_An_Prec!$AN:$AN,BV_Data_An_Prec!$AP:$AP,$B125,BV_Data_An_Prec!$AQ:$AQ,$C125,BV_Data_An_Prec!$AR:$AR,$L$2)</f>
        <v>36912.550000000003</v>
      </c>
      <c r="R125" s="243"/>
      <c r="S125" s="266">
        <f t="shared" si="45"/>
        <v>-216.2300000000032</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13022.53</v>
      </c>
      <c r="M126" s="233"/>
      <c r="N126" s="303" t="e">
        <f t="shared" si="44"/>
        <v>#N/A</v>
      </c>
      <c r="O126" s="233"/>
      <c r="P126" s="301"/>
      <c r="Q126" s="303">
        <f>SUMIFS(BV_Data_An_Prec!$AN:$AN,BV_Data_An_Prec!$AP:$AP,$B126,BV_Data_An_Prec!$AQ:$AQ,$C126,BV_Data_An_Prec!$AR:$AR,$L$2)</f>
        <v>15221.58</v>
      </c>
      <c r="R126" s="233"/>
      <c r="S126" s="303">
        <f t="shared" si="45"/>
        <v>-2199.0499999999993</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22615.02</v>
      </c>
      <c r="M131" s="243"/>
      <c r="N131" s="266" t="e">
        <f t="shared" si="44"/>
        <v>#N/A</v>
      </c>
      <c r="O131" s="243"/>
      <c r="P131" s="38"/>
      <c r="Q131" s="266">
        <f>SUMIFS(BV_Data_An_Prec!$AN:$AN,BV_Data_An_Prec!$AP:$AP,$B131,BV_Data_An_Prec!$AQ:$AQ,$C131,BV_Data_An_Prec!$AR:$AR,$L$2)</f>
        <v>8749.76</v>
      </c>
      <c r="R131" s="243"/>
      <c r="S131" s="266">
        <f t="shared" si="45"/>
        <v>13865.26</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31086.5</v>
      </c>
      <c r="M132" s="233"/>
      <c r="N132" s="303" t="e">
        <f t="shared" si="44"/>
        <v>#N/A</v>
      </c>
      <c r="O132" s="233"/>
      <c r="P132" s="301"/>
      <c r="Q132" s="303">
        <f>SUMIFS(BV_Data_An_Prec!$AN:$AN,BV_Data_An_Prec!$AP:$AP,$B132,BV_Data_An_Prec!$AQ:$AQ,$C132,BV_Data_An_Prec!$AR:$AR,$L$2)</f>
        <v>19814.14</v>
      </c>
      <c r="R132" s="233"/>
      <c r="S132" s="303">
        <f t="shared" si="45"/>
        <v>11272.36</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18007.73</v>
      </c>
      <c r="M133" s="243"/>
      <c r="N133" s="266" t="e">
        <f t="shared" si="44"/>
        <v>#N/A</v>
      </c>
      <c r="O133" s="243"/>
      <c r="P133" s="38"/>
      <c r="Q133" s="266">
        <f>SUMIFS(BV_Data_An_Prec!$AN:$AN,BV_Data_An_Prec!$AP:$AP,$B133,BV_Data_An_Prec!$AQ:$AQ,$C133,BV_Data_An_Prec!$AR:$AR,$L$2)</f>
        <v>18432.87</v>
      </c>
      <c r="R133" s="243"/>
      <c r="S133" s="266">
        <f t="shared" si="45"/>
        <v>-425.13999999999942</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13098.98</v>
      </c>
      <c r="M134" s="243"/>
      <c r="N134" s="266" t="e">
        <f t="shared" si="44"/>
        <v>#N/A</v>
      </c>
      <c r="O134" s="243"/>
      <c r="P134" s="38"/>
      <c r="Q134" s="266">
        <f>SUMIFS(BV_Data_An_Prec!$AN:$AN,BV_Data_An_Prec!$AP:$AP,$B134,BV_Data_An_Prec!$AQ:$AQ,$C134,BV_Data_An_Prec!$AR:$AR,$L$2)</f>
        <v>192.9</v>
      </c>
      <c r="R134" s="243"/>
      <c r="S134" s="266">
        <f t="shared" si="45"/>
        <v>12906.08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0.41977349357151811</v>
      </c>
      <c r="L136" s="294">
        <f>SUM(L124:L135)</f>
        <v>202557.85</v>
      </c>
      <c r="M136" s="296"/>
      <c r="N136" s="294" t="e">
        <f t="shared" si="44"/>
        <v>#N/A</v>
      </c>
      <c r="O136" s="295" t="s">
        <v>115</v>
      </c>
      <c r="P136" s="293">
        <f>Q136/Q$109</f>
        <v>0.44185234882683061</v>
      </c>
      <c r="Q136" s="294">
        <f>SUM(Q124:Q135)</f>
        <v>205226.85999999996</v>
      </c>
      <c r="R136" s="297"/>
      <c r="S136" s="294">
        <f t="shared" si="45"/>
        <v>-2669.0099999999511</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12223.18</v>
      </c>
      <c r="M140" s="243"/>
      <c r="N140" s="266" t="e">
        <f t="shared" si="44"/>
        <v>#N/A</v>
      </c>
      <c r="O140" s="243"/>
      <c r="P140" s="38"/>
      <c r="Q140" s="266">
        <f>SUMIFS(BV_Data_An_Prec!$AN:$AN,BV_Data_An_Prec!$AP:$AP,$B140,BV_Data_An_Prec!$AQ:$AQ,$C140,BV_Data_An_Prec!$AR:$AR,$L$2)</f>
        <v>15686.1</v>
      </c>
      <c r="R140" s="243"/>
      <c r="S140" s="266">
        <f t="shared" si="45"/>
        <v>-3462.92</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13623.83</v>
      </c>
      <c r="M141" s="243"/>
      <c r="N141" s="266" t="e">
        <f t="shared" si="44"/>
        <v>#N/A</v>
      </c>
      <c r="O141" s="243"/>
      <c r="P141" s="38"/>
      <c r="Q141" s="266">
        <f>SUMIFS(BV_Data_An_Prec!$AN:$AN,BV_Data_An_Prec!$AP:$AP,$B141,BV_Data_An_Prec!$AQ:$AQ,$C141,BV_Data_An_Prec!$AR:$AR,$L$2)</f>
        <v>14868.01</v>
      </c>
      <c r="R141" s="243"/>
      <c r="S141" s="266">
        <f t="shared" si="45"/>
        <v>-1244.1800000000003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2770.74</v>
      </c>
      <c r="M146" s="243"/>
      <c r="N146" s="266" t="e">
        <f t="shared" si="44"/>
        <v>#N/A</v>
      </c>
      <c r="O146" s="243"/>
      <c r="P146" s="38"/>
      <c r="Q146" s="266">
        <f>SUMIFS(BV_Data_An_Prec!$AN:$AN,BV_Data_An_Prec!$AP:$AP,$B146,BV_Data_An_Prec!$AQ:$AQ,$C146,BV_Data_An_Prec!$AR:$AR,$L$2)</f>
        <v>5450.45</v>
      </c>
      <c r="R146" s="243"/>
      <c r="S146" s="266">
        <f t="shared" si="45"/>
        <v>-2679.71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7446.7</v>
      </c>
      <c r="M150" s="243"/>
      <c r="N150" s="658" t="e">
        <f t="shared" si="44"/>
        <v>#N/A</v>
      </c>
      <c r="O150" s="243"/>
      <c r="P150" s="38"/>
      <c r="Q150" s="658">
        <f>SUMIFS(BV_Data_An_Prec!$AN:$AN,BV_Data_An_Prec!$AP:$AP,$B150,BV_Data_An_Prec!$AQ:$AQ,$C150,BV_Data_An_Prec!$AR:$AR,Q$2)</f>
        <v>1921.5</v>
      </c>
      <c r="R150" s="243"/>
      <c r="S150" s="266">
        <f t="shared" si="45"/>
        <v>5525.2</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0.28606161679624093</v>
      </c>
      <c r="L154" s="294">
        <f>+SUM(L137:L153)</f>
        <v>138036.41000000003</v>
      </c>
      <c r="M154" s="296"/>
      <c r="N154" s="294" t="e">
        <f t="shared" si="44"/>
        <v>#N/A</v>
      </c>
      <c r="O154" s="295" t="s">
        <v>115</v>
      </c>
      <c r="P154" s="293">
        <f>Q154/Q$109</f>
        <v>0.26439944407953686</v>
      </c>
      <c r="Q154" s="294">
        <f>+SUM(Q137:Q153)</f>
        <v>122805.43000000001</v>
      </c>
      <c r="R154" s="297"/>
      <c r="S154" s="294">
        <f t="shared" si="45"/>
        <v>15230.980000000025</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1.4852423783496205</v>
      </c>
      <c r="L156" s="294">
        <f>L123+L136+L154</f>
        <v>716690.09</v>
      </c>
      <c r="M156" s="296"/>
      <c r="N156" s="294" t="e">
        <f t="shared" ref="N156:N163" si="48">L156-F156</f>
        <v>#N/A</v>
      </c>
      <c r="O156" s="295" t="s">
        <v>115</v>
      </c>
      <c r="P156" s="293">
        <f>Q156/Q$109</f>
        <v>1.3843443954489882</v>
      </c>
      <c r="Q156" s="294">
        <f>Q123+Q136+Q154</f>
        <v>642985.5</v>
      </c>
      <c r="R156" s="297"/>
      <c r="S156" s="294">
        <f t="shared" si="45"/>
        <v>73704.589999999967</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-173524.91999999995</v>
      </c>
      <c r="M166" s="958"/>
      <c r="N166" s="956" t="e">
        <f>L166-F166</f>
        <v>#N/A</v>
      </c>
      <c r="O166" s="957"/>
      <c r="P166" s="955"/>
      <c r="Q166" s="956">
        <f>Q109-Q156+Q164</f>
        <v>-178516.18000000191</v>
      </c>
      <c r="R166" s="959"/>
      <c r="S166" s="956">
        <f t="shared" si="45"/>
        <v>4991.2600000019593</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2" t="s">
        <v>339</v>
      </c>
      <c r="E171" s="1272"/>
      <c r="F171" s="1273"/>
      <c r="G171" s="1271"/>
      <c r="H171" s="1272"/>
      <c r="I171" s="1273"/>
      <c r="J171" s="1271" t="s">
        <v>340</v>
      </c>
      <c r="K171" s="1272"/>
      <c r="L171" s="1273"/>
      <c r="M171" s="1271" t="s">
        <v>668</v>
      </c>
      <c r="N171" s="1273"/>
      <c r="O171" s="1271" t="s">
        <v>341</v>
      </c>
      <c r="P171" s="1272"/>
      <c r="Q171" s="1273"/>
      <c r="R171" s="1271" t="s">
        <v>670</v>
      </c>
      <c r="S171" s="1273"/>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191.12537500000002</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9.5478666666666676</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1.4583333333333334E-2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142.771625</v>
      </c>
      <c r="L192" s="658">
        <f>SUMIFS(BV_Data_An_Cour!$AN:$AN,BV_Data_An_Cour!$AP:$AP,$B192,BV_Data_An_Cour!$AQ:$AQ,$C192,BV_Data_An_Cour!$AR:$AR,$L$2)</f>
        <v>171325.95</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14883.970000000001</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-39.041169590643271</v>
      </c>
      <c r="L194" s="266">
        <f>SUMIFS(BV_Data_An_Cour!$AN:$AN,BV_Data_An_Cour!$AP:$AP,$B194,BV_Data_An_Cour!$AQ:$AQ,$C194,BV_Data_An_Cour!$AR:$AR,$L$2)</f>
        <v>-6676.04</v>
      </c>
      <c r="M194" s="243"/>
      <c r="N194" s="266" t="e">
        <f t="shared" si="56"/>
        <v>#N/A</v>
      </c>
      <c r="O194" s="243"/>
      <c r="P194" s="281">
        <f t="shared" si="60"/>
        <v>0</v>
      </c>
      <c r="Q194" s="246">
        <f>SUMIFS(BV_Data_An_Prec!$AN:$AN,BV_Data_An_Prec!$AP:$AP,$B194,BV_Data_An_Prec!$AQ:$AQ,$C194,BV_Data_An_Prec!$AR:$AR,$L$2)</f>
        <v>0</v>
      </c>
      <c r="R194" s="243"/>
      <c r="S194" s="266">
        <f t="shared" si="57"/>
        <v>-6676.04</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0.84029220905513846</v>
      </c>
      <c r="L196" s="294">
        <f>SUM(L186:L195)</f>
        <v>405475.30000000005</v>
      </c>
      <c r="M196" s="296"/>
      <c r="N196" s="294" t="e">
        <f t="shared" si="56"/>
        <v>#N/A</v>
      </c>
      <c r="O196" s="295" t="s">
        <v>115</v>
      </c>
      <c r="P196" s="293">
        <f>Q196/Q$109</f>
        <v>0.35002189165045539</v>
      </c>
      <c r="Q196" s="294">
        <f>SUM(Q186:Q195)</f>
        <v>162574.43000000002</v>
      </c>
      <c r="R196" s="297"/>
      <c r="S196" s="294">
        <f t="shared" si="57"/>
        <v>242900.87000000002</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78728.399999999994</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33625.980000000003</v>
      </c>
      <c r="M198" s="243"/>
      <c r="N198" s="266" t="e">
        <f t="shared" si="56"/>
        <v>#N/A</v>
      </c>
      <c r="O198" s="243"/>
      <c r="P198" s="38"/>
      <c r="Q198" s="266">
        <f>SUMIFS(BV_Data_An_Prec!$AN:$AN,BV_Data_An_Prec!$AP:$AP,$B198,BV_Data_An_Prec!$AQ:$AQ,$C198,BV_Data_An_Prec!$AR:$AR,$L$2)</f>
        <v>80631.66</v>
      </c>
      <c r="R198" s="243"/>
      <c r="S198" s="266">
        <f t="shared" ref="S198:S227" si="61">L198-Q198</f>
        <v>-47005.68</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14996.74</v>
      </c>
      <c r="M204" s="243"/>
      <c r="N204" s="266" t="e">
        <f t="shared" si="56"/>
        <v>#N/A</v>
      </c>
      <c r="O204" s="243"/>
      <c r="P204" s="38"/>
      <c r="Q204" s="266">
        <f>SUMIFS(BV_Data_An_Prec!$AN:$AN,BV_Data_An_Prec!$AP:$AP,$B204,BV_Data_An_Prec!$AQ:$AQ,$C204,BV_Data_An_Prec!$AR:$AR,$L$2)</f>
        <v>20648.810000000001</v>
      </c>
      <c r="R204" s="243"/>
      <c r="S204" s="266">
        <f t="shared" si="61"/>
        <v>-5652.0700000000015</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47662.12</v>
      </c>
      <c r="M205" s="233"/>
      <c r="N205" s="303" t="e">
        <f t="shared" si="56"/>
        <v>#N/A</v>
      </c>
      <c r="O205" s="233"/>
      <c r="P205" s="301"/>
      <c r="Q205" s="303">
        <f>SUMIFS(BV_Data_An_Prec!$AN:$AN,BV_Data_An_Prec!$AP:$AP,$B205,BV_Data_An_Prec!$AQ:$AQ,$C205,BV_Data_An_Prec!$AR:$AR,$L$2)</f>
        <v>30879.29</v>
      </c>
      <c r="R205" s="233"/>
      <c r="S205" s="303">
        <f t="shared" si="61"/>
        <v>16782.830000000002</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8550.67</v>
      </c>
      <c r="M206" s="243"/>
      <c r="N206" s="266" t="e">
        <f t="shared" si="56"/>
        <v>#N/A</v>
      </c>
      <c r="O206" s="243"/>
      <c r="P206" s="38"/>
      <c r="Q206" s="266">
        <f>SUMIFS(BV_Data_An_Prec!$AN:$AN,BV_Data_An_Prec!$AP:$AP,$B206,BV_Data_An_Prec!$AQ:$AQ,$C206,BV_Data_An_Prec!$AR:$AR,$L$2)</f>
        <v>15530.62</v>
      </c>
      <c r="R206" s="243"/>
      <c r="S206" s="266">
        <f t="shared" si="61"/>
        <v>-6979.9500000000007</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1054.98</v>
      </c>
      <c r="M207" s="243"/>
      <c r="N207" s="266" t="e">
        <f t="shared" si="56"/>
        <v>#N/A</v>
      </c>
      <c r="O207" s="243"/>
      <c r="P207" s="38"/>
      <c r="Q207" s="266">
        <f>SUMIFS(BV_Data_An_Prec!$AN:$AN,BV_Data_An_Prec!$AP:$AP,$B207,BV_Data_An_Prec!$AQ:$AQ,$C207,BV_Data_An_Prec!$AR:$AR,$L$2)</f>
        <v>0</v>
      </c>
      <c r="R207" s="243"/>
      <c r="S207" s="266">
        <f t="shared" si="61"/>
        <v>1054.98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0.38259744776416132</v>
      </c>
      <c r="L209" s="294">
        <f>SUM(L197:L208)</f>
        <v>184618.89000000004</v>
      </c>
      <c r="M209" s="296"/>
      <c r="N209" s="294" t="e">
        <f t="shared" si="56"/>
        <v>#N/A</v>
      </c>
      <c r="O209" s="295" t="s">
        <v>115</v>
      </c>
      <c r="P209" s="293">
        <f>Q209/Q$109</f>
        <v>1.696815970536016</v>
      </c>
      <c r="Q209" s="294">
        <f>SUM(Q197:Q208)</f>
        <v>788118.96000000008</v>
      </c>
      <c r="R209" s="297"/>
      <c r="S209" s="294">
        <f t="shared" si="61"/>
        <v>-603500.07000000007</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2.8099404562304087E-2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1.2509890613816037</v>
      </c>
      <c r="L229" s="294">
        <f>L196+L209+L227</f>
        <v>603653.30000000005</v>
      </c>
      <c r="M229" s="296"/>
      <c r="N229" s="294" t="e">
        <f t="shared" ref="N229:N236" si="62">L229-F229</f>
        <v>#N/A</v>
      </c>
      <c r="O229" s="295" t="s">
        <v>115</v>
      </c>
      <c r="P229" s="293">
        <f>Q229/Q$109</f>
        <v>2.0682351850494758</v>
      </c>
      <c r="Q229" s="294">
        <f>Q196+Q209+Q227</f>
        <v>960631.79000000015</v>
      </c>
      <c r="R229" s="297"/>
      <c r="S229" s="294">
        <f t="shared" ref="S229:S236" si="63">L229-Q229</f>
        <v>-356978.49000000011</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542918.52000000211</v>
      </c>
      <c r="M239" s="958"/>
      <c r="N239" s="956" t="e">
        <f>L239-F239</f>
        <v>#REF!</v>
      </c>
      <c r="O239" s="957"/>
      <c r="P239" s="955"/>
      <c r="Q239" s="956">
        <f>Q182-Q229+Q237</f>
        <v>187462.42999999865</v>
      </c>
      <c r="R239" s="959"/>
      <c r="S239" s="956">
        <f>L239-Q239</f>
        <v>355456.09000000346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2" t="s">
        <v>339</v>
      </c>
      <c r="E244" s="1277"/>
      <c r="F244" s="1278"/>
      <c r="G244" s="1279"/>
      <c r="H244" s="1277"/>
      <c r="I244" s="1278"/>
      <c r="J244" s="1279" t="s">
        <v>340</v>
      </c>
      <c r="K244" s="1277"/>
      <c r="L244" s="1278"/>
      <c r="M244" s="1279" t="s">
        <v>668</v>
      </c>
      <c r="N244" s="1278"/>
      <c r="O244" s="1272" t="s">
        <v>341</v>
      </c>
      <c r="P244" s="1277"/>
      <c r="Q244" s="1278"/>
      <c r="R244" s="1271" t="s">
        <v>670</v>
      </c>
      <c r="S244" s="1280"/>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354524.59</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-170792.76999999996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0.73388979366934481</v>
      </c>
      <c r="M247" s="282"/>
      <c r="N247" s="266"/>
      <c r="O247" s="267"/>
      <c r="P247" s="38"/>
      <c r="Q247" s="332">
        <f>IF(Q246=0,0,Q246/P246)</f>
        <v>0.77736292169176047</v>
      </c>
      <c r="R247" s="267"/>
      <c r="S247" s="332">
        <f>IF(Q246=0,0,(S246/Q246))</f>
        <v>-0.32512302658339709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23291.599999999999</v>
      </c>
      <c r="R258" s="345"/>
      <c r="S258" s="266">
        <f t="shared" ref="S258:S259" si="65">L258-Q258</f>
        <v>-38178.639999999999</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1052451.8900000001</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-197279.1799999997</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0.70452543025979264</v>
      </c>
      <c r="M260" s="977"/>
      <c r="N260" s="979" t="e">
        <f>N259/F259</f>
        <v>#N/A</v>
      </c>
      <c r="O260" s="977"/>
      <c r="P260" s="978">
        <f>IF(O259=0,0,P259/O259)</f>
        <v>188.47458120820582</v>
      </c>
      <c r="Q260" s="255">
        <f>IF(Q259=0,0,Q259/P259)</f>
        <v>0.75153204058884115</v>
      </c>
      <c r="R260" s="354"/>
      <c r="S260" s="255">
        <f>S259/Q259</f>
        <v>-0.15785730605225309</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1085907.6300000001</v>
      </c>
      <c r="M268" s="272" t="e">
        <f>L269-F269</f>
        <v>#N/A</v>
      </c>
      <c r="N268" s="271" t="e">
        <f>L268-F268</f>
        <v>#N/A</v>
      </c>
      <c r="O268" s="272"/>
      <c r="P268" s="269">
        <f t="shared" ref="P268" si="72">P259+P262+P265</f>
        <v>1854004.6099999999</v>
      </c>
      <c r="Q268" s="271">
        <f>Q259+Q262+Q265</f>
        <v>1288503.19</v>
      </c>
      <c r="R268" s="272">
        <f>L269-Q269</f>
        <v>-2.5013926526326502E-2</v>
      </c>
      <c r="S268" s="271">
        <f>L268-Q268</f>
        <v>-202595.55999999982</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0.66996988475988173</v>
      </c>
      <c r="M269" s="276"/>
      <c r="N269" s="277" t="e">
        <f>N268/F268</f>
        <v>#N/A</v>
      </c>
      <c r="O269" s="273"/>
      <c r="P269" s="945"/>
      <c r="Q269" s="326">
        <f>Q268/P268</f>
        <v>0.69498381128620823</v>
      </c>
      <c r="R269" s="276"/>
      <c r="S269" s="326">
        <f>L268/S268</f>
        <v>-5.3599774348460603</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77940.13</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3771.2000000000116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174243</v>
      </c>
      <c r="M273" s="243"/>
      <c r="N273" s="266" t="e">
        <f t="shared" si="73"/>
        <v>#N/A</v>
      </c>
      <c r="O273" s="243"/>
      <c r="P273" s="38"/>
      <c r="Q273" s="266">
        <f>SUMIFS(BV_Data_An_Prec!$AN:$AN,BV_Data_An_Prec!$AP:$AP,$B273,BV_Data_An_Prec!$AQ:$AQ,$C273,BV_Data_An_Prec!$AR:$AR,$L$2)</f>
        <v>202766.32</v>
      </c>
      <c r="R273" s="243"/>
      <c r="S273" s="266">
        <f t="shared" si="74"/>
        <v>-28523.320000000007</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94653.08</v>
      </c>
      <c r="M274" s="233"/>
      <c r="N274" s="303" t="e">
        <f t="shared" si="73"/>
        <v>#N/A</v>
      </c>
      <c r="O274" s="233"/>
      <c r="P274" s="301"/>
      <c r="Q274" s="303">
        <f>SUMIFS(BV_Data_An_Prec!$AN:$AN,BV_Data_An_Prec!$AP:$AP,$B274,BV_Data_An_Prec!$AQ:$AQ,$C274,BV_Data_An_Prec!$AR:$AR,$L$2)</f>
        <v>224220.79999999999</v>
      </c>
      <c r="R274" s="233"/>
      <c r="S274" s="303">
        <f t="shared" si="74"/>
        <v>-129567.71999999999</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40562.14</v>
      </c>
      <c r="M275" s="243"/>
      <c r="N275" s="266" t="e">
        <f t="shared" si="73"/>
        <v>#N/A</v>
      </c>
      <c r="O275" s="243"/>
      <c r="P275" s="745"/>
      <c r="Q275" s="266">
        <f>SUMIFS(BV_Data_An_Prec!$AN:$AN,BV_Data_An_Prec!$AP:$AP,$B275,BV_Data_An_Prec!$AQ:$AQ,$C275,BV_Data_An_Prec!$AR:$AR,$L$2)</f>
        <v>0</v>
      </c>
      <c r="R275" s="243"/>
      <c r="S275" s="266">
        <f t="shared" si="74"/>
        <v>40562.14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105321.3</v>
      </c>
      <c r="M279" s="243"/>
      <c r="N279" s="266" t="e">
        <f t="shared" si="73"/>
        <v>#N/A</v>
      </c>
      <c r="O279" s="243"/>
      <c r="P279" s="38"/>
      <c r="Q279" s="266">
        <f>SUMIFS(BV_Data_An_Prec!$AN:$AN,BV_Data_An_Prec!$AP:$AP,$B279,BV_Data_An_Prec!$AQ:$AQ,$C279,BV_Data_An_Prec!$AR:$AR,$L$2)</f>
        <v>128310.71</v>
      </c>
      <c r="R279" s="243"/>
      <c r="S279" s="266">
        <f t="shared" si="74"/>
        <v>-22989.410000000003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140540.87</v>
      </c>
      <c r="M280" s="233"/>
      <c r="N280" s="303" t="e">
        <f t="shared" si="73"/>
        <v>#N/A</v>
      </c>
      <c r="O280" s="233"/>
      <c r="P280" s="301"/>
      <c r="Q280" s="303">
        <f>SUMIFS(BV_Data_An_Prec!$AN:$AN,BV_Data_An_Prec!$AP:$AP,$B280,BV_Data_An_Prec!$AQ:$AQ,$C280,BV_Data_An_Prec!$AR:$AR,$L$2)</f>
        <v>142421.76999999999</v>
      </c>
      <c r="R280" s="233"/>
      <c r="S280" s="303">
        <f t="shared" si="74"/>
        <v>-1880.8999999999942</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56264.3</v>
      </c>
      <c r="M281" s="243"/>
      <c r="N281" s="266" t="e">
        <f t="shared" si="73"/>
        <v>#N/A</v>
      </c>
      <c r="O281" s="243"/>
      <c r="P281" s="38"/>
      <c r="Q281" s="266">
        <f>SUMIFS(BV_Data_An_Prec!$AN:$AN,BV_Data_An_Prec!$AP:$AP,$B281,BV_Data_An_Prec!$AQ:$AQ,$C281,BV_Data_An_Prec!$AR:$AR,$L$2)</f>
        <v>84659.79</v>
      </c>
      <c r="R281" s="243"/>
      <c r="S281" s="266">
        <f t="shared" si="74"/>
        <v>-28395.489999999991</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26969.75</v>
      </c>
      <c r="M282" s="243"/>
      <c r="N282" s="266" t="e">
        <f t="shared" si="73"/>
        <v>#N/A</v>
      </c>
      <c r="O282" s="243"/>
      <c r="P282" s="38"/>
      <c r="Q282" s="266">
        <f>SUMIFS(BV_Data_An_Prec!$AN:$AN,BV_Data_An_Prec!$AP:$AP,$B282,BV_Data_An_Prec!$AQ:$AQ,$C282,BV_Data_An_Prec!$AR:$AR,$L$2)</f>
        <v>8292.61</v>
      </c>
      <c r="R282" s="243"/>
      <c r="S282" s="266">
        <f t="shared" si="74"/>
        <v>18677.14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0.65981170976761627</v>
      </c>
      <c r="L284" s="294">
        <f>+SUM(L272:L283)</f>
        <v>716494.57000000007</v>
      </c>
      <c r="M284" s="296"/>
      <c r="N284" s="294" t="e">
        <f t="shared" si="73"/>
        <v>#N/A</v>
      </c>
      <c r="O284" s="295" t="s">
        <v>171</v>
      </c>
      <c r="P284" s="293">
        <f>Q284/Q$268</f>
        <v>0.6711981287372677</v>
      </c>
      <c r="Q284" s="294">
        <f>+SUM(Q272:Q283)</f>
        <v>864840.93</v>
      </c>
      <c r="R284" s="297"/>
      <c r="S284" s="294">
        <f t="shared" si="74"/>
        <v>-148346.35999999999</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23887.06</v>
      </c>
      <c r="M288" s="243"/>
      <c r="N288" s="266" t="e">
        <f t="shared" si="73"/>
        <v>#N/A</v>
      </c>
      <c r="O288" s="243"/>
      <c r="P288" s="38"/>
      <c r="Q288" s="303">
        <f>SUMIFS(BV_Data_An_Prec!$AN:$AN,BV_Data_An_Prec!$AP:$AP,$B288,BV_Data_An_Prec!$AQ:$AQ,$C288,BV_Data_An_Prec!$AR:$AR,$L$2)</f>
        <v>20761.61</v>
      </c>
      <c r="R288" s="243"/>
      <c r="S288" s="266">
        <f t="shared" si="74"/>
        <v>3125.4500000000007</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20730.259999999998</v>
      </c>
      <c r="M289" s="243"/>
      <c r="N289" s="266" t="e">
        <f t="shared" si="73"/>
        <v>#N/A</v>
      </c>
      <c r="O289" s="243"/>
      <c r="P289" s="38"/>
      <c r="Q289" s="266">
        <f>SUMIFS(BV_Data_An_Prec!$AN:$AN,BV_Data_An_Prec!$AP:$AP,$B289,BV_Data_An_Prec!$AQ:$AQ,$C289,BV_Data_An_Prec!$AR:$AR,$L$2)</f>
        <v>22698.38</v>
      </c>
      <c r="R289" s="243"/>
      <c r="S289" s="266">
        <f t="shared" si="74"/>
        <v>-1968.1200000000026</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1307.99</v>
      </c>
      <c r="M293" s="243"/>
      <c r="N293" s="266" t="e">
        <f t="shared" si="73"/>
        <v>#N/A</v>
      </c>
      <c r="O293" s="243"/>
      <c r="P293" s="38"/>
      <c r="Q293" s="266">
        <f>SUMIFS(BV_Data_An_Prec!$AN:$AN,BV_Data_An_Prec!$AP:$AP,$B293,BV_Data_An_Prec!$AQ:$AQ,$C293,BV_Data_An_Prec!$AR:$AR,$L$2)</f>
        <v>0</v>
      </c>
      <c r="R293" s="243"/>
      <c r="S293" s="266">
        <f t="shared" si="74"/>
        <v>1307.99</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4510.99</v>
      </c>
      <c r="M295" s="243"/>
      <c r="N295" s="266" t="e">
        <f t="shared" si="73"/>
        <v>#N/A</v>
      </c>
      <c r="O295" s="243"/>
      <c r="P295" s="38"/>
      <c r="Q295" s="266">
        <f>SUMIFS(BV_Data_An_Prec!$AN:$AN,BV_Data_An_Prec!$AP:$AP,$B295,BV_Data_An_Prec!$AQ:$AQ,$C295,BV_Data_An_Prec!$AR:$AR,$L$2)</f>
        <v>9140.57</v>
      </c>
      <c r="R295" s="243"/>
      <c r="S295" s="266">
        <f t="shared" si="74"/>
        <v>-4629.58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10515.83</v>
      </c>
      <c r="M299" s="243"/>
      <c r="N299" s="266" t="e">
        <f t="shared" si="73"/>
        <v>#N/A</v>
      </c>
      <c r="O299" s="243"/>
      <c r="P299" s="38"/>
      <c r="Q299" s="266">
        <f>SUMIFS(BV_Data_An_Prec!$AN:$AN,BV_Data_An_Prec!$AP:$AP,$B299,BV_Data_An_Prec!$AQ:$AQ,$C299,BV_Data_An_Prec!$AR:$AR,Q$2)</f>
        <v>2810.71</v>
      </c>
      <c r="R299" s="243"/>
      <c r="S299" s="266">
        <f t="shared" si="74"/>
        <v>7705.12</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0.30949588226026181</v>
      </c>
      <c r="L303" s="294">
        <f>+SUM(L285:L302)</f>
        <v>336083.94</v>
      </c>
      <c r="M303" s="296"/>
      <c r="N303" s="294" t="e">
        <f t="shared" si="73"/>
        <v>#N/A</v>
      </c>
      <c r="O303" s="295" t="s">
        <v>171</v>
      </c>
      <c r="P303" s="293">
        <f>Q303/Q$268</f>
        <v>0.15804712908782168</v>
      </c>
      <c r="Q303" s="294">
        <f>+SUM(Q285:Q302)</f>
        <v>203644.23</v>
      </c>
      <c r="R303" s="297"/>
      <c r="S303" s="294">
        <f t="shared" si="74"/>
        <v>132439.71</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0.96930759202787797</v>
      </c>
      <c r="L305" s="294">
        <f>L284+L303</f>
        <v>1052578.51</v>
      </c>
      <c r="M305" s="296"/>
      <c r="N305" s="294" t="e">
        <f>L305-F305</f>
        <v>#N/A</v>
      </c>
      <c r="O305" s="295" t="s">
        <v>115</v>
      </c>
      <c r="P305" s="293">
        <f>Q305/Q$268</f>
        <v>0.8292452578250894</v>
      </c>
      <c r="Q305" s="294">
        <f>Q284+Q303</f>
        <v>1068485.1600000001</v>
      </c>
      <c r="R305" s="297"/>
      <c r="S305" s="294">
        <f>L305-Q305</f>
        <v>-15906.65000000014</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33329.120000000112</v>
      </c>
      <c r="M307" s="958"/>
      <c r="N307" s="956" t="e">
        <f>L307-F307</f>
        <v>#N/A</v>
      </c>
      <c r="O307" s="957"/>
      <c r="P307" s="955"/>
      <c r="Q307" s="956">
        <f>Q268-Q305</f>
        <v>220018.0299999998</v>
      </c>
      <c r="R307" s="959"/>
      <c r="S307" s="956">
        <f>L307-Q307</f>
        <v>-186688.90999999968</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2" t="s">
        <v>339</v>
      </c>
      <c r="E312" s="1277"/>
      <c r="F312" s="1278"/>
      <c r="G312" s="1279"/>
      <c r="H312" s="1277"/>
      <c r="I312" s="1278"/>
      <c r="J312" s="1279" t="s">
        <v>340</v>
      </c>
      <c r="K312" s="1277"/>
      <c r="L312" s="1278"/>
      <c r="M312" s="1279" t="s">
        <v>668</v>
      </c>
      <c r="N312" s="1278"/>
      <c r="O312" s="1272" t="s">
        <v>341</v>
      </c>
      <c r="P312" s="1277"/>
      <c r="Q312" s="1278"/>
      <c r="R312" s="1271" t="s">
        <v>670</v>
      </c>
      <c r="S312" s="1280"/>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442666.19999999995</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-42364.660000000091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0.41410604330220402</v>
      </c>
      <c r="M316" s="282"/>
      <c r="N316" s="266">
        <f>IFERROR(N315/M315,0)</f>
        <v>0</v>
      </c>
      <c r="O316" s="267"/>
      <c r="P316" s="38"/>
      <c r="Q316" s="332">
        <f>IFERROR(Q315/P315,0)</f>
        <v>0.40148717280018503</v>
      </c>
      <c r="R316" s="267"/>
      <c r="S316" s="332">
        <f>IF(Q315=0,0,(S315/Q315))</f>
        <v>-8.7344256816978799E-2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5629.34</v>
      </c>
      <c r="R324" s="282">
        <f>IF(O324=0,0,J324/O324)</f>
        <v>0</v>
      </c>
      <c r="S324" s="266">
        <f>L324-Q324</f>
        <v>-22807.85</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548789.36</v>
      </c>
      <c r="M326" s="272" t="e">
        <f>L327-F327</f>
        <v>#N/A</v>
      </c>
      <c r="N326" s="271" t="e">
        <f>L326-F326</f>
        <v>#N/A</v>
      </c>
      <c r="O326" s="272"/>
      <c r="P326" s="269">
        <f t="shared" ref="P326" si="78">P318+P321+P315</f>
        <v>1240492.47</v>
      </c>
      <c r="Q326" s="271">
        <f>Q318+Q321+Q315+Q324</f>
        <v>518095.51000000007</v>
      </c>
      <c r="R326" s="272"/>
      <c r="S326" s="271">
        <f>L326-Q326</f>
        <v>30693.849999999919</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0.42642949019125165</v>
      </c>
      <c r="M327" s="276"/>
      <c r="N327" s="277" t="e">
        <f>N326/F326</f>
        <v>#N/A</v>
      </c>
      <c r="O327" s="273"/>
      <c r="P327" s="945"/>
      <c r="Q327" s="326">
        <f>Q326/P326</f>
        <v>0.41765308740648793</v>
      </c>
      <c r="R327" s="276"/>
      <c r="S327" s="326">
        <f>S326/Q326</f>
        <v>5.9243613209463857E-2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75708.2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52073.57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3759.42</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33743.440000000002</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45409.32</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14244.46</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8004.87</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11.3146710757675</v>
      </c>
      <c r="L342" s="294">
        <f>+SUM(L330:L341)</f>
        <v>232943.28</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8805.57</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16390.080000000002</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6811.93</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85396.41</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438.31</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1385.39</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3445.15</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0.45972859459339804</v>
      </c>
      <c r="L361" s="294">
        <f>+SUM(L343:L360)</f>
        <v>203506.31000000003</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21.199510679181579</v>
      </c>
      <c r="L363" s="294">
        <f>L342+L361</f>
        <v>436449.59</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112339.76999999996</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2" t="s">
        <v>339</v>
      </c>
      <c r="E369" s="1277"/>
      <c r="F369" s="1278"/>
      <c r="G369" s="1279"/>
      <c r="H369" s="1277"/>
      <c r="I369" s="1278"/>
      <c r="J369" s="1279" t="s">
        <v>340</v>
      </c>
      <c r="K369" s="1277"/>
      <c r="L369" s="1278"/>
      <c r="M369" s="1279" t="s">
        <v>668</v>
      </c>
      <c r="N369" s="1278"/>
      <c r="O369" s="1272" t="s">
        <v>341</v>
      </c>
      <c r="P369" s="1277"/>
      <c r="Q369" s="1278"/>
      <c r="R369" s="1271" t="s">
        <v>670</v>
      </c>
      <c r="S369" s="1280"/>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23753.3</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-3557.0699999999997</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21493.94</v>
      </c>
      <c r="M395" s="243"/>
      <c r="N395" s="246" t="e">
        <f t="shared" si="103"/>
        <v>#N/A</v>
      </c>
      <c r="O395" s="243"/>
      <c r="P395" s="38"/>
      <c r="Q395" s="266">
        <f>SUMIFS(BV_Data_An_Prec!$AN:$AN,BV_Data_An_Prec!$AP:$AP,$B395,BV_Data_An_Prec!$AQ:$AQ,$C395,BV_Data_An_Prec!$AR:$AR,$L$2)</f>
        <v>19100.330000000002</v>
      </c>
      <c r="R395" s="243"/>
      <c r="S395" s="266">
        <f t="shared" si="104"/>
        <v>2393.6099999999969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145693.94</v>
      </c>
      <c r="M396" s="233"/>
      <c r="N396" s="262" t="e">
        <f t="shared" si="103"/>
        <v>#N/A</v>
      </c>
      <c r="O396" s="233"/>
      <c r="P396" s="301"/>
      <c r="Q396" s="303">
        <f>SUMIFS(BV_Data_An_Prec!$AN:$AN,BV_Data_An_Prec!$AP:$AP,$B396,BV_Data_An_Prec!$AQ:$AQ,$C396,BV_Data_An_Prec!$AR:$AR,$L$2)</f>
        <v>133489.10999999999</v>
      </c>
      <c r="R396" s="233"/>
      <c r="S396" s="303">
        <f t="shared" si="104"/>
        <v>12204.830000000016</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20164.18</v>
      </c>
      <c r="M401" s="243"/>
      <c r="N401" s="246" t="e">
        <f t="shared" si="103"/>
        <v>#N/A</v>
      </c>
      <c r="O401" s="243"/>
      <c r="P401" s="38"/>
      <c r="Q401" s="266">
        <f>SUMIFS(BV_Data_An_Prec!$AN:$AN,BV_Data_An_Prec!$AP:$AP,$B401,BV_Data_An_Prec!$AQ:$AQ,$C401,BV_Data_An_Prec!$AR:$AR,$L$2)</f>
        <v>17739.57</v>
      </c>
      <c r="R401" s="243"/>
      <c r="S401" s="266">
        <f t="shared" si="104"/>
        <v>2424.6100000000006</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26548.43</v>
      </c>
      <c r="M402" s="233"/>
      <c r="N402" s="262" t="e">
        <f t="shared" si="103"/>
        <v>#N/A</v>
      </c>
      <c r="O402" s="233"/>
      <c r="P402" s="301"/>
      <c r="Q402" s="303">
        <f>SUMIFS(BV_Data_An_Prec!$AN:$AN,BV_Data_An_Prec!$AP:$AP,$B402,BV_Data_An_Prec!$AQ:$AQ,$C402,BV_Data_An_Prec!$AR:$AR,$L$2)</f>
        <v>24797.1</v>
      </c>
      <c r="R402" s="233"/>
      <c r="S402" s="303">
        <f t="shared" si="104"/>
        <v>1751.3300000000017</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7960.34</v>
      </c>
      <c r="M403" s="243"/>
      <c r="N403" s="246" t="e">
        <f t="shared" si="103"/>
        <v>#N/A</v>
      </c>
      <c r="O403" s="243"/>
      <c r="P403" s="38"/>
      <c r="Q403" s="266">
        <f>SUMIFS(BV_Data_An_Prec!$AN:$AN,BV_Data_An_Prec!$AP:$AP,$B403,BV_Data_An_Prec!$AQ:$AQ,$C403,BV_Data_An_Prec!$AR:$AR,$L$2)</f>
        <v>11797.05</v>
      </c>
      <c r="R403" s="243"/>
      <c r="S403" s="266">
        <f t="shared" si="104"/>
        <v>-3836.7099999999991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7548.31</v>
      </c>
      <c r="M404" s="243"/>
      <c r="N404" s="246" t="e">
        <f t="shared" si="103"/>
        <v>#N/A</v>
      </c>
      <c r="O404" s="243"/>
      <c r="P404" s="38"/>
      <c r="Q404" s="266">
        <f>SUMIFS(BV_Data_An_Prec!$AN:$AN,BV_Data_An_Prec!$AP:$AP,$B404,BV_Data_An_Prec!$AQ:$AQ,$C404,BV_Data_An_Prec!$AR:$AR,$L$2)</f>
        <v>1666.01</v>
      </c>
      <c r="R404" s="243"/>
      <c r="S404" s="266">
        <f t="shared" si="104"/>
        <v>5882.3</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0.32195965066468257</v>
      </c>
      <c r="L406" s="294">
        <f>+SUM(L394:L405)</f>
        <v>253162.43999999997</v>
      </c>
      <c r="M406" s="296"/>
      <c r="N406" s="294" t="e">
        <f t="shared" si="103"/>
        <v>#N/A</v>
      </c>
      <c r="O406" s="295" t="s">
        <v>115</v>
      </c>
      <c r="P406" s="293">
        <f>Q406/Q$390</f>
        <v>0.30384264449491177</v>
      </c>
      <c r="Q406" s="294">
        <f>+SUM(Q394:Q405)</f>
        <v>235899.54</v>
      </c>
      <c r="R406" s="297"/>
      <c r="S406" s="294">
        <f t="shared" si="104"/>
        <v>17262.899999999965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16040.27</v>
      </c>
      <c r="M410" s="243"/>
      <c r="N410" s="266" t="e">
        <f t="shared" si="103"/>
        <v>#N/A</v>
      </c>
      <c r="O410" s="243"/>
      <c r="P410" s="38"/>
      <c r="Q410" s="266">
        <f>SUMIFS(BV_Data_An_Prec!$AN:$AN,BV_Data_An_Prec!$AP:$AP,$B410,BV_Data_An_Prec!$AQ:$AQ,$C410,BV_Data_An_Prec!$AR:$AR,$L$2)</f>
        <v>13687.55</v>
      </c>
      <c r="R410" s="243"/>
      <c r="S410" s="266">
        <f t="shared" si="104"/>
        <v>2352.7200000000012</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6936.6699999999992</v>
      </c>
      <c r="M411" s="243"/>
      <c r="N411" s="266" t="e">
        <f t="shared" si="103"/>
        <v>#N/A</v>
      </c>
      <c r="O411" s="243"/>
      <c r="P411" s="38"/>
      <c r="Q411" s="266">
        <f>SUMIFS(BV_Data_An_Prec!$AN:$AN,BV_Data_An_Prec!$AP:$AP,$B411,BV_Data_An_Prec!$AQ:$AQ,$C411,BV_Data_An_Prec!$AR:$AR,$L$2)</f>
        <v>8316.43</v>
      </c>
      <c r="R411" s="243"/>
      <c r="S411" s="266">
        <f t="shared" si="104"/>
        <v>-1379.7600000000011</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1385.3</v>
      </c>
      <c r="M417" s="243"/>
      <c r="N417" s="266" t="e">
        <f t="shared" si="103"/>
        <v>#N/A</v>
      </c>
      <c r="O417" s="243"/>
      <c r="P417" s="38"/>
      <c r="Q417" s="266">
        <f>SUMIFS(BV_Data_An_Prec!$AN:$AN,BV_Data_An_Prec!$AP:$AP,$B417,BV_Data_An_Prec!$AQ:$AQ,$C417,BV_Data_An_Prec!$AR:$AR,$L$2)</f>
        <v>2795.17</v>
      </c>
      <c r="R417" s="243"/>
      <c r="S417" s="266">
        <f t="shared" si="104"/>
        <v>-1409.8700000000001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3445.02</v>
      </c>
      <c r="M421" s="243"/>
      <c r="N421" s="266" t="e">
        <f t="shared" si="103"/>
        <v>#N/A</v>
      </c>
      <c r="O421" s="243"/>
      <c r="P421" s="38"/>
      <c r="Q421" s="266">
        <f>SUMIFS(BV_Data_An_Prec!$AN:$AN,BV_Data_An_Prec!$AP:$AP,$B421,BV_Data_An_Prec!$AQ:$AQ,$C421,BV_Data_An_Prec!$AR:$AR,Q$2)</f>
        <v>882</v>
      </c>
      <c r="R421" s="243"/>
      <c r="S421" s="266">
        <f t="shared" si="104"/>
        <v>2563.02</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0.12666458090982582</v>
      </c>
      <c r="L425" s="294">
        <f>+SUM(L407:L424)</f>
        <v>99598.550000000017</v>
      </c>
      <c r="M425" s="296"/>
      <c r="N425" s="294" t="e">
        <f>+SUM(N407:N424)</f>
        <v>#N/A</v>
      </c>
      <c r="O425" s="295" t="s">
        <v>115</v>
      </c>
      <c r="P425" s="293">
        <f>Q425/Q$390</f>
        <v>0.13668085975657507</v>
      </c>
      <c r="Q425" s="294">
        <f>+SUM(Q407:Q424)</f>
        <v>106117.27</v>
      </c>
      <c r="R425" s="297"/>
      <c r="S425" s="294">
        <f>+SUM(S407:S424)</f>
        <v>-6518.7200000000048</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0.44862423157450837</v>
      </c>
      <c r="L427" s="294">
        <f>L406+L425</f>
        <v>352760.99</v>
      </c>
      <c r="M427" s="296"/>
      <c r="N427" s="294" t="e">
        <f>L427-F427</f>
        <v>#N/A</v>
      </c>
      <c r="O427" s="295" t="s">
        <v>115</v>
      </c>
      <c r="P427" s="293">
        <f>Q427/Q$390</f>
        <v>0.44052350425148684</v>
      </c>
      <c r="Q427" s="294">
        <f>Q406+Q425</f>
        <v>342016.81</v>
      </c>
      <c r="R427" s="297"/>
      <c r="S427" s="294">
        <f>L427-Q427</f>
        <v>10744.179999999993</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433556.30000000028</v>
      </c>
      <c r="M429" s="958"/>
      <c r="N429" s="956" t="e">
        <f>L429-F429</f>
        <v>#N/A</v>
      </c>
      <c r="O429" s="957"/>
      <c r="P429" s="955"/>
      <c r="Q429" s="956">
        <f>Q390-Q427</f>
        <v>434370.39000000007</v>
      </c>
      <c r="R429" s="959"/>
      <c r="S429" s="956">
        <f>L429-Q429</f>
        <v>-814.08999999979278</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2" t="s">
        <v>339</v>
      </c>
      <c r="E434" s="1277"/>
      <c r="F434" s="1278"/>
      <c r="G434" s="1279"/>
      <c r="H434" s="1277"/>
      <c r="I434" s="1278"/>
      <c r="J434" s="1279" t="s">
        <v>340</v>
      </c>
      <c r="K434" s="1277"/>
      <c r="L434" s="1278"/>
      <c r="M434" s="1279"/>
      <c r="N434" s="1278"/>
      <c r="O434" s="1272" t="s">
        <v>341</v>
      </c>
      <c r="P434" s="1277"/>
      <c r="Q434" s="1278"/>
      <c r="R434" s="1279" t="s">
        <v>342</v>
      </c>
      <c r="S434" s="1278"/>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162235.4</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162235.4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0.73564468224998292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548671.53</v>
      </c>
      <c r="M448" s="272"/>
      <c r="N448" s="271"/>
      <c r="O448" s="272"/>
      <c r="P448" s="269">
        <f>P437+P440+P443</f>
        <v>681522.48</v>
      </c>
      <c r="Q448" s="271">
        <f>Q437+Q440+Q443+Q446</f>
        <v>511346.58999999997</v>
      </c>
      <c r="R448" s="272">
        <f>IF(O448=0,0,(J448-O448)/O448)</f>
        <v>0</v>
      </c>
      <c r="S448" s="271">
        <f>S437+S440+S443+S446</f>
        <v>37324.94000000001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0.74414713573524915</v>
      </c>
      <c r="M449" s="276"/>
      <c r="N449" s="277"/>
      <c r="O449" s="273"/>
      <c r="P449" s="945"/>
      <c r="Q449" s="326">
        <f>Q448/P448</f>
        <v>0.75030040094935679</v>
      </c>
      <c r="R449" s="276"/>
      <c r="S449" s="326">
        <f>IF(Q448=0,0,S448/Q448)</f>
        <v>7.2993427021777954E-2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28816.95</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12964.28</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14954.65</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3396.68</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1982.07</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0.12072062496116756</v>
      </c>
      <c r="L464" s="294">
        <f>+SUM(L452:L463)</f>
        <v>66235.97</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435.59</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5.0527680924140521E-3</v>
      </c>
      <c r="L482" s="294">
        <f>+SUM(L465:L481)</f>
        <v>2772.3099999999995</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0.12577339305358162</v>
      </c>
      <c r="L484" s="294">
        <f>L464+L482</f>
        <v>69008.28</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479663.25</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-35975.609999999957</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1" t="s">
        <v>592</v>
      </c>
      <c r="Y491" s="1275"/>
      <c r="Z491" s="1282"/>
      <c r="AA491" s="1274"/>
      <c r="AB491" s="1275"/>
      <c r="AC491" s="1282"/>
      <c r="AD491" s="1274" t="s">
        <v>340</v>
      </c>
      <c r="AE491" s="1275"/>
      <c r="AF491" s="1282"/>
      <c r="AG491" s="1274" t="s">
        <v>668</v>
      </c>
      <c r="AH491" s="1275"/>
      <c r="AI491" s="1282"/>
      <c r="AJ491" s="1274" t="s">
        <v>593</v>
      </c>
      <c r="AK491" s="1275"/>
      <c r="AL491" s="1275"/>
      <c r="AM491" s="1274" t="s">
        <v>594</v>
      </c>
      <c r="AN491" s="1275"/>
      <c r="AO491" s="1276"/>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165238568.93999997</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3.7657528565618686E-2</v>
      </c>
      <c r="AE494" s="393"/>
      <c r="AF494" s="391">
        <f>L27+L109+L182+L268+L326+L390+L448</f>
        <v>6222476.1300000018</v>
      </c>
      <c r="AG494" s="392"/>
      <c r="AH494" s="393" t="e">
        <f>AF494-Z494</f>
        <v>#N/A</v>
      </c>
      <c r="AI494" s="394" t="e">
        <f>AH494/Z494</f>
        <v>#N/A</v>
      </c>
      <c r="AJ494" s="754">
        <f>+AL494/AL493</f>
        <v>4.0689101914544126E-2</v>
      </c>
      <c r="AK494" s="393"/>
      <c r="AL494" s="391">
        <f>Q27+Q109+Q182+Q268+Q326+Q390+Q448</f>
        <v>7214386.2599999923</v>
      </c>
      <c r="AM494" s="395"/>
      <c r="AN494" s="393">
        <f>AF494-AL494</f>
        <v>-991910.12999999058</v>
      </c>
      <c r="AO494" s="396">
        <f>IF(AL494=0,0,AN494/AL494)</f>
        <v>-0.13749057705706924</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1192.7811954459203</v>
      </c>
      <c r="AF496" s="399">
        <f t="shared" ref="AF496:AF505" si="110">+SUMIF($C:$C,$V496,L:L)</f>
        <v>628595.68999999994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292.28356121773243</v>
      </c>
      <c r="AN496" s="401">
        <f>AF496-AL496</f>
        <v>91899.099999999977</v>
      </c>
      <c r="AO496" s="408">
        <f>IF(AL496=0,0,AN496/AL496)</f>
        <v>0.17123101154788403</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453.99948766603416</v>
      </c>
      <c r="AF498" s="399">
        <f t="shared" si="110"/>
        <v>239257.73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510.28282659220866</v>
      </c>
      <c r="AN498" s="401">
        <f t="shared" si="117"/>
        <v>272802.60000000003</v>
      </c>
      <c r="AO498" s="408">
        <f t="shared" si="118"/>
        <v>-8.132468541389489</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-3.4980645161290522</v>
      </c>
      <c r="AF501" s="399">
        <f t="shared" si="110"/>
        <v>-1843.4800000000105</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195.54332810132061</v>
      </c>
      <c r="AN501" s="401">
        <f t="shared" si="117"/>
        <v>116785.19</v>
      </c>
      <c r="AO501" s="408">
        <f t="shared" si="118"/>
        <v>-0.98446008034988497</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1585.5954269449717</v>
      </c>
      <c r="AF502" s="399">
        <f t="shared" si="110"/>
        <v>835608.79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-267.04438849126996</v>
      </c>
      <c r="AN502" s="401">
        <f t="shared" si="117"/>
        <v>-268564.54000000004</v>
      </c>
      <c r="AO502" s="408">
        <f t="shared" si="118"/>
        <v>-0.24322679483664039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-228.48715370018974</v>
      </c>
      <c r="AF504" s="399">
        <f t="shared" si="110"/>
        <v>-120412.73</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-228.48715370018974</v>
      </c>
      <c r="AN504" s="401">
        <f t="shared" si="117"/>
        <v>-120412.73</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4.5130324991700693E-2</v>
      </c>
      <c r="AE506" s="419"/>
      <c r="AF506" s="416">
        <f>SUM(AF496:AF505)</f>
        <v>280822.37000000011</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681233.59000000008</v>
      </c>
      <c r="AO506" s="396">
        <f t="shared" si="123"/>
        <v>-1.7013349176379227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103819.02</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-189977.06999999995</v>
      </c>
      <c r="AO507" s="408">
        <f t="shared" si="123"/>
        <v>-0.64662899359892767</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407240.14</v>
      </c>
      <c r="AG508" s="400"/>
      <c r="AH508" s="401" t="e">
        <f t="shared" si="124"/>
        <v>#N/A</v>
      </c>
      <c r="AI508" s="402" t="e">
        <f t="shared" si="125"/>
        <v>#N/A</v>
      </c>
      <c r="AJ508" s="407"/>
      <c r="AK508" s="406"/>
      <c r="AL508" s="399">
        <f>SUMIFS(BV_Data_An_Prec!$AN:$AN,BV_Data_An_Prec!$AQ:$AQ,$V508)</f>
        <v>734024.15</v>
      </c>
      <c r="AM508" s="403"/>
      <c r="AN508" s="401">
        <f t="shared" si="122"/>
        <v>-326784.01</v>
      </c>
      <c r="AO508" s="408">
        <f t="shared" si="123"/>
        <v>-0.44519517511787587</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503418.97000000003</v>
      </c>
      <c r="AG509" s="384"/>
      <c r="AH509" s="385" t="e">
        <f t="shared" si="124"/>
        <v>#N/A</v>
      </c>
      <c r="AI509" s="412" t="e">
        <f t="shared" si="125"/>
        <v>#N/A</v>
      </c>
      <c r="AJ509" s="411"/>
      <c r="AK509" s="410"/>
      <c r="AL509" s="383">
        <f>SUMIFS(BV_Data_An_Prec!$AN:$AN,BV_Data_An_Prec!$AQ:$AQ,$V509)</f>
        <v>597890.6</v>
      </c>
      <c r="AM509" s="387"/>
      <c r="AN509" s="385">
        <f t="shared" si="122"/>
        <v>-94471.629999999946</v>
      </c>
      <c r="AO509" s="388">
        <f t="shared" si="123"/>
        <v>-0.15800822090195088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299287.60000000003</v>
      </c>
      <c r="AG510" s="400"/>
      <c r="AH510" s="401" t="e">
        <f t="shared" si="124"/>
        <v>#N/A</v>
      </c>
      <c r="AI510" s="402" t="e">
        <f t="shared" si="125"/>
        <v>#N/A</v>
      </c>
      <c r="AJ510" s="407"/>
      <c r="AK510" s="406"/>
      <c r="AL510" s="399">
        <f>SUMIFS(BV_Data_An_Prec!$AN:$AN,BV_Data_An_Prec!$AQ:$AQ,$V510)</f>
        <v>709053.80999999994</v>
      </c>
      <c r="AM510" s="403"/>
      <c r="AN510" s="401">
        <f t="shared" si="122"/>
        <v>-409766.2099999999</v>
      </c>
      <c r="AO510" s="408">
        <f t="shared" si="123"/>
        <v>-0.57790565993855947</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40562.14</v>
      </c>
      <c r="AG511" s="400"/>
      <c r="AH511" s="401" t="e">
        <f t="shared" si="124"/>
        <v>#N/A</v>
      </c>
      <c r="AI511" s="402" t="e">
        <f t="shared" si="125"/>
        <v>#N/A</v>
      </c>
      <c r="AJ511" s="407"/>
      <c r="AK511" s="406"/>
      <c r="AL511" s="399">
        <f>SUMIFS(BV_Data_An_Prec!$AN:$AN,BV_Data_An_Prec!$AQ:$AQ,$V511)</f>
        <v>0</v>
      </c>
      <c r="AM511" s="403"/>
      <c r="AN511" s="401">
        <f t="shared" si="122"/>
        <v>40562.14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266644.59000000003</v>
      </c>
      <c r="AG515" s="384"/>
      <c r="AH515" s="385" t="e">
        <f t="shared" si="124"/>
        <v>#N/A</v>
      </c>
      <c r="AI515" s="412" t="e">
        <f t="shared" si="125"/>
        <v>#N/A</v>
      </c>
      <c r="AJ515" s="411"/>
      <c r="AK515" s="410"/>
      <c r="AL515" s="383">
        <f>SUMIFS(BV_Data_An_Prec!$AN:$AN,BV_Data_An_Prec!$AQ:$AQ,$V515)</f>
        <v>298800.94</v>
      </c>
      <c r="AM515" s="387"/>
      <c r="AN515" s="385">
        <f t="shared" si="122"/>
        <v>-32156.349999999977</v>
      </c>
      <c r="AO515" s="388">
        <f t="shared" si="123"/>
        <v>-0.10761796800237636</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423316.87</v>
      </c>
      <c r="AG516" s="400"/>
      <c r="AH516" s="401" t="e">
        <f t="shared" si="124"/>
        <v>#N/A</v>
      </c>
      <c r="AI516" s="402" t="e">
        <f t="shared" si="125"/>
        <v>#N/A</v>
      </c>
      <c r="AJ516" s="407"/>
      <c r="AK516" s="406"/>
      <c r="AL516" s="399">
        <f>SUMIFS(BV_Data_An_Prec!$AN:$AN,BV_Data_An_Prec!$AQ:$AQ,$V516)</f>
        <v>404037.67</v>
      </c>
      <c r="AM516" s="403"/>
      <c r="AN516" s="401">
        <f t="shared" si="122"/>
        <v>19279.200000000012</v>
      </c>
      <c r="AO516" s="408">
        <f t="shared" si="123"/>
        <v>4.7716342884563244E-2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136300.51999999999</v>
      </c>
      <c r="AG517" s="400"/>
      <c r="AH517" s="401" t="e">
        <f t="shared" si="124"/>
        <v>#N/A</v>
      </c>
      <c r="AI517" s="402" t="e">
        <f t="shared" si="125"/>
        <v>#N/A</v>
      </c>
      <c r="AJ517" s="407"/>
      <c r="AK517" s="406"/>
      <c r="AL517" s="399">
        <f>SUMIFS(BV_Data_An_Prec!$AN:$AN,BV_Data_An_Prec!$AQ:$AQ,$V517)</f>
        <v>192618.09999999998</v>
      </c>
      <c r="AM517" s="403"/>
      <c r="AN517" s="401">
        <f t="shared" si="122"/>
        <v>-56317.579999999987</v>
      </c>
      <c r="AO517" s="408">
        <f t="shared" si="123"/>
        <v>-0.2923794804330434</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80003.530000000013</v>
      </c>
      <c r="AG518" s="400"/>
      <c r="AH518" s="401" t="e">
        <f t="shared" si="124"/>
        <v>#N/A</v>
      </c>
      <c r="AI518" s="420" t="e">
        <f t="shared" si="125"/>
        <v>#N/A</v>
      </c>
      <c r="AJ518" s="407"/>
      <c r="AK518" s="406"/>
      <c r="AL518" s="399">
        <f>SUMIFS(BV_Data_An_Prec!$AN:$AN,BV_Data_An_Prec!$AQ:$AQ,$V518)</f>
        <v>11245.820000000002</v>
      </c>
      <c r="AM518" s="403"/>
      <c r="AN518" s="401">
        <f t="shared" si="122"/>
        <v>68757.710000000006</v>
      </c>
      <c r="AO518" s="408">
        <f t="shared" si="123"/>
        <v>6.1140681604365001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0.36329482552792036</v>
      </c>
      <c r="AE520" s="421"/>
      <c r="AF520" s="416">
        <f>SUM(AF507:AF519)</f>
        <v>2260593.38</v>
      </c>
      <c r="AG520" s="418"/>
      <c r="AH520" s="419" t="e">
        <f t="shared" si="124"/>
        <v>#N/A</v>
      </c>
      <c r="AI520" s="415" t="e">
        <f>AH520/Z520</f>
        <v>#N/A</v>
      </c>
      <c r="AJ520" s="417">
        <f>IF($AL$494=0,0,AL520/$AL$494)</f>
        <v>0.44930602038488621</v>
      </c>
      <c r="AK520" s="421"/>
      <c r="AL520" s="416">
        <f>SUM(AL507:AL519)</f>
        <v>3241467.1799999997</v>
      </c>
      <c r="AM520" s="423"/>
      <c r="AN520" s="419">
        <f t="shared" si="122"/>
        <v>-980873.79999999981</v>
      </c>
      <c r="AO520" s="396">
        <f t="shared" si="123"/>
        <v>-0.30260179897918937</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191755.31</v>
      </c>
      <c r="AG523" s="384"/>
      <c r="AH523" s="385" t="e">
        <f t="shared" si="124"/>
        <v>#N/A</v>
      </c>
      <c r="AI523" s="412" t="e">
        <f t="shared" si="129"/>
        <v>#N/A</v>
      </c>
      <c r="AJ523" s="411"/>
      <c r="AK523" s="410"/>
      <c r="AL523" s="383">
        <f>SUMIFS(BV_Data_An_Prec!$AN:$AN,BV_Data_An_Prec!$AQ:$AQ,$V523)</f>
        <v>80623.64</v>
      </c>
      <c r="AM523" s="387"/>
      <c r="AN523" s="385">
        <f t="shared" si="122"/>
        <v>111131.67</v>
      </c>
      <c r="AO523" s="388">
        <f t="shared" si="123"/>
        <v>1.3784005534853052</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95797.62000000001</v>
      </c>
      <c r="AG524" s="400"/>
      <c r="AH524" s="401" t="e">
        <f t="shared" si="124"/>
        <v>#N/A</v>
      </c>
      <c r="AI524" s="402" t="e">
        <f t="shared" si="129"/>
        <v>#N/A</v>
      </c>
      <c r="AJ524" s="407"/>
      <c r="AK524" s="406"/>
      <c r="AL524" s="399">
        <f>SUMIFS(BV_Data_An_Prec!$AN:$AN,BV_Data_An_Prec!$AQ:$AQ,$V524)</f>
        <v>97634.26</v>
      </c>
      <c r="AM524" s="403"/>
      <c r="AN524" s="401">
        <f t="shared" si="122"/>
        <v>-1836.6399999999849</v>
      </c>
      <c r="AO524" s="408">
        <f t="shared" si="123"/>
        <v>-1.8811429512550052E-2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74622.89</v>
      </c>
      <c r="AG525" s="400"/>
      <c r="AH525" s="401" t="e">
        <f t="shared" si="124"/>
        <v>#N/A</v>
      </c>
      <c r="AI525" s="402" t="e">
        <f t="shared" si="129"/>
        <v>#N/A</v>
      </c>
      <c r="AJ525" s="407"/>
      <c r="AK525" s="406"/>
      <c r="AL525" s="399">
        <f>SUMIFS(BV_Data_An_Prec!$AN:$AN,BV_Data_An_Prec!$AQ:$AQ,$V525)</f>
        <v>84226.2</v>
      </c>
      <c r="AM525" s="403"/>
      <c r="AN525" s="401">
        <f t="shared" si="122"/>
        <v>-9603.3099999999977</v>
      </c>
      <c r="AO525" s="408">
        <f t="shared" si="123"/>
        <v>-0.11401808463399747</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132339.76999999999</v>
      </c>
      <c r="AG528" s="400"/>
      <c r="AH528" s="401" t="e">
        <f t="shared" si="124"/>
        <v>#N/A</v>
      </c>
      <c r="AI528" s="402" t="e">
        <f t="shared" si="129"/>
        <v>#N/A</v>
      </c>
      <c r="AJ528" s="407"/>
      <c r="AK528" s="406"/>
      <c r="AL528" s="399">
        <f>SUMIFS(BV_Data_An_Prec!$AN:$AN,BV_Data_An_Prec!$AQ:$AQ,$V528)</f>
        <v>64023.44</v>
      </c>
      <c r="AM528" s="403"/>
      <c r="AN528" s="401">
        <f t="shared" si="122"/>
        <v>68316.329999999987</v>
      </c>
      <c r="AO528" s="408">
        <f t="shared" si="123"/>
        <v>1.0670518485104827</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2181.89</v>
      </c>
      <c r="AG529" s="400"/>
      <c r="AH529" s="401" t="e">
        <f t="shared" si="124"/>
        <v>#N/A</v>
      </c>
      <c r="AI529" s="420" t="e">
        <f t="shared" si="129"/>
        <v>#N/A</v>
      </c>
      <c r="AJ529" s="407"/>
      <c r="AK529" s="406"/>
      <c r="AL529" s="399">
        <f>SUMIFS(BV_Data_An_Prec!$AN:$AN,BV_Data_An_Prec!$AQ:$AQ,$V529)</f>
        <v>0</v>
      </c>
      <c r="AM529" s="403"/>
      <c r="AN529" s="401">
        <f t="shared" si="122"/>
        <v>2181.89</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15472.039999999997</v>
      </c>
      <c r="AG531" s="400"/>
      <c r="AH531" s="401" t="e">
        <f t="shared" si="124"/>
        <v>#N/A</v>
      </c>
      <c r="AI531" s="420" t="e">
        <f t="shared" si="129"/>
        <v>#N/A</v>
      </c>
      <c r="AJ531" s="407"/>
      <c r="AK531" s="406"/>
      <c r="AL531" s="399">
        <f>SUMIFS(BV_Data_An_Prec!$AN:$AN,BV_Data_An_Prec!$AQ:$AQ,$V531)</f>
        <v>29220.489999999998</v>
      </c>
      <c r="AM531" s="403"/>
      <c r="AN531" s="401">
        <f t="shared" si="122"/>
        <v>-13748.45</v>
      </c>
      <c r="AO531" s="408">
        <f t="shared" si="123"/>
        <v>-0.47050716808650372</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35422.579999999994</v>
      </c>
      <c r="AG535" s="400"/>
      <c r="AH535" s="659" t="e">
        <f t="shared" si="124"/>
        <v>#N/A</v>
      </c>
      <c r="AI535" s="402" t="e">
        <f t="shared" si="129"/>
        <v>#N/A</v>
      </c>
      <c r="AJ535" s="407"/>
      <c r="AK535" s="406"/>
      <c r="AL535" s="399">
        <f>SUMIFS(BV_Data_An_Prec!$AN:$AN,BV_Data_An_Prec!$AQ:$AQ,$V535)</f>
        <v>11472.78</v>
      </c>
      <c r="AM535" s="403"/>
      <c r="AN535" s="401">
        <f t="shared" si="122"/>
        <v>23949.799999999996</v>
      </c>
      <c r="AO535" s="408">
        <f t="shared" si="123"/>
        <v>2.0875324027829345</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0.17166610328162077</v>
      </c>
      <c r="AE539" s="414"/>
      <c r="AF539" s="416">
        <f>+SUM(AF521:AF538)</f>
        <v>1068188.2300000002</v>
      </c>
      <c r="AG539" s="422"/>
      <c r="AH539" s="435" t="e">
        <f>+SUM(AH521:AH538)</f>
        <v>#N/A</v>
      </c>
      <c r="AI539" s="415" t="e">
        <f>AH539/Z539</f>
        <v>#N/A</v>
      </c>
      <c r="AJ539" s="417">
        <f>IF($AL$494=0,0,AL539/$AL$494)</f>
        <v>0.11819842038787662</v>
      </c>
      <c r="AK539" s="414"/>
      <c r="AL539" s="416">
        <f>+SUM(AL521:AL538)</f>
        <v>852729.06</v>
      </c>
      <c r="AM539" s="423"/>
      <c r="AN539" s="419">
        <f t="shared" si="122"/>
        <v>215459.17000000016</v>
      </c>
      <c r="AO539" s="436">
        <f t="shared" si="123"/>
        <v>0.25267013885981576</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11113.380000000001</v>
      </c>
      <c r="AG548" s="400"/>
      <c r="AH548" s="401" t="e">
        <f t="shared" si="132"/>
        <v>#N/A</v>
      </c>
      <c r="AI548" s="439" t="e">
        <f t="shared" si="133"/>
        <v>#N/A</v>
      </c>
      <c r="AJ548" s="407"/>
      <c r="AK548" s="406"/>
      <c r="AL548" s="399">
        <f>SUMIFS(BV_Data_An_Prec!$AN:$AN,BV_Data_An_Prec!$AQ:$AQ,$V548)</f>
        <v>5619.43</v>
      </c>
      <c r="AM548" s="403"/>
      <c r="AN548" s="401">
        <f t="shared" si="122"/>
        <v>5493.9500000000007</v>
      </c>
      <c r="AO548" s="408">
        <f t="shared" si="123"/>
        <v>0.97767033311207729</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0.16263656281795968</v>
      </c>
      <c r="AE553" s="414"/>
      <c r="AF553" s="416">
        <f>SUM(AF540:AF552)</f>
        <v>1012002.13</v>
      </c>
      <c r="AG553" s="422"/>
      <c r="AH553" s="435" t="e">
        <f>SUM(AH540:AH552)</f>
        <v>#N/A</v>
      </c>
      <c r="AI553" s="415" t="e">
        <f>IF(Z553=0,0,AH553/Z553)</f>
        <v>#N/A</v>
      </c>
      <c r="AJ553" s="417">
        <f>IF($AL$494=0,0,AL553/$AL$494)</f>
        <v>0.18151853017085354</v>
      </c>
      <c r="AK553" s="414"/>
      <c r="AL553" s="416">
        <f>SUM(AL540:AL552)</f>
        <v>1309544.7899999998</v>
      </c>
      <c r="AM553" s="423"/>
      <c r="AN553" s="419">
        <f t="shared" si="122"/>
        <v>-297542.6599999998</v>
      </c>
      <c r="AO553" s="436">
        <f t="shared" si="123"/>
        <v>-0.22721075466231272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0.74272781661920162</v>
      </c>
      <c r="AE555" s="414"/>
      <c r="AF555" s="416">
        <f>AF506+AF520+AF539+AF553</f>
        <v>4621606.1100000003</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-381723.69999999925</v>
      </c>
      <c r="AO555" s="396">
        <f t="shared" ref="AO555:AO568" si="136">IF(AL555=0,0,AN555/AL555)</f>
        <v>-7.6293931141029309E-2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-8858.4000000000051</v>
      </c>
      <c r="AG556" s="446"/>
      <c r="AH556" s="401" t="e">
        <f t="shared" si="134"/>
        <v>#N/A</v>
      </c>
      <c r="AI556" s="439" t="e">
        <f>IF(AH556=0,0,AH556/Z556)</f>
        <v>#N/A</v>
      </c>
      <c r="AJ556" s="445"/>
      <c r="AK556" s="444"/>
      <c r="AL556" s="426">
        <f>-SUMIFS(BV_Data_An_Prec!$AN:$AN,BV_Data_An_Prec!$AQ:$AQ,$V556)</f>
        <v>259480.08</v>
      </c>
      <c r="AM556" s="447"/>
      <c r="AN556" s="401">
        <f t="shared" si="135"/>
        <v>-268338.48</v>
      </c>
      <c r="AO556" s="408">
        <f t="shared" si="136"/>
        <v>-1.0341390368000503</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275233.33999999997</v>
      </c>
      <c r="AG567" s="450"/>
      <c r="AH567" s="401" t="e">
        <f t="shared" si="134"/>
        <v>#N/A</v>
      </c>
      <c r="AI567" s="420" t="e">
        <f t="shared" si="139"/>
        <v>#N/A</v>
      </c>
      <c r="AJ567" s="452"/>
      <c r="AK567" s="437"/>
      <c r="AL567" s="399">
        <f>-SUMIFS(BV_Data_An_Prec!$AN:$AN,BV_Data_An_Prec!$AQ:$AQ,$V567)</f>
        <v>0</v>
      </c>
      <c r="AM567" s="448"/>
      <c r="AN567" s="401">
        <f t="shared" si="135"/>
        <v>275233.33999999997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6.3942872851165095E-2</v>
      </c>
      <c r="AE568" s="434"/>
      <c r="AF568" s="416">
        <f>SUM(AF556:AF567)</f>
        <v>397882.99999999994</v>
      </c>
      <c r="AG568" s="422"/>
      <c r="AH568" s="419" t="e">
        <f t="shared" si="134"/>
        <v>#N/A</v>
      </c>
      <c r="AI568" s="415" t="e">
        <f>AH568/Z568</f>
        <v>#N/A</v>
      </c>
      <c r="AJ568" s="415"/>
      <c r="AK568" s="434"/>
      <c r="AL568" s="416">
        <f>SUM(AL556:AL567)</f>
        <v>463210.15</v>
      </c>
      <c r="AM568" s="453"/>
      <c r="AN568" s="419">
        <f t="shared" si="135"/>
        <v>-65327.150000000081</v>
      </c>
      <c r="AO568" s="436">
        <f t="shared" si="136"/>
        <v>-0.14103134398069661</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1.209616515576198E-2</v>
      </c>
      <c r="AF570" s="468">
        <f>AF494-AF555+AF568</f>
        <v>1998753.0200000014</v>
      </c>
      <c r="AG570" s="470"/>
      <c r="AH570" s="470" t="e">
        <f>AF570-Z570</f>
        <v>#N/A</v>
      </c>
      <c r="AI570" s="471" t="e">
        <f>AH570/Z570</f>
        <v>#N/A</v>
      </c>
      <c r="AJ570" s="466" t="s">
        <v>215</v>
      </c>
      <c r="AK570" s="467">
        <f>IF($AL$493=0,0,AL570/$AL$493)</f>
        <v>1.5082850059938603E-2</v>
      </c>
      <c r="AL570" s="468">
        <f>AL494-AL555+AL568</f>
        <v>2674266.5999999926</v>
      </c>
      <c r="AM570" s="472"/>
      <c r="AN570" s="469">
        <f>AF570-AL570</f>
        <v>-675513.57999999123</v>
      </c>
      <c r="AO570" s="473">
        <f>IF(AL570=0,0,AN570/AL570)</f>
        <v>-0.25259769538309795</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1.7153149099404214E-2</v>
      </c>
      <c r="AF575" s="752">
        <f>AF576+AF502</f>
        <v>2834361.8100000015</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-944078.11999999126</v>
      </c>
      <c r="AO575" s="753">
        <f t="shared" ref="AO575:AO585" si="142">IF(AL575=0,0,AN575/AL575)</f>
        <v>-0.24985923753986822</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1.209616515576198E-2</v>
      </c>
      <c r="AF576" s="468">
        <f>AF570</f>
        <v>1998753.0200000014</v>
      </c>
      <c r="AG576" s="469"/>
      <c r="AH576" s="470" t="e">
        <f>AF576-Z576</f>
        <v>#N/A</v>
      </c>
      <c r="AI576" s="471" t="e">
        <f>AH576/Z576</f>
        <v>#N/A</v>
      </c>
      <c r="AJ576" s="466" t="s">
        <v>215</v>
      </c>
      <c r="AK576" s="467">
        <f>IF($AL$493=0,0,AL576/$AL$493)</f>
        <v>1.5082850059938603E-2</v>
      </c>
      <c r="AL576" s="468">
        <f>AL570</f>
        <v>2674266.5999999926</v>
      </c>
      <c r="AM576" s="474"/>
      <c r="AN576" s="475">
        <f t="shared" si="141"/>
        <v>-675513.57999999123</v>
      </c>
      <c r="AO576" s="476">
        <f t="shared" si="142"/>
        <v>-0.25259769538309795</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40241.58</v>
      </c>
      <c r="AG580" s="35"/>
      <c r="AH580" s="401" t="e">
        <f t="shared" si="143"/>
        <v>#N/A</v>
      </c>
      <c r="AI580" s="420" t="e">
        <f t="shared" si="144"/>
        <v>#N/A</v>
      </c>
      <c r="AJ580" s="35"/>
      <c r="AK580" s="38"/>
      <c r="AL580" s="399">
        <f>SUMIFS(BV_Data_An_Prec!$AN:$AN,BV_Data_An_Prec!$AQ:$AQ,$V580)</f>
        <v>0</v>
      </c>
      <c r="AM580" s="480"/>
      <c r="AN580" s="401">
        <f t="shared" si="141"/>
        <v>40241.58</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1.1365459481084765E-2</v>
      </c>
      <c r="AF585" s="468">
        <f>AF576-AF578-AF579-AF580-AF584-AF583</f>
        <v>1878012.2600000014</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-705551.7699999914</v>
      </c>
      <c r="AO585" s="482">
        <f t="shared" si="142"/>
        <v>-0.2730924265112924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v>1881641</v>
      </c>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-3628.7399999985937</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697" priority="138" stopIfTrue="1">
      <formula>"esterreur(reference)"</formula>
    </cfRule>
  </conditionalFormatting>
  <conditionalFormatting sqref="D246:D255">
    <cfRule type="expression" dxfId="696" priority="168" stopIfTrue="1">
      <formula>"esterreur(reference)"</formula>
    </cfRule>
  </conditionalFormatting>
  <conditionalFormatting sqref="D487">
    <cfRule type="expression" dxfId="695" priority="140" stopIfTrue="1">
      <formula>"esterreur(reference)"</formula>
    </cfRule>
  </conditionalFormatting>
  <conditionalFormatting sqref="D186:E192">
    <cfRule type="expression" dxfId="694" priority="111" stopIfTrue="1">
      <formula>"esterreur(reference)"</formula>
    </cfRule>
  </conditionalFormatting>
  <conditionalFormatting sqref="E260">
    <cfRule type="expression" dxfId="693" priority="169" stopIfTrue="1">
      <formula>"esterreur(reference)"</formula>
    </cfRule>
  </conditionalFormatting>
  <conditionalFormatting sqref="F5">
    <cfRule type="expression" dxfId="692" priority="166" stopIfTrue="1">
      <formula>"esterreur(reference)"</formula>
    </cfRule>
  </conditionalFormatting>
  <conditionalFormatting sqref="F84">
    <cfRule type="expression" dxfId="691" priority="165" stopIfTrue="1">
      <formula>"esterreur(reference)"</formula>
    </cfRule>
  </conditionalFormatting>
  <conditionalFormatting sqref="F102">
    <cfRule type="expression" dxfId="690" priority="170" stopIfTrue="1">
      <formula>"esterreur(reference)"</formula>
    </cfRule>
  </conditionalFormatting>
  <conditionalFormatting sqref="F258">
    <cfRule type="expression" dxfId="689" priority="157" stopIfTrue="1">
      <formula>"esterreur(reference)"</formula>
    </cfRule>
  </conditionalFormatting>
  <conditionalFormatting sqref="G31:G32">
    <cfRule type="expression" dxfId="688" priority="163" stopIfTrue="1">
      <formula>"esterreur(reference)"</formula>
    </cfRule>
  </conditionalFormatting>
  <conditionalFormatting sqref="G113:G114">
    <cfRule type="expression" dxfId="687" priority="160" stopIfTrue="1">
      <formula>"esterreur(reference)"</formula>
    </cfRule>
  </conditionalFormatting>
  <conditionalFormatting sqref="G186:G187">
    <cfRule type="expression" dxfId="686" priority="116" stopIfTrue="1">
      <formula>"esterreur(reference)"</formula>
    </cfRule>
  </conditionalFormatting>
  <conditionalFormatting sqref="G246:G255">
    <cfRule type="expression" dxfId="685" priority="167" stopIfTrue="1">
      <formula>"esterreur(reference)"</formula>
    </cfRule>
  </conditionalFormatting>
  <conditionalFormatting sqref="H25:H26 H28:H72">
    <cfRule type="expression" dxfId="684" priority="162" stopIfTrue="1">
      <formula>"esterreur(reference)"</formula>
    </cfRule>
  </conditionalFormatting>
  <conditionalFormatting sqref="H74">
    <cfRule type="expression" dxfId="683" priority="93" stopIfTrue="1">
      <formula>"esterreur(reference)"</formula>
    </cfRule>
  </conditionalFormatting>
  <conditionalFormatting sqref="H83">
    <cfRule type="expression" dxfId="682" priority="90" stopIfTrue="1">
      <formula>"esterreur(reference)"</formula>
    </cfRule>
  </conditionalFormatting>
  <conditionalFormatting sqref="H85">
    <cfRule type="expression" dxfId="681" priority="29" stopIfTrue="1">
      <formula>"esterreur(reference)"</formula>
    </cfRule>
  </conditionalFormatting>
  <conditionalFormatting sqref="H110:H154">
    <cfRule type="expression" dxfId="680" priority="24" stopIfTrue="1">
      <formula>"esterreur(reference)"</formula>
    </cfRule>
  </conditionalFormatting>
  <conditionalFormatting sqref="H156:H158">
    <cfRule type="expression" dxfId="679" priority="86" stopIfTrue="1">
      <formula>"esterreur(reference)"</formula>
    </cfRule>
  </conditionalFormatting>
  <conditionalFormatting sqref="H164">
    <cfRule type="expression" dxfId="678" priority="83" stopIfTrue="1">
      <formula>"esterreur(reference)"</formula>
    </cfRule>
  </conditionalFormatting>
  <conditionalFormatting sqref="H166">
    <cfRule type="expression" dxfId="677" priority="32" stopIfTrue="1">
      <formula>"esterreur(reference)"</formula>
    </cfRule>
  </conditionalFormatting>
  <conditionalFormatting sqref="H183:H227">
    <cfRule type="expression" dxfId="676" priority="20" stopIfTrue="1">
      <formula>"esterreur(reference)"</formula>
    </cfRule>
  </conditionalFormatting>
  <conditionalFormatting sqref="H229:H231">
    <cfRule type="expression" dxfId="675" priority="77" stopIfTrue="1">
      <formula>"esterreur(reference)"</formula>
    </cfRule>
  </conditionalFormatting>
  <conditionalFormatting sqref="H237">
    <cfRule type="expression" dxfId="674" priority="74" stopIfTrue="1">
      <formula>"esterreur(reference)"</formula>
    </cfRule>
  </conditionalFormatting>
  <conditionalFormatting sqref="H239">
    <cfRule type="expression" dxfId="673" priority="35" stopIfTrue="1">
      <formula>"esterreur(reference)"</formula>
    </cfRule>
  </conditionalFormatting>
  <conditionalFormatting sqref="H269">
    <cfRule type="expression" dxfId="672" priority="17" stopIfTrue="1">
      <formula>"esterreur(reference)"</formula>
    </cfRule>
  </conditionalFormatting>
  <conditionalFormatting sqref="H272:H303">
    <cfRule type="expression" dxfId="671" priority="71" stopIfTrue="1">
      <formula>"esterreur(reference)"</formula>
    </cfRule>
  </conditionalFormatting>
  <conditionalFormatting sqref="H305">
    <cfRule type="expression" dxfId="670" priority="69" stopIfTrue="1">
      <formula>"esterreur(reference)"</formula>
    </cfRule>
  </conditionalFormatting>
  <conditionalFormatting sqref="H307">
    <cfRule type="expression" dxfId="669" priority="38" stopIfTrue="1">
      <formula>"esterreur(reference)"</formula>
    </cfRule>
  </conditionalFormatting>
  <conditionalFormatting sqref="H327">
    <cfRule type="expression" dxfId="668" priority="13" stopIfTrue="1">
      <formula>"esterreur(reference)"</formula>
    </cfRule>
  </conditionalFormatting>
  <conditionalFormatting sqref="H330:H361">
    <cfRule type="expression" dxfId="667" priority="65" stopIfTrue="1">
      <formula>"esterreur(reference)"</formula>
    </cfRule>
  </conditionalFormatting>
  <conditionalFormatting sqref="H363">
    <cfRule type="expression" dxfId="666" priority="63" stopIfTrue="1">
      <formula>"esterreur(reference)"</formula>
    </cfRule>
  </conditionalFormatting>
  <conditionalFormatting sqref="H365">
    <cfRule type="expression" dxfId="665" priority="41" stopIfTrue="1">
      <formula>"esterreur(reference)"</formula>
    </cfRule>
  </conditionalFormatting>
  <conditionalFormatting sqref="H391">
    <cfRule type="expression" dxfId="664" priority="10" stopIfTrue="1">
      <formula>"esterreur(reference)"</formula>
    </cfRule>
  </conditionalFormatting>
  <conditionalFormatting sqref="H394:H425">
    <cfRule type="expression" dxfId="663" priority="60" stopIfTrue="1">
      <formula>"esterreur(reference)"</formula>
    </cfRule>
  </conditionalFormatting>
  <conditionalFormatting sqref="H427">
    <cfRule type="expression" dxfId="662" priority="58" stopIfTrue="1">
      <formula>"esterreur(reference)"</formula>
    </cfRule>
  </conditionalFormatting>
  <conditionalFormatting sqref="H429:H431">
    <cfRule type="expression" dxfId="661" priority="44" stopIfTrue="1">
      <formula>"esterreur(reference)"</formula>
    </cfRule>
  </conditionalFormatting>
  <conditionalFormatting sqref="H449">
    <cfRule type="expression" dxfId="660" priority="6" stopIfTrue="1">
      <formula>"esterreur(reference)"</formula>
    </cfRule>
  </conditionalFormatting>
  <conditionalFormatting sqref="H452:H482">
    <cfRule type="expression" dxfId="659" priority="53" stopIfTrue="1">
      <formula>"esterreur(reference)"</formula>
    </cfRule>
  </conditionalFormatting>
  <conditionalFormatting sqref="H484">
    <cfRule type="expression" dxfId="658" priority="50" stopIfTrue="1">
      <formula>"esterreur(reference)"</formula>
    </cfRule>
  </conditionalFormatting>
  <conditionalFormatting sqref="H486:H487">
    <cfRule type="expression" dxfId="657" priority="47" stopIfTrue="1">
      <formula>"esterreur(reference)"</formula>
    </cfRule>
  </conditionalFormatting>
  <conditionalFormatting sqref="H433:I433 K433:L433 J433:J434">
    <cfRule type="expression" dxfId="656" priority="147" stopIfTrue="1">
      <formula>"esterreur(reference)"</formula>
    </cfRule>
  </conditionalFormatting>
  <conditionalFormatting sqref="H317:J317">
    <cfRule type="expression" dxfId="655" priority="134" stopIfTrue="1">
      <formula>"esterreur(reference)"</formula>
    </cfRule>
  </conditionalFormatting>
  <conditionalFormatting sqref="H439:J439">
    <cfRule type="expression" dxfId="654" priority="108" stopIfTrue="1">
      <formula>"esterreur(reference)"</formula>
    </cfRule>
  </conditionalFormatting>
  <conditionalFormatting sqref="H435:L436">
    <cfRule type="expression" dxfId="653" priority="104" stopIfTrue="1">
      <formula>"esterreur(reference)"</formula>
    </cfRule>
  </conditionalFormatting>
  <conditionalFormatting sqref="H447:L447 H450:L451">
    <cfRule type="expression" dxfId="652" priority="103" stopIfTrue="1">
      <formula>"esterreur(reference)"</formula>
    </cfRule>
  </conditionalFormatting>
  <conditionalFormatting sqref="H483:L483 H485:L485">
    <cfRule type="expression" dxfId="651" priority="148" stopIfTrue="1">
      <formula>"esterreur(reference)"</formula>
    </cfRule>
  </conditionalFormatting>
  <conditionalFormatting sqref="I16:I18 I20 I24:I30">
    <cfRule type="expression" dxfId="650" priority="164" stopIfTrue="1">
      <formula>"esterreur(reference)"</formula>
    </cfRule>
  </conditionalFormatting>
  <conditionalFormatting sqref="I109:I110">
    <cfRule type="expression" dxfId="649" priority="25" stopIfTrue="1">
      <formula>"esterreur(reference)"</formula>
    </cfRule>
  </conditionalFormatting>
  <conditionalFormatting sqref="I182:I183">
    <cfRule type="expression" dxfId="648" priority="21" stopIfTrue="1">
      <formula>"esterreur(reference)"</formula>
    </cfRule>
  </conditionalFormatting>
  <conditionalFormatting sqref="I268:I269">
    <cfRule type="expression" dxfId="647" priority="18" stopIfTrue="1">
      <formula>"esterreur(reference)"</formula>
    </cfRule>
  </conditionalFormatting>
  <conditionalFormatting sqref="I326:I327">
    <cfRule type="expression" dxfId="646" priority="14" stopIfTrue="1">
      <formula>"esterreur(reference)"</formula>
    </cfRule>
  </conditionalFormatting>
  <conditionalFormatting sqref="I390:I391">
    <cfRule type="expression" dxfId="645" priority="11" stopIfTrue="1">
      <formula>"esterreur(reference)"</formula>
    </cfRule>
  </conditionalFormatting>
  <conditionalFormatting sqref="I448:I449">
    <cfRule type="expression" dxfId="64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141" stopIfTrue="1">
      <formula>"esterreur(reference)"</formula>
    </cfRule>
  </conditionalFormatting>
  <conditionalFormatting sqref="J16 L16:L24">
    <cfRule type="expression" dxfId="642" priority="136" stopIfTrue="1">
      <formula>"esterreur(reference)"</formula>
    </cfRule>
  </conditionalFormatting>
  <conditionalFormatting sqref="J182 J183:L183">
    <cfRule type="expression" dxfId="641" priority="22" stopIfTrue="1">
      <formula>"esterreur(reference)"</formula>
    </cfRule>
  </conditionalFormatting>
  <conditionalFormatting sqref="J326 J327:K327">
    <cfRule type="expression" dxfId="640" priority="15" stopIfTrue="1">
      <formula>"esterreur(reference)"</formula>
    </cfRule>
  </conditionalFormatting>
  <conditionalFormatting sqref="J371:J390">
    <cfRule type="expression" dxfId="639" priority="4" stopIfTrue="1">
      <formula>"esterreur(reference)"</formula>
    </cfRule>
  </conditionalFormatting>
  <conditionalFormatting sqref="J448 J449:K449">
    <cfRule type="expression" dxfId="638" priority="8" stopIfTrue="1">
      <formula>"esterreur(reference)"</formula>
    </cfRule>
  </conditionalFormatting>
  <conditionalFormatting sqref="J54:K54">
    <cfRule type="expression" dxfId="637" priority="97" stopIfTrue="1">
      <formula>"esterreur(reference)"</formula>
    </cfRule>
  </conditionalFormatting>
  <conditionalFormatting sqref="J72:K72">
    <cfRule type="expression" dxfId="636" priority="95" stopIfTrue="1">
      <formula>"esterreur(reference)"</formula>
    </cfRule>
  </conditionalFormatting>
  <conditionalFormatting sqref="J74:K74">
    <cfRule type="expression" dxfId="635" priority="92" stopIfTrue="1">
      <formula>"esterreur(reference)"</formula>
    </cfRule>
  </conditionalFormatting>
  <conditionalFormatting sqref="J85:K85">
    <cfRule type="expression" dxfId="634" priority="28" stopIfTrue="1">
      <formula>"esterreur(reference)"</formula>
    </cfRule>
  </conditionalFormatting>
  <conditionalFormatting sqref="J156:K158">
    <cfRule type="expression" dxfId="633" priority="85" stopIfTrue="1">
      <formula>"esterreur(reference)"</formula>
    </cfRule>
  </conditionalFormatting>
  <conditionalFormatting sqref="J164:K164">
    <cfRule type="expression" dxfId="632" priority="82" stopIfTrue="1">
      <formula>"esterreur(reference)"</formula>
    </cfRule>
  </conditionalFormatting>
  <conditionalFormatting sqref="J166:K166">
    <cfRule type="expression" dxfId="631" priority="31" stopIfTrue="1">
      <formula>"esterreur(reference)"</formula>
    </cfRule>
  </conditionalFormatting>
  <conditionalFormatting sqref="J229:K231">
    <cfRule type="expression" dxfId="630" priority="76" stopIfTrue="1">
      <formula>"esterreur(reference)"</formula>
    </cfRule>
  </conditionalFormatting>
  <conditionalFormatting sqref="J237:K237">
    <cfRule type="expression" dxfId="629" priority="73" stopIfTrue="1">
      <formula>"esterreur(reference)"</formula>
    </cfRule>
  </conditionalFormatting>
  <conditionalFormatting sqref="J239:K239">
    <cfRule type="expression" dxfId="628" priority="34" stopIfTrue="1">
      <formula>"esterreur(reference)"</formula>
    </cfRule>
  </conditionalFormatting>
  <conditionalFormatting sqref="J305:K305">
    <cfRule type="expression" dxfId="627" priority="68" stopIfTrue="1">
      <formula>"esterreur(reference)"</formula>
    </cfRule>
  </conditionalFormatting>
  <conditionalFormatting sqref="J307:K307">
    <cfRule type="expression" dxfId="626" priority="37" stopIfTrue="1">
      <formula>"esterreur(reference)"</formula>
    </cfRule>
  </conditionalFormatting>
  <conditionalFormatting sqref="J363:K363">
    <cfRule type="expression" dxfId="625" priority="62" stopIfTrue="1">
      <formula>"esterreur(reference)"</formula>
    </cfRule>
  </conditionalFormatting>
  <conditionalFormatting sqref="J365:K365">
    <cfRule type="expression" dxfId="624" priority="40" stopIfTrue="1">
      <formula>"esterreur(reference)"</formula>
    </cfRule>
  </conditionalFormatting>
  <conditionalFormatting sqref="J427:K427">
    <cfRule type="expression" dxfId="623" priority="57" stopIfTrue="1">
      <formula>"esterreur(reference)"</formula>
    </cfRule>
  </conditionalFormatting>
  <conditionalFormatting sqref="J429:K431">
    <cfRule type="expression" dxfId="622" priority="43" stopIfTrue="1">
      <formula>"esterreur(reference)"</formula>
    </cfRule>
  </conditionalFormatting>
  <conditionalFormatting sqref="J464:K464">
    <cfRule type="expression" dxfId="621" priority="55" stopIfTrue="1">
      <formula>"esterreur(reference)"</formula>
    </cfRule>
  </conditionalFormatting>
  <conditionalFormatting sqref="J482:K482">
    <cfRule type="expression" dxfId="620" priority="52" stopIfTrue="1">
      <formula>"esterreur(reference)"</formula>
    </cfRule>
  </conditionalFormatting>
  <conditionalFormatting sqref="J484:K484">
    <cfRule type="expression" dxfId="619" priority="49" stopIfTrue="1">
      <formula>"esterreur(reference)"</formula>
    </cfRule>
  </conditionalFormatting>
  <conditionalFormatting sqref="J486:K487">
    <cfRule type="expression" dxfId="618" priority="46" stopIfTrue="1">
      <formula>"esterreur(reference)"</formula>
    </cfRule>
  </conditionalFormatting>
  <conditionalFormatting sqref="J53:L53 J55:L71">
    <cfRule type="expression" dxfId="617" priority="135" stopIfTrue="1">
      <formula>"esterreur(reference)"</formula>
    </cfRule>
  </conditionalFormatting>
  <conditionalFormatting sqref="J465:L481">
    <cfRule type="expression" dxfId="616" priority="149" stopIfTrue="1">
      <formula>"esterreur(reference)"</formula>
    </cfRule>
  </conditionalFormatting>
  <conditionalFormatting sqref="K5">
    <cfRule type="expression" dxfId="615" priority="156" stopIfTrue="1">
      <formula>"esterreur(reference)"</formula>
    </cfRule>
  </conditionalFormatting>
  <conditionalFormatting sqref="K321:L321">
    <cfRule type="expression" dxfId="614" priority="154" stopIfTrue="1">
      <formula>"esterreur(reference)"</formula>
    </cfRule>
  </conditionalFormatting>
  <conditionalFormatting sqref="K437:L437 K439:L440">
    <cfRule type="expression" dxfId="613" priority="109" stopIfTrue="1">
      <formula>"esterreur(reference)"</formula>
    </cfRule>
  </conditionalFormatting>
  <conditionalFormatting sqref="K443:L443">
    <cfRule type="expression" dxfId="612" priority="110" stopIfTrue="1">
      <formula>"esterreur(reference)"</formula>
    </cfRule>
  </conditionalFormatting>
  <conditionalFormatting sqref="L5:L14">
    <cfRule type="expression" dxfId="611" priority="26" stopIfTrue="1">
      <formula>"esterreur(reference)"</formula>
    </cfRule>
  </conditionalFormatting>
  <conditionalFormatting sqref="L75:L82">
    <cfRule type="expression" dxfId="610" priority="143" stopIfTrue="1">
      <formula>"esterreur(reference)"</formula>
    </cfRule>
  </conditionalFormatting>
  <conditionalFormatting sqref="L157:L163">
    <cfRule type="expression" dxfId="609" priority="153" stopIfTrue="1">
      <formula>"esterreur(reference)"</formula>
    </cfRule>
  </conditionalFormatting>
  <conditionalFormatting sqref="L230:L236">
    <cfRule type="expression" dxfId="608" priority="115" stopIfTrue="1">
      <formula>"esterreur(reference)"</formula>
    </cfRule>
  </conditionalFormatting>
  <conditionalFormatting sqref="L272:L283">
    <cfRule type="expression" dxfId="607" priority="151" stopIfTrue="1">
      <formula>"esterreur(reference)"</formula>
    </cfRule>
  </conditionalFormatting>
  <conditionalFormatting sqref="L285:L302">
    <cfRule type="expression" dxfId="606" priority="152" stopIfTrue="1">
      <formula>"esterreur(reference)"</formula>
    </cfRule>
  </conditionalFormatting>
  <conditionalFormatting sqref="L324">
    <cfRule type="expression" dxfId="605" priority="100" stopIfTrue="1">
      <formula>"esterreur(reference)"</formula>
    </cfRule>
  </conditionalFormatting>
  <conditionalFormatting sqref="L330:L341">
    <cfRule type="expression" dxfId="604" priority="155" stopIfTrue="1">
      <formula>"esterreur(reference)"</formula>
    </cfRule>
  </conditionalFormatting>
  <conditionalFormatting sqref="L422:L424">
    <cfRule type="expression" dxfId="603" priority="150" stopIfTrue="1">
      <formula>"esterreur(reference)"</formula>
    </cfRule>
  </conditionalFormatting>
  <conditionalFormatting sqref="L446">
    <cfRule type="expression" dxfId="602" priority="2" stopIfTrue="1">
      <formula>"esterreur(reference)"</formula>
    </cfRule>
  </conditionalFormatting>
  <conditionalFormatting sqref="M95:M97">
    <cfRule type="expression" dxfId="601" priority="142" stopIfTrue="1">
      <formula>"esterreur(reference)"</formula>
    </cfRule>
  </conditionalFormatting>
  <conditionalFormatting sqref="M177:M179">
    <cfRule type="expression" dxfId="600" priority="114" stopIfTrue="1">
      <formula>"esterreur(reference)"</formula>
    </cfRule>
  </conditionalFormatting>
  <conditionalFormatting sqref="N283">
    <cfRule type="expression" dxfId="599" priority="137" stopIfTrue="1">
      <formula>"esterreur(reference)"</formula>
    </cfRule>
  </conditionalFormatting>
  <conditionalFormatting sqref="N394:N404">
    <cfRule type="expression" dxfId="598" priority="139" stopIfTrue="1">
      <formula>"esterreur(reference)"</formula>
    </cfRule>
  </conditionalFormatting>
  <conditionalFormatting sqref="N271:Q271">
    <cfRule type="expression" dxfId="597" priority="125" stopIfTrue="1">
      <formula>"esterreur(reference)"</formula>
    </cfRule>
  </conditionalFormatting>
  <conditionalFormatting sqref="O16 Q16:Q24">
    <cfRule type="expression" dxfId="596" priority="130" stopIfTrue="1">
      <formula>"esterreur(reference)"</formula>
    </cfRule>
  </conditionalFormatting>
  <conditionalFormatting sqref="O109 O110:Q122">
    <cfRule type="expression" dxfId="595" priority="23" stopIfTrue="1">
      <formula>"esterreur(reference)"</formula>
    </cfRule>
  </conditionalFormatting>
  <conditionalFormatting sqref="O182 O183:Q195">
    <cfRule type="expression" dxfId="59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24" stopIfTrue="1">
      <formula>"esterreur(reference)"</formula>
    </cfRule>
  </conditionalFormatting>
  <conditionalFormatting sqref="O266:O268 O269:P269">
    <cfRule type="expression" dxfId="592" priority="16" stopIfTrue="1">
      <formula>"esterreur(reference)"</formula>
    </cfRule>
  </conditionalFormatting>
  <conditionalFormatting sqref="O317">
    <cfRule type="expression" dxfId="591" priority="120" stopIfTrue="1">
      <formula>"esterreur(reference)"</formula>
    </cfRule>
  </conditionalFormatting>
  <conditionalFormatting sqref="O326">
    <cfRule type="expression" dxfId="590" priority="12" stopIfTrue="1">
      <formula>"esterreur(reference)"</formula>
    </cfRule>
  </conditionalFormatting>
  <conditionalFormatting sqref="O390 O391:P391">
    <cfRule type="expression" dxfId="589" priority="9" stopIfTrue="1">
      <formula>"esterreur(reference)"</formula>
    </cfRule>
  </conditionalFormatting>
  <conditionalFormatting sqref="O439">
    <cfRule type="expression" dxfId="588" priority="105" stopIfTrue="1">
      <formula>"esterreur(reference)"</formula>
    </cfRule>
  </conditionalFormatting>
  <conditionalFormatting sqref="O448 O449:P449">
    <cfRule type="expression" dxfId="587" priority="5" stopIfTrue="1">
      <formula>"esterreur(reference)"</formula>
    </cfRule>
  </conditionalFormatting>
  <conditionalFormatting sqref="O54:P54">
    <cfRule type="expression" dxfId="586" priority="96" stopIfTrue="1">
      <formula>"esterreur(reference)"</formula>
    </cfRule>
  </conditionalFormatting>
  <conditionalFormatting sqref="O72:P72">
    <cfRule type="expression" dxfId="585" priority="94" stopIfTrue="1">
      <formula>"esterreur(reference)"</formula>
    </cfRule>
  </conditionalFormatting>
  <conditionalFormatting sqref="O74:P74">
    <cfRule type="expression" dxfId="584" priority="91" stopIfTrue="1">
      <formula>"esterreur(reference)"</formula>
    </cfRule>
  </conditionalFormatting>
  <conditionalFormatting sqref="O85:P85">
    <cfRule type="expression" dxfId="583" priority="27" stopIfTrue="1">
      <formula>"esterreur(reference)"</formula>
    </cfRule>
  </conditionalFormatting>
  <conditionalFormatting sqref="O123:P133">
    <cfRule type="expression" dxfId="582" priority="89" stopIfTrue="1">
      <formula>"esterreur(reference)"</formula>
    </cfRule>
  </conditionalFormatting>
  <conditionalFormatting sqref="O136:P136">
    <cfRule type="expression" dxfId="581" priority="88" stopIfTrue="1">
      <formula>"esterreur(reference)"</formula>
    </cfRule>
  </conditionalFormatting>
  <conditionalFormatting sqref="O154:P154">
    <cfRule type="expression" dxfId="580" priority="87" stopIfTrue="1">
      <formula>"esterreur(reference)"</formula>
    </cfRule>
  </conditionalFormatting>
  <conditionalFormatting sqref="O156:P158">
    <cfRule type="expression" dxfId="579" priority="84" stopIfTrue="1">
      <formula>"esterreur(reference)"</formula>
    </cfRule>
  </conditionalFormatting>
  <conditionalFormatting sqref="O164:P164">
    <cfRule type="expression" dxfId="578" priority="81" stopIfTrue="1">
      <formula>"esterreur(reference)"</formula>
    </cfRule>
  </conditionalFormatting>
  <conditionalFormatting sqref="O166:P166">
    <cfRule type="expression" dxfId="577" priority="30" stopIfTrue="1">
      <formula>"esterreur(reference)"</formula>
    </cfRule>
  </conditionalFormatting>
  <conditionalFormatting sqref="O196:P206">
    <cfRule type="expression" dxfId="576" priority="80" stopIfTrue="1">
      <formula>"esterreur(reference)"</formula>
    </cfRule>
  </conditionalFormatting>
  <conditionalFormatting sqref="O209:P209">
    <cfRule type="expression" dxfId="575" priority="79" stopIfTrue="1">
      <formula>"esterreur(reference)"</formula>
    </cfRule>
  </conditionalFormatting>
  <conditionalFormatting sqref="O227:P227">
    <cfRule type="expression" dxfId="574" priority="78" stopIfTrue="1">
      <formula>"esterreur(reference)"</formula>
    </cfRule>
  </conditionalFormatting>
  <conditionalFormatting sqref="O229:P231">
    <cfRule type="expression" dxfId="573" priority="75" stopIfTrue="1">
      <formula>"esterreur(reference)"</formula>
    </cfRule>
  </conditionalFormatting>
  <conditionalFormatting sqref="O237:P237">
    <cfRule type="expression" dxfId="572" priority="72" stopIfTrue="1">
      <formula>"esterreur(reference)"</formula>
    </cfRule>
  </conditionalFormatting>
  <conditionalFormatting sqref="O239:P239">
    <cfRule type="expression" dxfId="571" priority="33" stopIfTrue="1">
      <formula>"esterreur(reference)"</formula>
    </cfRule>
  </conditionalFormatting>
  <conditionalFormatting sqref="O276:P303">
    <cfRule type="expression" dxfId="570" priority="70" stopIfTrue="1">
      <formula>"esterreur(reference)"</formula>
    </cfRule>
  </conditionalFormatting>
  <conditionalFormatting sqref="O305:P305">
    <cfRule type="expression" dxfId="569" priority="67" stopIfTrue="1">
      <formula>"esterreur(reference)"</formula>
    </cfRule>
  </conditionalFormatting>
  <conditionalFormatting sqref="O307:P307">
    <cfRule type="expression" dxfId="568" priority="36" stopIfTrue="1">
      <formula>"esterreur(reference)"</formula>
    </cfRule>
  </conditionalFormatting>
  <conditionalFormatting sqref="O327:P327">
    <cfRule type="expression" dxfId="567" priority="3" stopIfTrue="1">
      <formula>"esterreur(reference)"</formula>
    </cfRule>
  </conditionalFormatting>
  <conditionalFormatting sqref="O330:P342">
    <cfRule type="expression" dxfId="566" priority="66" stopIfTrue="1">
      <formula>"esterreur(reference)"</formula>
    </cfRule>
  </conditionalFormatting>
  <conditionalFormatting sqref="O361:P361">
    <cfRule type="expression" dxfId="565" priority="64" stopIfTrue="1">
      <formula>"esterreur(reference)"</formula>
    </cfRule>
  </conditionalFormatting>
  <conditionalFormatting sqref="O363:P363">
    <cfRule type="expression" dxfId="564" priority="61" stopIfTrue="1">
      <formula>"esterreur(reference)"</formula>
    </cfRule>
  </conditionalFormatting>
  <conditionalFormatting sqref="O365:P365">
    <cfRule type="expression" dxfId="563" priority="39" stopIfTrue="1">
      <formula>"esterreur(reference)"</formula>
    </cfRule>
  </conditionalFormatting>
  <conditionalFormatting sqref="O371:P379 O380:Q382 O383:P384 O385:Q389 O392:Q405 O428:Q428">
    <cfRule type="expression" dxfId="562" priority="118" stopIfTrue="1">
      <formula>"esterreur(reference)"</formula>
    </cfRule>
  </conditionalFormatting>
  <conditionalFormatting sqref="O406:P425">
    <cfRule type="expression" dxfId="561" priority="59" stopIfTrue="1">
      <formula>"esterreur(reference)"</formula>
    </cfRule>
  </conditionalFormatting>
  <conditionalFormatting sqref="O427:P427">
    <cfRule type="expression" dxfId="560" priority="56" stopIfTrue="1">
      <formula>"esterreur(reference)"</formula>
    </cfRule>
  </conditionalFormatting>
  <conditionalFormatting sqref="O429:P429">
    <cfRule type="expression" dxfId="559" priority="42" stopIfTrue="1">
      <formula>"esterreur(reference)"</formula>
    </cfRule>
  </conditionalFormatting>
  <conditionalFormatting sqref="O464:P464">
    <cfRule type="expression" dxfId="558" priority="54" stopIfTrue="1">
      <formula>"esterreur(reference)"</formula>
    </cfRule>
  </conditionalFormatting>
  <conditionalFormatting sqref="O482:P482">
    <cfRule type="expression" dxfId="557" priority="51" stopIfTrue="1">
      <formula>"esterreur(reference)"</formula>
    </cfRule>
  </conditionalFormatting>
  <conditionalFormatting sqref="O484:P484">
    <cfRule type="expression" dxfId="556" priority="48" stopIfTrue="1">
      <formula>"esterreur(reference)"</formula>
    </cfRule>
  </conditionalFormatting>
  <conditionalFormatting sqref="O486:P486">
    <cfRule type="expression" dxfId="555" priority="45" stopIfTrue="1">
      <formula>"esterreur(reference)"</formula>
    </cfRule>
  </conditionalFormatting>
  <conditionalFormatting sqref="O53:Q53 O55:Q71">
    <cfRule type="expression" dxfId="554" priority="129" stopIfTrue="1">
      <formula>"esterreur(reference)"</formula>
    </cfRule>
  </conditionalFormatting>
  <conditionalFormatting sqref="O180:Q181">
    <cfRule type="expression" dxfId="553" priority="112" stopIfTrue="1">
      <formula>"esterreur(reference)"</formula>
    </cfRule>
  </conditionalFormatting>
  <conditionalFormatting sqref="O436:Q436">
    <cfRule type="expression" dxfId="552" priority="117" stopIfTrue="1">
      <formula>"esterreur(reference)"</formula>
    </cfRule>
  </conditionalFormatting>
  <conditionalFormatting sqref="O447:Q447 O450:Q463 O465:Q481">
    <cfRule type="expression" dxfId="551" priority="102" stopIfTrue="1">
      <formula>"esterreur(reference)"</formula>
    </cfRule>
  </conditionalFormatting>
  <conditionalFormatting sqref="O483:Q483 O485:Q485">
    <cfRule type="expression" dxfId="550" priority="101" stopIfTrue="1">
      <formula>"esterreur(reference)"</formula>
    </cfRule>
  </conditionalFormatting>
  <conditionalFormatting sqref="P5:Q5">
    <cfRule type="expression" dxfId="549" priority="133" stopIfTrue="1">
      <formula>"esterreur(reference)"</formula>
    </cfRule>
  </conditionalFormatting>
  <conditionalFormatting sqref="P315:Q315 P317:Q318 O328:Q329 O343:Q360 O364:Q364">
    <cfRule type="expression" dxfId="548" priority="121" stopIfTrue="1">
      <formula>"esterreur(reference)"</formula>
    </cfRule>
  </conditionalFormatting>
  <conditionalFormatting sqref="P321:Q321">
    <cfRule type="expression" dxfId="547" priority="122" stopIfTrue="1">
      <formula>"esterreur(reference)"</formula>
    </cfRule>
  </conditionalFormatting>
  <conditionalFormatting sqref="P437:Q437 P439:Q440">
    <cfRule type="expression" dxfId="546" priority="106" stopIfTrue="1">
      <formula>"esterreur(reference)"</formula>
    </cfRule>
  </conditionalFormatting>
  <conditionalFormatting sqref="P443:Q443">
    <cfRule type="expression" dxfId="545" priority="107" stopIfTrue="1">
      <formula>"esterreur(reference)"</formula>
    </cfRule>
  </conditionalFormatting>
  <conditionalFormatting sqref="Q6:Q14 O13:O14 O18:O24 O25:Q26 O27 O28:Q30 O31:P36 O37 O38:P52 O83:P83 O84:Q84">
    <cfRule type="expression" dxfId="544" priority="131" stopIfTrue="1">
      <formula>"esterreur(reference)"</formula>
    </cfRule>
  </conditionalFormatting>
  <conditionalFormatting sqref="Q75:Q82">
    <cfRule type="expression" dxfId="543" priority="132" stopIfTrue="1">
      <formula>"esterreur(reference)"</formula>
    </cfRule>
  </conditionalFormatting>
  <conditionalFormatting sqref="Q157:Q163">
    <cfRule type="expression" dxfId="542" priority="128" stopIfTrue="1">
      <formula>"esterreur(reference)"</formula>
    </cfRule>
  </conditionalFormatting>
  <conditionalFormatting sqref="Q230:Q236">
    <cfRule type="expression" dxfId="541" priority="113" stopIfTrue="1">
      <formula>"esterreur(reference)"</formula>
    </cfRule>
  </conditionalFormatting>
  <conditionalFormatting sqref="Q259">
    <cfRule type="expression" dxfId="540" priority="98" stopIfTrue="1">
      <formula>"esterreur(reference)"</formula>
    </cfRule>
  </conditionalFormatting>
  <conditionalFormatting sqref="Q272:Q283">
    <cfRule type="expression" dxfId="539" priority="126" stopIfTrue="1">
      <formula>"esterreur(reference)"</formula>
    </cfRule>
  </conditionalFormatting>
  <conditionalFormatting sqref="Q285:Q302">
    <cfRule type="expression" dxfId="538" priority="127" stopIfTrue="1">
      <formula>"esterreur(reference)"</formula>
    </cfRule>
  </conditionalFormatting>
  <conditionalFormatting sqref="Q324">
    <cfRule type="expression" dxfId="537" priority="99" stopIfTrue="1">
      <formula>"esterreur(reference)"</formula>
    </cfRule>
  </conditionalFormatting>
  <conditionalFormatting sqref="Q330:Q341">
    <cfRule type="expression" dxfId="536" priority="123" stopIfTrue="1">
      <formula>"esterreur(reference)"</formula>
    </cfRule>
  </conditionalFormatting>
  <conditionalFormatting sqref="Q422:Q424">
    <cfRule type="expression" dxfId="535" priority="119" stopIfTrue="1">
      <formula>"esterreur(reference)"</formula>
    </cfRule>
  </conditionalFormatting>
  <conditionalFormatting sqref="Q446">
    <cfRule type="expression" dxfId="534" priority="1" stopIfTrue="1">
      <formula>"esterreur(reference)"</formula>
    </cfRule>
  </conditionalFormatting>
  <conditionalFormatting sqref="R388">
    <cfRule type="expression" dxfId="533" priority="144" stopIfTrue="1">
      <formula>"esterreur(reference)"</formula>
    </cfRule>
  </conditionalFormatting>
  <conditionalFormatting sqref="S260">
    <cfRule type="expression" dxfId="532" priority="158" stopIfTrue="1">
      <formula>"esterreur(reference)"</formula>
    </cfRule>
  </conditionalFormatting>
  <conditionalFormatting sqref="AG496:AI505 AH507:AI519 AH521:AI538 AH540:AI547 AH548:AH549 AH550:AI552 AH554:AI554 AH578:AI584">
    <cfRule type="cellIs" dxfId="531" priority="145" operator="greaterThan">
      <formula>0</formula>
    </cfRule>
  </conditionalFormatting>
  <conditionalFormatting sqref="AH556:AI563 AH567:AI567">
    <cfRule type="cellIs" dxfId="530" priority="146" operator="lessThan">
      <formula>0</formula>
    </cfRule>
  </conditionalFormatting>
  <conditionalFormatting sqref="AH564:AI566">
    <cfRule type="cellIs" dxfId="529" priority="161" operator="greaterThan">
      <formula>0</formula>
    </cfRule>
  </conditionalFormatting>
  <conditionalFormatting sqref="AO496:AO505">
    <cfRule type="cellIs" dxfId="528"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625" defaultRowHeight="14.25"/>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 thickTop="1">
      <c r="B3" s="38"/>
      <c r="C3" s="1111"/>
      <c r="D3" s="1272" t="s">
        <v>339</v>
      </c>
      <c r="E3" s="1277"/>
      <c r="F3" s="1280"/>
      <c r="G3" s="1271" t="s">
        <v>3207</v>
      </c>
      <c r="H3" s="1277"/>
      <c r="I3" s="1280"/>
      <c r="J3" s="1271" t="s">
        <v>340</v>
      </c>
      <c r="K3" s="1277"/>
      <c r="L3" s="1280"/>
      <c r="M3" s="1271" t="s">
        <v>668</v>
      </c>
      <c r="N3" s="1280"/>
      <c r="O3" s="1272" t="s">
        <v>341</v>
      </c>
      <c r="P3" s="1277"/>
      <c r="Q3" s="1280"/>
      <c r="R3" s="1271" t="s">
        <v>670</v>
      </c>
      <c r="S3" s="1280"/>
      <c r="T3" s="38"/>
      <c r="U3" s="38"/>
      <c r="V3" s="1112"/>
      <c r="W3" s="232"/>
      <c r="X3" s="38"/>
      <c r="Y3" s="38"/>
      <c r="Z3" s="38"/>
      <c r="AA3" s="38"/>
      <c r="AB3" s="38"/>
      <c r="AC3" s="38"/>
      <c r="AD3" s="38"/>
      <c r="AE3" s="38"/>
      <c r="AF3" s="38"/>
      <c r="AG3" s="38"/>
      <c r="AH3" s="38"/>
      <c r="AI3" s="38"/>
      <c r="AJ3" s="38"/>
      <c r="AK3" s="38"/>
      <c r="AL3" s="38"/>
      <c r="AM3" s="38"/>
      <c r="AN3" s="38"/>
    </row>
    <row r="4" spans="1:40" ht="20.25">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25">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25">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25">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45"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45"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45"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0.25">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0.25">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0.25">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25">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0.25"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0.25">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25">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45"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45"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45"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2" t="s">
        <v>339</v>
      </c>
      <c r="E91" s="1277"/>
      <c r="F91" s="1280"/>
      <c r="G91" s="1271" t="s">
        <v>3210</v>
      </c>
      <c r="H91" s="1277"/>
      <c r="I91" s="1280"/>
      <c r="J91" s="1271" t="s">
        <v>340</v>
      </c>
      <c r="K91" s="1277"/>
      <c r="L91" s="1280"/>
      <c r="M91" s="1271" t="s">
        <v>668</v>
      </c>
      <c r="N91" s="1280"/>
      <c r="O91" s="1272" t="s">
        <v>341</v>
      </c>
      <c r="P91" s="1277"/>
      <c r="Q91" s="1280"/>
      <c r="R91" s="1271" t="s">
        <v>670</v>
      </c>
      <c r="S91" s="1280"/>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2" t="s">
        <v>339</v>
      </c>
      <c r="E171" s="1272"/>
      <c r="F171" s="1273"/>
      <c r="G171" s="1271"/>
      <c r="H171" s="1272"/>
      <c r="I171" s="1273"/>
      <c r="J171" s="1271" t="s">
        <v>340</v>
      </c>
      <c r="K171" s="1272"/>
      <c r="L171" s="1273"/>
      <c r="M171" s="1271" t="s">
        <v>668</v>
      </c>
      <c r="N171" s="1273"/>
      <c r="O171" s="1271" t="s">
        <v>341</v>
      </c>
      <c r="P171" s="1272"/>
      <c r="Q171" s="1273"/>
      <c r="R171" s="1271" t="s">
        <v>670</v>
      </c>
      <c r="S171" s="1273"/>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2" t="s">
        <v>339</v>
      </c>
      <c r="E244" s="1277"/>
      <c r="F244" s="1280"/>
      <c r="G244" s="1271" t="s">
        <v>3210</v>
      </c>
      <c r="H244" s="1277"/>
      <c r="I244" s="1280"/>
      <c r="J244" s="1271" t="s">
        <v>340</v>
      </c>
      <c r="K244" s="1277"/>
      <c r="L244" s="1280"/>
      <c r="M244" s="1271" t="s">
        <v>668</v>
      </c>
      <c r="N244" s="1280"/>
      <c r="O244" s="1272" t="s">
        <v>341</v>
      </c>
      <c r="P244" s="1277"/>
      <c r="Q244" s="1280"/>
      <c r="R244" s="1271" t="s">
        <v>670</v>
      </c>
      <c r="S244" s="1280"/>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2" t="s">
        <v>339</v>
      </c>
      <c r="E312" s="1277"/>
      <c r="F312" s="1280"/>
      <c r="G312" s="1271" t="s">
        <v>3210</v>
      </c>
      <c r="H312" s="1277"/>
      <c r="I312" s="1280"/>
      <c r="J312" s="1271" t="s">
        <v>340</v>
      </c>
      <c r="K312" s="1277"/>
      <c r="L312" s="1280"/>
      <c r="M312" s="1271" t="s">
        <v>668</v>
      </c>
      <c r="N312" s="1280"/>
      <c r="O312" s="1272" t="s">
        <v>341</v>
      </c>
      <c r="P312" s="1277"/>
      <c r="Q312" s="1280"/>
      <c r="R312" s="1271" t="s">
        <v>670</v>
      </c>
      <c r="S312" s="1280"/>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2" t="s">
        <v>339</v>
      </c>
      <c r="E369" s="1277"/>
      <c r="F369" s="1280"/>
      <c r="G369" s="1271" t="s">
        <v>3210</v>
      </c>
      <c r="H369" s="1277"/>
      <c r="I369" s="1280"/>
      <c r="J369" s="1271" t="s">
        <v>340</v>
      </c>
      <c r="K369" s="1277"/>
      <c r="L369" s="1280"/>
      <c r="M369" s="1271" t="s">
        <v>668</v>
      </c>
      <c r="N369" s="1280"/>
      <c r="O369" s="1272" t="s">
        <v>341</v>
      </c>
      <c r="P369" s="1277"/>
      <c r="Q369" s="1280"/>
      <c r="R369" s="1271" t="s">
        <v>670</v>
      </c>
      <c r="S369" s="1280"/>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2" t="s">
        <v>339</v>
      </c>
      <c r="E434" s="1277"/>
      <c r="F434" s="1280"/>
      <c r="G434" s="1271"/>
      <c r="H434" s="1277"/>
      <c r="I434" s="1280"/>
      <c r="J434" s="1271" t="s">
        <v>340</v>
      </c>
      <c r="K434" s="1277"/>
      <c r="L434" s="1280"/>
      <c r="M434" s="1271"/>
      <c r="N434" s="1280"/>
      <c r="O434" s="1272" t="s">
        <v>341</v>
      </c>
      <c r="P434" s="1277"/>
      <c r="Q434" s="1280"/>
      <c r="R434" s="1271" t="s">
        <v>342</v>
      </c>
      <c r="S434" s="1280"/>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5" t="s">
        <v>592</v>
      </c>
      <c r="Y491" s="1283"/>
      <c r="Z491" s="1282"/>
      <c r="AA491" s="1274" t="s">
        <v>3210</v>
      </c>
      <c r="AB491" s="1283"/>
      <c r="AC491" s="1282"/>
      <c r="AD491" s="1274" t="s">
        <v>340</v>
      </c>
      <c r="AE491" s="1283"/>
      <c r="AF491" s="1282"/>
      <c r="AG491" s="1274" t="s">
        <v>668</v>
      </c>
      <c r="AH491" s="1283"/>
      <c r="AI491" s="1282"/>
      <c r="AJ491" s="1274" t="s">
        <v>593</v>
      </c>
      <c r="AK491" s="1283"/>
      <c r="AL491" s="1283"/>
      <c r="AM491" s="1274" t="s">
        <v>594</v>
      </c>
      <c r="AN491" s="1283"/>
      <c r="AO491" s="1284"/>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 ref="R369:S369"/>
    <mergeCell ref="D312:F312"/>
    <mergeCell ref="G312:I312"/>
    <mergeCell ref="J312:L312"/>
    <mergeCell ref="M312:N312"/>
    <mergeCell ref="O312:Q312"/>
    <mergeCell ref="R312:S312"/>
    <mergeCell ref="D369:F369"/>
    <mergeCell ref="G369:I369"/>
    <mergeCell ref="J369:L369"/>
    <mergeCell ref="M369:N369"/>
    <mergeCell ref="O369:Q369"/>
    <mergeCell ref="R244:S244"/>
    <mergeCell ref="D171:F171"/>
    <mergeCell ref="G171:I171"/>
    <mergeCell ref="J171:L171"/>
    <mergeCell ref="M171:N171"/>
    <mergeCell ref="O171:Q171"/>
    <mergeCell ref="R171:S171"/>
    <mergeCell ref="D244:F244"/>
    <mergeCell ref="G244:I244"/>
    <mergeCell ref="J244:L244"/>
    <mergeCell ref="M244:N244"/>
    <mergeCell ref="O244:Q244"/>
    <mergeCell ref="R91:S91"/>
    <mergeCell ref="D3:F3"/>
    <mergeCell ref="G3:I3"/>
    <mergeCell ref="J3:L3"/>
    <mergeCell ref="M3:N3"/>
    <mergeCell ref="O3:Q3"/>
    <mergeCell ref="R3:S3"/>
    <mergeCell ref="D91:F91"/>
    <mergeCell ref="G91:I91"/>
    <mergeCell ref="J91:L91"/>
    <mergeCell ref="M91:N91"/>
    <mergeCell ref="O91:Q91"/>
  </mergeCells>
  <conditionalFormatting sqref="D113 H180:L181 I184:L185">
    <cfRule type="expression" dxfId="527" priority="135" stopIfTrue="1">
      <formula>"esterreur(reference)"</formula>
    </cfRule>
  </conditionalFormatting>
  <conditionalFormatting sqref="D246:D255">
    <cfRule type="expression" dxfId="526" priority="165" stopIfTrue="1">
      <formula>"esterreur(reference)"</formula>
    </cfRule>
  </conditionalFormatting>
  <conditionalFormatting sqref="D487">
    <cfRule type="expression" dxfId="525" priority="137" stopIfTrue="1">
      <formula>"esterreur(reference)"</formula>
    </cfRule>
  </conditionalFormatting>
  <conditionalFormatting sqref="D186:E192">
    <cfRule type="expression" dxfId="524" priority="108" stopIfTrue="1">
      <formula>"esterreur(reference)"</formula>
    </cfRule>
  </conditionalFormatting>
  <conditionalFormatting sqref="E260">
    <cfRule type="expression" dxfId="523" priority="166" stopIfTrue="1">
      <formula>"esterreur(reference)"</formula>
    </cfRule>
  </conditionalFormatting>
  <conditionalFormatting sqref="F5">
    <cfRule type="expression" dxfId="522" priority="163" stopIfTrue="1">
      <formula>"esterreur(reference)"</formula>
    </cfRule>
  </conditionalFormatting>
  <conditionalFormatting sqref="F84">
    <cfRule type="expression" dxfId="521" priority="162" stopIfTrue="1">
      <formula>"esterreur(reference)"</formula>
    </cfRule>
  </conditionalFormatting>
  <conditionalFormatting sqref="F102">
    <cfRule type="expression" dxfId="520" priority="167" stopIfTrue="1">
      <formula>"esterreur(reference)"</formula>
    </cfRule>
  </conditionalFormatting>
  <conditionalFormatting sqref="F258">
    <cfRule type="expression" dxfId="519" priority="154" stopIfTrue="1">
      <formula>"esterreur(reference)"</formula>
    </cfRule>
  </conditionalFormatting>
  <conditionalFormatting sqref="G31:G32">
    <cfRule type="expression" dxfId="518" priority="160" stopIfTrue="1">
      <formula>"esterreur(reference)"</formula>
    </cfRule>
  </conditionalFormatting>
  <conditionalFormatting sqref="G113:G114">
    <cfRule type="expression" dxfId="517" priority="157" stopIfTrue="1">
      <formula>"esterreur(reference)"</formula>
    </cfRule>
  </conditionalFormatting>
  <conditionalFormatting sqref="G186:G187">
    <cfRule type="expression" dxfId="516" priority="113" stopIfTrue="1">
      <formula>"esterreur(reference)"</formula>
    </cfRule>
  </conditionalFormatting>
  <conditionalFormatting sqref="G246:G255">
    <cfRule type="expression" dxfId="515" priority="164" stopIfTrue="1">
      <formula>"esterreur(reference)"</formula>
    </cfRule>
  </conditionalFormatting>
  <conditionalFormatting sqref="H25:H26 H28:H72">
    <cfRule type="expression" dxfId="514" priority="159" stopIfTrue="1">
      <formula>"esterreur(reference)"</formula>
    </cfRule>
  </conditionalFormatting>
  <conditionalFormatting sqref="H74">
    <cfRule type="expression" dxfId="513" priority="90" stopIfTrue="1">
      <formula>"esterreur(reference)"</formula>
    </cfRule>
  </conditionalFormatting>
  <conditionalFormatting sqref="H83">
    <cfRule type="expression" dxfId="512" priority="87" stopIfTrue="1">
      <formula>"esterreur(reference)"</formula>
    </cfRule>
  </conditionalFormatting>
  <conditionalFormatting sqref="H85">
    <cfRule type="expression" dxfId="511" priority="29" stopIfTrue="1">
      <formula>"esterreur(reference)"</formula>
    </cfRule>
  </conditionalFormatting>
  <conditionalFormatting sqref="H110:H154">
    <cfRule type="expression" dxfId="510" priority="24" stopIfTrue="1">
      <formula>"esterreur(reference)"</formula>
    </cfRule>
  </conditionalFormatting>
  <conditionalFormatting sqref="H156:H158">
    <cfRule type="expression" dxfId="509" priority="83" stopIfTrue="1">
      <formula>"esterreur(reference)"</formula>
    </cfRule>
  </conditionalFormatting>
  <conditionalFormatting sqref="H164">
    <cfRule type="expression" dxfId="508" priority="80" stopIfTrue="1">
      <formula>"esterreur(reference)"</formula>
    </cfRule>
  </conditionalFormatting>
  <conditionalFormatting sqref="H166">
    <cfRule type="expression" dxfId="507" priority="32" stopIfTrue="1">
      <formula>"esterreur(reference)"</formula>
    </cfRule>
  </conditionalFormatting>
  <conditionalFormatting sqref="H183:H227">
    <cfRule type="expression" dxfId="506" priority="20" stopIfTrue="1">
      <formula>"esterreur(reference)"</formula>
    </cfRule>
  </conditionalFormatting>
  <conditionalFormatting sqref="H229:H231">
    <cfRule type="expression" dxfId="505" priority="74" stopIfTrue="1">
      <formula>"esterreur(reference)"</formula>
    </cfRule>
  </conditionalFormatting>
  <conditionalFormatting sqref="H237">
    <cfRule type="expression" dxfId="504" priority="71" stopIfTrue="1">
      <formula>"esterreur(reference)"</formula>
    </cfRule>
  </conditionalFormatting>
  <conditionalFormatting sqref="H239">
    <cfRule type="expression" dxfId="503" priority="35" stopIfTrue="1">
      <formula>"esterreur(reference)"</formula>
    </cfRule>
  </conditionalFormatting>
  <conditionalFormatting sqref="H269">
    <cfRule type="expression" dxfId="502" priority="17" stopIfTrue="1">
      <formula>"esterreur(reference)"</formula>
    </cfRule>
  </conditionalFormatting>
  <conditionalFormatting sqref="H272:H303">
    <cfRule type="expression" dxfId="501" priority="68" stopIfTrue="1">
      <formula>"esterreur(reference)"</formula>
    </cfRule>
  </conditionalFormatting>
  <conditionalFormatting sqref="H305">
    <cfRule type="expression" dxfId="500" priority="66" stopIfTrue="1">
      <formula>"esterreur(reference)"</formula>
    </cfRule>
  </conditionalFormatting>
  <conditionalFormatting sqref="H307">
    <cfRule type="expression" dxfId="499" priority="38" stopIfTrue="1">
      <formula>"esterreur(reference)"</formula>
    </cfRule>
  </conditionalFormatting>
  <conditionalFormatting sqref="H327">
    <cfRule type="expression" dxfId="498" priority="13" stopIfTrue="1">
      <formula>"esterreur(reference)"</formula>
    </cfRule>
  </conditionalFormatting>
  <conditionalFormatting sqref="H330:H361">
    <cfRule type="expression" dxfId="497" priority="62" stopIfTrue="1">
      <formula>"esterreur(reference)"</formula>
    </cfRule>
  </conditionalFormatting>
  <conditionalFormatting sqref="H363">
    <cfRule type="expression" dxfId="496" priority="60" stopIfTrue="1">
      <formula>"esterreur(reference)"</formula>
    </cfRule>
  </conditionalFormatting>
  <conditionalFormatting sqref="H365">
    <cfRule type="expression" dxfId="495" priority="41" stopIfTrue="1">
      <formula>"esterreur(reference)"</formula>
    </cfRule>
  </conditionalFormatting>
  <conditionalFormatting sqref="H391">
    <cfRule type="expression" dxfId="494" priority="10" stopIfTrue="1">
      <formula>"esterreur(reference)"</formula>
    </cfRule>
  </conditionalFormatting>
  <conditionalFormatting sqref="H394:H425">
    <cfRule type="expression" dxfId="493" priority="57" stopIfTrue="1">
      <formula>"esterreur(reference)"</formula>
    </cfRule>
  </conditionalFormatting>
  <conditionalFormatting sqref="H427">
    <cfRule type="expression" dxfId="492" priority="55" stopIfTrue="1">
      <formula>"esterreur(reference)"</formula>
    </cfRule>
  </conditionalFormatting>
  <conditionalFormatting sqref="H429:H431">
    <cfRule type="expression" dxfId="491" priority="44" stopIfTrue="1">
      <formula>"esterreur(reference)"</formula>
    </cfRule>
  </conditionalFormatting>
  <conditionalFormatting sqref="H449">
    <cfRule type="expression" dxfId="490" priority="6" stopIfTrue="1">
      <formula>"esterreur(reference)"</formula>
    </cfRule>
  </conditionalFormatting>
  <conditionalFormatting sqref="H452:H482">
    <cfRule type="expression" dxfId="489" priority="50" stopIfTrue="1">
      <formula>"esterreur(reference)"</formula>
    </cfRule>
  </conditionalFormatting>
  <conditionalFormatting sqref="H484">
    <cfRule type="expression" dxfId="488" priority="47" stopIfTrue="1">
      <formula>"esterreur(reference)"</formula>
    </cfRule>
  </conditionalFormatting>
  <conditionalFormatting sqref="H486:H487">
    <cfRule type="expression" dxfId="487" priority="3" stopIfTrue="1">
      <formula>"esterreur(reference)"</formula>
    </cfRule>
  </conditionalFormatting>
  <conditionalFormatting sqref="H433:I433 K433:L433 J433:J434">
    <cfRule type="expression" dxfId="486" priority="144" stopIfTrue="1">
      <formula>"esterreur(reference)"</formula>
    </cfRule>
  </conditionalFormatting>
  <conditionalFormatting sqref="H317:J317">
    <cfRule type="expression" dxfId="485" priority="131" stopIfTrue="1">
      <formula>"esterreur(reference)"</formula>
    </cfRule>
  </conditionalFormatting>
  <conditionalFormatting sqref="H439:J439">
    <cfRule type="expression" dxfId="484" priority="105" stopIfTrue="1">
      <formula>"esterreur(reference)"</formula>
    </cfRule>
  </conditionalFormatting>
  <conditionalFormatting sqref="H435:L436">
    <cfRule type="expression" dxfId="483" priority="101" stopIfTrue="1">
      <formula>"esterreur(reference)"</formula>
    </cfRule>
  </conditionalFormatting>
  <conditionalFormatting sqref="H447:L447 H450:L451">
    <cfRule type="expression" dxfId="482" priority="100" stopIfTrue="1">
      <formula>"esterreur(reference)"</formula>
    </cfRule>
  </conditionalFormatting>
  <conditionalFormatting sqref="H483:L483 H485:L485">
    <cfRule type="expression" dxfId="481" priority="145" stopIfTrue="1">
      <formula>"esterreur(reference)"</formula>
    </cfRule>
  </conditionalFormatting>
  <conditionalFormatting sqref="I16:I18 I20 I24:I30">
    <cfRule type="expression" dxfId="480" priority="161" stopIfTrue="1">
      <formula>"esterreur(reference)"</formula>
    </cfRule>
  </conditionalFormatting>
  <conditionalFormatting sqref="I109:I110">
    <cfRule type="expression" dxfId="479" priority="25" stopIfTrue="1">
      <formula>"esterreur(reference)"</formula>
    </cfRule>
  </conditionalFormatting>
  <conditionalFormatting sqref="I182:I183">
    <cfRule type="expression" dxfId="478" priority="21" stopIfTrue="1">
      <formula>"esterreur(reference)"</formula>
    </cfRule>
  </conditionalFormatting>
  <conditionalFormatting sqref="I268:I269">
    <cfRule type="expression" dxfId="477" priority="18" stopIfTrue="1">
      <formula>"esterreur(reference)"</formula>
    </cfRule>
  </conditionalFormatting>
  <conditionalFormatting sqref="I326:I327">
    <cfRule type="expression" dxfId="476" priority="14" stopIfTrue="1">
      <formula>"esterreur(reference)"</formula>
    </cfRule>
  </conditionalFormatting>
  <conditionalFormatting sqref="I390:I391">
    <cfRule type="expression" dxfId="475" priority="11" stopIfTrue="1">
      <formula>"esterreur(reference)"</formula>
    </cfRule>
  </conditionalFormatting>
  <conditionalFormatting sqref="I448:I449">
    <cfRule type="expression" dxfId="47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138" stopIfTrue="1">
      <formula>"esterreur(reference)"</formula>
    </cfRule>
  </conditionalFormatting>
  <conditionalFormatting sqref="J16 L16:L24">
    <cfRule type="expression" dxfId="472" priority="133" stopIfTrue="1">
      <formula>"esterreur(reference)"</formula>
    </cfRule>
  </conditionalFormatting>
  <conditionalFormatting sqref="J182 J183:L183">
    <cfRule type="expression" dxfId="471" priority="22" stopIfTrue="1">
      <formula>"esterreur(reference)"</formula>
    </cfRule>
  </conditionalFormatting>
  <conditionalFormatting sqref="J326 J327:K327">
    <cfRule type="expression" dxfId="470" priority="15" stopIfTrue="1">
      <formula>"esterreur(reference)"</formula>
    </cfRule>
  </conditionalFormatting>
  <conditionalFormatting sqref="J371:J390">
    <cfRule type="expression" dxfId="469" priority="4" stopIfTrue="1">
      <formula>"esterreur(reference)"</formula>
    </cfRule>
  </conditionalFormatting>
  <conditionalFormatting sqref="J448 J449:K449">
    <cfRule type="expression" dxfId="468" priority="8" stopIfTrue="1">
      <formula>"esterreur(reference)"</formula>
    </cfRule>
  </conditionalFormatting>
  <conditionalFormatting sqref="J54:K54">
    <cfRule type="expression" dxfId="467" priority="94" stopIfTrue="1">
      <formula>"esterreur(reference)"</formula>
    </cfRule>
  </conditionalFormatting>
  <conditionalFormatting sqref="J72:K72">
    <cfRule type="expression" dxfId="466" priority="92" stopIfTrue="1">
      <formula>"esterreur(reference)"</formula>
    </cfRule>
  </conditionalFormatting>
  <conditionalFormatting sqref="J74:K74">
    <cfRule type="expression" dxfId="465" priority="89" stopIfTrue="1">
      <formula>"esterreur(reference)"</formula>
    </cfRule>
  </conditionalFormatting>
  <conditionalFormatting sqref="J85:K85">
    <cfRule type="expression" dxfId="464" priority="28" stopIfTrue="1">
      <formula>"esterreur(reference)"</formula>
    </cfRule>
  </conditionalFormatting>
  <conditionalFormatting sqref="J156:K158">
    <cfRule type="expression" dxfId="463" priority="82" stopIfTrue="1">
      <formula>"esterreur(reference)"</formula>
    </cfRule>
  </conditionalFormatting>
  <conditionalFormatting sqref="J164:K164">
    <cfRule type="expression" dxfId="462" priority="79" stopIfTrue="1">
      <formula>"esterreur(reference)"</formula>
    </cfRule>
  </conditionalFormatting>
  <conditionalFormatting sqref="J166:K166">
    <cfRule type="expression" dxfId="461" priority="31" stopIfTrue="1">
      <formula>"esterreur(reference)"</formula>
    </cfRule>
  </conditionalFormatting>
  <conditionalFormatting sqref="J229:K231">
    <cfRule type="expression" dxfId="460" priority="73" stopIfTrue="1">
      <formula>"esterreur(reference)"</formula>
    </cfRule>
  </conditionalFormatting>
  <conditionalFormatting sqref="J237:K237">
    <cfRule type="expression" dxfId="459" priority="70" stopIfTrue="1">
      <formula>"esterreur(reference)"</formula>
    </cfRule>
  </conditionalFormatting>
  <conditionalFormatting sqref="J239:K239">
    <cfRule type="expression" dxfId="458" priority="34" stopIfTrue="1">
      <formula>"esterreur(reference)"</formula>
    </cfRule>
  </conditionalFormatting>
  <conditionalFormatting sqref="J305:K305">
    <cfRule type="expression" dxfId="457" priority="65" stopIfTrue="1">
      <formula>"esterreur(reference)"</formula>
    </cfRule>
  </conditionalFormatting>
  <conditionalFormatting sqref="J307:K307">
    <cfRule type="expression" dxfId="456" priority="37" stopIfTrue="1">
      <formula>"esterreur(reference)"</formula>
    </cfRule>
  </conditionalFormatting>
  <conditionalFormatting sqref="J363:K363">
    <cfRule type="expression" dxfId="455" priority="59" stopIfTrue="1">
      <formula>"esterreur(reference)"</formula>
    </cfRule>
  </conditionalFormatting>
  <conditionalFormatting sqref="J365:K365">
    <cfRule type="expression" dxfId="454" priority="40" stopIfTrue="1">
      <formula>"esterreur(reference)"</formula>
    </cfRule>
  </conditionalFormatting>
  <conditionalFormatting sqref="J427:K427">
    <cfRule type="expression" dxfId="453" priority="54" stopIfTrue="1">
      <formula>"esterreur(reference)"</formula>
    </cfRule>
  </conditionalFormatting>
  <conditionalFormatting sqref="J429:K431">
    <cfRule type="expression" dxfId="452" priority="43" stopIfTrue="1">
      <formula>"esterreur(reference)"</formula>
    </cfRule>
  </conditionalFormatting>
  <conditionalFormatting sqref="J464:K464">
    <cfRule type="expression" dxfId="451" priority="52" stopIfTrue="1">
      <formula>"esterreur(reference)"</formula>
    </cfRule>
  </conditionalFormatting>
  <conditionalFormatting sqref="J482:K482">
    <cfRule type="expression" dxfId="450" priority="49" stopIfTrue="1">
      <formula>"esterreur(reference)"</formula>
    </cfRule>
  </conditionalFormatting>
  <conditionalFormatting sqref="J484:K484">
    <cfRule type="expression" dxfId="449" priority="46" stopIfTrue="1">
      <formula>"esterreur(reference)"</formula>
    </cfRule>
  </conditionalFormatting>
  <conditionalFormatting sqref="J486:K487">
    <cfRule type="expression" dxfId="448" priority="2" stopIfTrue="1">
      <formula>"esterreur(reference)"</formula>
    </cfRule>
  </conditionalFormatting>
  <conditionalFormatting sqref="J53:L53 J55:L71">
    <cfRule type="expression" dxfId="447" priority="132" stopIfTrue="1">
      <formula>"esterreur(reference)"</formula>
    </cfRule>
  </conditionalFormatting>
  <conditionalFormatting sqref="J465:L481">
    <cfRule type="expression" dxfId="446" priority="146" stopIfTrue="1">
      <formula>"esterreur(reference)"</formula>
    </cfRule>
  </conditionalFormatting>
  <conditionalFormatting sqref="K5">
    <cfRule type="expression" dxfId="445" priority="153" stopIfTrue="1">
      <formula>"esterreur(reference)"</formula>
    </cfRule>
  </conditionalFormatting>
  <conditionalFormatting sqref="K321:L321">
    <cfRule type="expression" dxfId="444" priority="151" stopIfTrue="1">
      <formula>"esterreur(reference)"</formula>
    </cfRule>
  </conditionalFormatting>
  <conditionalFormatting sqref="K437:L437 K439:L440">
    <cfRule type="expression" dxfId="443" priority="106" stopIfTrue="1">
      <formula>"esterreur(reference)"</formula>
    </cfRule>
  </conditionalFormatting>
  <conditionalFormatting sqref="K443:L443">
    <cfRule type="expression" dxfId="442" priority="107" stopIfTrue="1">
      <formula>"esterreur(reference)"</formula>
    </cfRule>
  </conditionalFormatting>
  <conditionalFormatting sqref="L5:L14">
    <cfRule type="expression" dxfId="441" priority="26" stopIfTrue="1">
      <formula>"esterreur(reference)"</formula>
    </cfRule>
  </conditionalFormatting>
  <conditionalFormatting sqref="L75:L82">
    <cfRule type="expression" dxfId="440" priority="140" stopIfTrue="1">
      <formula>"esterreur(reference)"</formula>
    </cfRule>
  </conditionalFormatting>
  <conditionalFormatting sqref="L157:L163">
    <cfRule type="expression" dxfId="439" priority="150" stopIfTrue="1">
      <formula>"esterreur(reference)"</formula>
    </cfRule>
  </conditionalFormatting>
  <conditionalFormatting sqref="L230:L236">
    <cfRule type="expression" dxfId="438" priority="112" stopIfTrue="1">
      <formula>"esterreur(reference)"</formula>
    </cfRule>
  </conditionalFormatting>
  <conditionalFormatting sqref="L272:L283">
    <cfRule type="expression" dxfId="437" priority="148" stopIfTrue="1">
      <formula>"esterreur(reference)"</formula>
    </cfRule>
  </conditionalFormatting>
  <conditionalFormatting sqref="L285:L302">
    <cfRule type="expression" dxfId="436" priority="149" stopIfTrue="1">
      <formula>"esterreur(reference)"</formula>
    </cfRule>
  </conditionalFormatting>
  <conditionalFormatting sqref="L324">
    <cfRule type="expression" dxfId="435" priority="97" stopIfTrue="1">
      <formula>"esterreur(reference)"</formula>
    </cfRule>
  </conditionalFormatting>
  <conditionalFormatting sqref="L330:L341">
    <cfRule type="expression" dxfId="434" priority="152" stopIfTrue="1">
      <formula>"esterreur(reference)"</formula>
    </cfRule>
  </conditionalFormatting>
  <conditionalFormatting sqref="L422:L424">
    <cfRule type="expression" dxfId="433" priority="147" stopIfTrue="1">
      <formula>"esterreur(reference)"</formula>
    </cfRule>
  </conditionalFormatting>
  <conditionalFormatting sqref="M95:M97">
    <cfRule type="expression" dxfId="432" priority="139" stopIfTrue="1">
      <formula>"esterreur(reference)"</formula>
    </cfRule>
  </conditionalFormatting>
  <conditionalFormatting sqref="M177:M179">
    <cfRule type="expression" dxfId="431" priority="111" stopIfTrue="1">
      <formula>"esterreur(reference)"</formula>
    </cfRule>
  </conditionalFormatting>
  <conditionalFormatting sqref="N283">
    <cfRule type="expression" dxfId="430" priority="134" stopIfTrue="1">
      <formula>"esterreur(reference)"</formula>
    </cfRule>
  </conditionalFormatting>
  <conditionalFormatting sqref="N394:N404">
    <cfRule type="expression" dxfId="429" priority="136" stopIfTrue="1">
      <formula>"esterreur(reference)"</formula>
    </cfRule>
  </conditionalFormatting>
  <conditionalFormatting sqref="N271:Q271">
    <cfRule type="expression" dxfId="428" priority="122" stopIfTrue="1">
      <formula>"esterreur(reference)"</formula>
    </cfRule>
  </conditionalFormatting>
  <conditionalFormatting sqref="O16 Q16:Q24">
    <cfRule type="expression" dxfId="427" priority="127" stopIfTrue="1">
      <formula>"esterreur(reference)"</formula>
    </cfRule>
  </conditionalFormatting>
  <conditionalFormatting sqref="O109 O110:Q122">
    <cfRule type="expression" dxfId="426" priority="23" stopIfTrue="1">
      <formula>"esterreur(reference)"</formula>
    </cfRule>
  </conditionalFormatting>
  <conditionalFormatting sqref="O182 O183:Q195">
    <cfRule type="expression" dxfId="425"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21" stopIfTrue="1">
      <formula>"esterreur(reference)"</formula>
    </cfRule>
  </conditionalFormatting>
  <conditionalFormatting sqref="O266:O268 O269:P269">
    <cfRule type="expression" dxfId="423" priority="16" stopIfTrue="1">
      <formula>"esterreur(reference)"</formula>
    </cfRule>
  </conditionalFormatting>
  <conditionalFormatting sqref="O317">
    <cfRule type="expression" dxfId="422" priority="117" stopIfTrue="1">
      <formula>"esterreur(reference)"</formula>
    </cfRule>
  </conditionalFormatting>
  <conditionalFormatting sqref="O326 O327:P327">
    <cfRule type="expression" dxfId="421" priority="12" stopIfTrue="1">
      <formula>"esterreur(reference)"</formula>
    </cfRule>
  </conditionalFormatting>
  <conditionalFormatting sqref="O390 O391:P391">
    <cfRule type="expression" dxfId="420" priority="9" stopIfTrue="1">
      <formula>"esterreur(reference)"</formula>
    </cfRule>
  </conditionalFormatting>
  <conditionalFormatting sqref="O439">
    <cfRule type="expression" dxfId="419" priority="102" stopIfTrue="1">
      <formula>"esterreur(reference)"</formula>
    </cfRule>
  </conditionalFormatting>
  <conditionalFormatting sqref="O448 O449:P449">
    <cfRule type="expression" dxfId="418" priority="5" stopIfTrue="1">
      <formula>"esterreur(reference)"</formula>
    </cfRule>
  </conditionalFormatting>
  <conditionalFormatting sqref="O54:P54">
    <cfRule type="expression" dxfId="417" priority="93" stopIfTrue="1">
      <formula>"esterreur(reference)"</formula>
    </cfRule>
  </conditionalFormatting>
  <conditionalFormatting sqref="O72:P72">
    <cfRule type="expression" dxfId="416" priority="91" stopIfTrue="1">
      <formula>"esterreur(reference)"</formula>
    </cfRule>
  </conditionalFormatting>
  <conditionalFormatting sqref="O74:P74">
    <cfRule type="expression" dxfId="415" priority="88" stopIfTrue="1">
      <formula>"esterreur(reference)"</formula>
    </cfRule>
  </conditionalFormatting>
  <conditionalFormatting sqref="O85:P85">
    <cfRule type="expression" dxfId="414" priority="27" stopIfTrue="1">
      <formula>"esterreur(reference)"</formula>
    </cfRule>
  </conditionalFormatting>
  <conditionalFormatting sqref="O123:P133">
    <cfRule type="expression" dxfId="413" priority="86" stopIfTrue="1">
      <formula>"esterreur(reference)"</formula>
    </cfRule>
  </conditionalFormatting>
  <conditionalFormatting sqref="O136:P136">
    <cfRule type="expression" dxfId="412" priority="85" stopIfTrue="1">
      <formula>"esterreur(reference)"</formula>
    </cfRule>
  </conditionalFormatting>
  <conditionalFormatting sqref="O154:P154">
    <cfRule type="expression" dxfId="411" priority="84" stopIfTrue="1">
      <formula>"esterreur(reference)"</formula>
    </cfRule>
  </conditionalFormatting>
  <conditionalFormatting sqref="O156:P158">
    <cfRule type="expression" dxfId="410" priority="81" stopIfTrue="1">
      <formula>"esterreur(reference)"</formula>
    </cfRule>
  </conditionalFormatting>
  <conditionalFormatting sqref="O164:P164">
    <cfRule type="expression" dxfId="409" priority="78" stopIfTrue="1">
      <formula>"esterreur(reference)"</formula>
    </cfRule>
  </conditionalFormatting>
  <conditionalFormatting sqref="O166:P166">
    <cfRule type="expression" dxfId="408" priority="30" stopIfTrue="1">
      <formula>"esterreur(reference)"</formula>
    </cfRule>
  </conditionalFormatting>
  <conditionalFormatting sqref="O196:P206">
    <cfRule type="expression" dxfId="407" priority="77" stopIfTrue="1">
      <formula>"esterreur(reference)"</formula>
    </cfRule>
  </conditionalFormatting>
  <conditionalFormatting sqref="O209:P209">
    <cfRule type="expression" dxfId="406" priority="76" stopIfTrue="1">
      <formula>"esterreur(reference)"</formula>
    </cfRule>
  </conditionalFormatting>
  <conditionalFormatting sqref="O227:P227">
    <cfRule type="expression" dxfId="405" priority="75" stopIfTrue="1">
      <formula>"esterreur(reference)"</formula>
    </cfRule>
  </conditionalFormatting>
  <conditionalFormatting sqref="O229:P231">
    <cfRule type="expression" dxfId="404" priority="72" stopIfTrue="1">
      <formula>"esterreur(reference)"</formula>
    </cfRule>
  </conditionalFormatting>
  <conditionalFormatting sqref="O237:P237">
    <cfRule type="expression" dxfId="403" priority="69" stopIfTrue="1">
      <formula>"esterreur(reference)"</formula>
    </cfRule>
  </conditionalFormatting>
  <conditionalFormatting sqref="O239:P239">
    <cfRule type="expression" dxfId="402" priority="33" stopIfTrue="1">
      <formula>"esterreur(reference)"</formula>
    </cfRule>
  </conditionalFormatting>
  <conditionalFormatting sqref="O276:P303">
    <cfRule type="expression" dxfId="401" priority="67" stopIfTrue="1">
      <formula>"esterreur(reference)"</formula>
    </cfRule>
  </conditionalFormatting>
  <conditionalFormatting sqref="O305:P305">
    <cfRule type="expression" dxfId="400" priority="64" stopIfTrue="1">
      <formula>"esterreur(reference)"</formula>
    </cfRule>
  </conditionalFormatting>
  <conditionalFormatting sqref="O307:P307">
    <cfRule type="expression" dxfId="399" priority="36" stopIfTrue="1">
      <formula>"esterreur(reference)"</formula>
    </cfRule>
  </conditionalFormatting>
  <conditionalFormatting sqref="O330:P342">
    <cfRule type="expression" dxfId="398" priority="63" stopIfTrue="1">
      <formula>"esterreur(reference)"</formula>
    </cfRule>
  </conditionalFormatting>
  <conditionalFormatting sqref="O361:P361">
    <cfRule type="expression" dxfId="397" priority="61" stopIfTrue="1">
      <formula>"esterreur(reference)"</formula>
    </cfRule>
  </conditionalFormatting>
  <conditionalFormatting sqref="O363:P363">
    <cfRule type="expression" dxfId="396" priority="58" stopIfTrue="1">
      <formula>"esterreur(reference)"</formula>
    </cfRule>
  </conditionalFormatting>
  <conditionalFormatting sqref="O365:P365">
    <cfRule type="expression" dxfId="395" priority="39" stopIfTrue="1">
      <formula>"esterreur(reference)"</formula>
    </cfRule>
  </conditionalFormatting>
  <conditionalFormatting sqref="O371:P379 O380:Q382 O383:P384 O385:Q389 O392:Q405 O428:Q428">
    <cfRule type="expression" dxfId="394" priority="115" stopIfTrue="1">
      <formula>"esterreur(reference)"</formula>
    </cfRule>
  </conditionalFormatting>
  <conditionalFormatting sqref="O406:P425">
    <cfRule type="expression" dxfId="393" priority="56" stopIfTrue="1">
      <formula>"esterreur(reference)"</formula>
    </cfRule>
  </conditionalFormatting>
  <conditionalFormatting sqref="O427:P427">
    <cfRule type="expression" dxfId="392" priority="53" stopIfTrue="1">
      <formula>"esterreur(reference)"</formula>
    </cfRule>
  </conditionalFormatting>
  <conditionalFormatting sqref="O429:P429">
    <cfRule type="expression" dxfId="391" priority="42" stopIfTrue="1">
      <formula>"esterreur(reference)"</formula>
    </cfRule>
  </conditionalFormatting>
  <conditionalFormatting sqref="O464:P464">
    <cfRule type="expression" dxfId="390" priority="51" stopIfTrue="1">
      <formula>"esterreur(reference)"</formula>
    </cfRule>
  </conditionalFormatting>
  <conditionalFormatting sqref="O482:P482">
    <cfRule type="expression" dxfId="389" priority="48" stopIfTrue="1">
      <formula>"esterreur(reference)"</formula>
    </cfRule>
  </conditionalFormatting>
  <conditionalFormatting sqref="O484:P484">
    <cfRule type="expression" dxfId="388" priority="45" stopIfTrue="1">
      <formula>"esterreur(reference)"</formula>
    </cfRule>
  </conditionalFormatting>
  <conditionalFormatting sqref="O486:P486">
    <cfRule type="expression" dxfId="387" priority="1" stopIfTrue="1">
      <formula>"esterreur(reference)"</formula>
    </cfRule>
  </conditionalFormatting>
  <conditionalFormatting sqref="O53:Q53 O55:Q71">
    <cfRule type="expression" dxfId="386" priority="126" stopIfTrue="1">
      <formula>"esterreur(reference)"</formula>
    </cfRule>
  </conditionalFormatting>
  <conditionalFormatting sqref="O180:Q181">
    <cfRule type="expression" dxfId="385" priority="109" stopIfTrue="1">
      <formula>"esterreur(reference)"</formula>
    </cfRule>
  </conditionalFormatting>
  <conditionalFormatting sqref="O436:Q436">
    <cfRule type="expression" dxfId="384" priority="114" stopIfTrue="1">
      <formula>"esterreur(reference)"</formula>
    </cfRule>
  </conditionalFormatting>
  <conditionalFormatting sqref="O447:Q447 O450:Q463 O465:Q481">
    <cfRule type="expression" dxfId="383" priority="99" stopIfTrue="1">
      <formula>"esterreur(reference)"</formula>
    </cfRule>
  </conditionalFormatting>
  <conditionalFormatting sqref="O483:Q483 O485:Q485">
    <cfRule type="expression" dxfId="382" priority="98" stopIfTrue="1">
      <formula>"esterreur(reference)"</formula>
    </cfRule>
  </conditionalFormatting>
  <conditionalFormatting sqref="P5:Q5">
    <cfRule type="expression" dxfId="381" priority="130" stopIfTrue="1">
      <formula>"esterreur(reference)"</formula>
    </cfRule>
  </conditionalFormatting>
  <conditionalFormatting sqref="P315:Q315 P317:Q318 O328:Q329 O343:Q360 O364:Q364">
    <cfRule type="expression" dxfId="380" priority="118" stopIfTrue="1">
      <formula>"esterreur(reference)"</formula>
    </cfRule>
  </conditionalFormatting>
  <conditionalFormatting sqref="P321:Q321">
    <cfRule type="expression" dxfId="379" priority="119" stopIfTrue="1">
      <formula>"esterreur(reference)"</formula>
    </cfRule>
  </conditionalFormatting>
  <conditionalFormatting sqref="P437:Q437 P439:Q440">
    <cfRule type="expression" dxfId="378" priority="103" stopIfTrue="1">
      <formula>"esterreur(reference)"</formula>
    </cfRule>
  </conditionalFormatting>
  <conditionalFormatting sqref="P443:Q443">
    <cfRule type="expression" dxfId="377" priority="104" stopIfTrue="1">
      <formula>"esterreur(reference)"</formula>
    </cfRule>
  </conditionalFormatting>
  <conditionalFormatting sqref="Q6:Q14 O13:O14 O18:O24 O25:Q26 O27 O28:Q30 O31:P36 O37 O38:P52 O83:P83 O84:Q84">
    <cfRule type="expression" dxfId="376" priority="128" stopIfTrue="1">
      <formula>"esterreur(reference)"</formula>
    </cfRule>
  </conditionalFormatting>
  <conditionalFormatting sqref="Q75:Q82">
    <cfRule type="expression" dxfId="375" priority="129" stopIfTrue="1">
      <formula>"esterreur(reference)"</formula>
    </cfRule>
  </conditionalFormatting>
  <conditionalFormatting sqref="Q157:Q163">
    <cfRule type="expression" dxfId="374" priority="125" stopIfTrue="1">
      <formula>"esterreur(reference)"</formula>
    </cfRule>
  </conditionalFormatting>
  <conditionalFormatting sqref="Q230:Q236">
    <cfRule type="expression" dxfId="373" priority="110" stopIfTrue="1">
      <formula>"esterreur(reference)"</formula>
    </cfRule>
  </conditionalFormatting>
  <conditionalFormatting sqref="Q259">
    <cfRule type="expression" dxfId="372" priority="95" stopIfTrue="1">
      <formula>"esterreur(reference)"</formula>
    </cfRule>
  </conditionalFormatting>
  <conditionalFormatting sqref="Q272:Q283">
    <cfRule type="expression" dxfId="371" priority="123" stopIfTrue="1">
      <formula>"esterreur(reference)"</formula>
    </cfRule>
  </conditionalFormatting>
  <conditionalFormatting sqref="Q285:Q302">
    <cfRule type="expression" dxfId="370" priority="124" stopIfTrue="1">
      <formula>"esterreur(reference)"</formula>
    </cfRule>
  </conditionalFormatting>
  <conditionalFormatting sqref="Q324">
    <cfRule type="expression" dxfId="369" priority="96" stopIfTrue="1">
      <formula>"esterreur(reference)"</formula>
    </cfRule>
  </conditionalFormatting>
  <conditionalFormatting sqref="Q330:Q341">
    <cfRule type="expression" dxfId="368" priority="120" stopIfTrue="1">
      <formula>"esterreur(reference)"</formula>
    </cfRule>
  </conditionalFormatting>
  <conditionalFormatting sqref="Q422:Q424">
    <cfRule type="expression" dxfId="367" priority="116" stopIfTrue="1">
      <formula>"esterreur(reference)"</formula>
    </cfRule>
  </conditionalFormatting>
  <conditionalFormatting sqref="R388">
    <cfRule type="expression" dxfId="366" priority="141" stopIfTrue="1">
      <formula>"esterreur(reference)"</formula>
    </cfRule>
  </conditionalFormatting>
  <conditionalFormatting sqref="S260">
    <cfRule type="expression" dxfId="365" priority="155" stopIfTrue="1">
      <formula>"esterreur(reference)"</formula>
    </cfRule>
  </conditionalFormatting>
  <conditionalFormatting sqref="AG496:AI505 AH507:AI519 AH521:AI538 AH540:AI547 AH548:AH549 AH550:AI552 AH554:AI554 AH578:AI584">
    <cfRule type="cellIs" dxfId="364" priority="142" operator="greaterThan">
      <formula>0</formula>
    </cfRule>
  </conditionalFormatting>
  <conditionalFormatting sqref="AH556:AI563 AH567:AI567">
    <cfRule type="cellIs" dxfId="363" priority="143" operator="lessThan">
      <formula>0</formula>
    </cfRule>
  </conditionalFormatting>
  <conditionalFormatting sqref="AH564:AI566">
    <cfRule type="cellIs" dxfId="362" priority="158" operator="greaterThan">
      <formula>0</formula>
    </cfRule>
  </conditionalFormatting>
  <conditionalFormatting sqref="AO496:AO505">
    <cfRule type="cellIs" dxfId="361"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O11" sqref="O11"/>
    </sheetView>
  </sheetViews>
  <sheetFormatPr baseColWidth="10" defaultRowHeight="18"/>
  <cols>
    <col min="2" max="2" width="15.25" hidden="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88" t="s">
        <v>339</v>
      </c>
      <c r="E3" s="1289"/>
      <c r="F3" s="1289"/>
      <c r="G3" s="1287"/>
      <c r="H3" s="1286"/>
      <c r="I3" s="1289"/>
      <c r="J3" s="1289"/>
      <c r="K3" s="1287"/>
      <c r="L3" s="1286" t="s">
        <v>340</v>
      </c>
      <c r="M3" s="1289"/>
      <c r="N3" s="1289"/>
      <c r="O3" s="1287"/>
      <c r="P3" s="1286" t="s">
        <v>668</v>
      </c>
      <c r="Q3" s="1287"/>
      <c r="R3" s="1288" t="s">
        <v>341</v>
      </c>
      <c r="S3" s="1289"/>
      <c r="T3" s="1289"/>
      <c r="U3" s="1287"/>
      <c r="V3" s="1286" t="s">
        <v>670</v>
      </c>
      <c r="W3" s="1287"/>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0.68793898448513202</v>
      </c>
      <c r="O6" s="995">
        <f>-SUMIFS(BV_Data_An_Cour!$AM:$AM,BV_Data_An_Cour!$AO:$AO,$Y6)-SUMIFS(BV_Data_An_Cour!$AM:$AM,BV_Data_An_Cour!$AO:$AO,$Z6)</f>
        <v>23380.369999999981</v>
      </c>
      <c r="P6" s="1037">
        <f>IFERROR((M6-E6)/E6,0)</f>
        <v>0</v>
      </c>
      <c r="Q6" s="995">
        <f>O6-G6</f>
        <v>23380.369999999981</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-5759.7700000000186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0.45115875811363371</v>
      </c>
      <c r="O14" s="1006">
        <f>SUM(O6:O13)</f>
        <v>41878.92</v>
      </c>
      <c r="P14" s="1010">
        <f>IFERROR((M14-E14)/E14,0)</f>
        <v>0</v>
      </c>
      <c r="Q14" s="1011">
        <f>O14-G14</f>
        <v>41878.92</v>
      </c>
      <c r="R14" s="1009"/>
      <c r="S14" s="1006">
        <f>SUM(S6:S13)</f>
        <v>171568.72</v>
      </c>
      <c r="T14" s="1007">
        <f t="shared" ref="T14" si="6">IFERROR(U14/S14,0)</f>
        <v>0.40992524744603792</v>
      </c>
      <c r="U14" s="1006">
        <f>SUM(U6:U13)</f>
        <v>70330.349999999991</v>
      </c>
      <c r="V14" s="1010">
        <f>IF(R14=0,0,L14/R14)</f>
        <v>0</v>
      </c>
      <c r="W14" s="1011">
        <f>SUM(W6:W13)</f>
        <v>-28451.429999999993</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-1510.869999999999</v>
      </c>
      <c r="P38" s="1013"/>
      <c r="Q38" s="1014"/>
      <c r="R38" s="992"/>
      <c r="S38" s="659"/>
      <c r="T38" s="1042"/>
      <c r="U38" s="995">
        <f>-SUMIFS(BV_Data_An_Prec!$AM:$AM,BV_Data_An_Prec!$AO:$AO,$Y38)-SUMIFS(BV_Data_An_Prec!$AM:$AM,BV_Data_An_Prec!$AO:$AO,$Z38)</f>
        <v>4423.45</v>
      </c>
      <c r="V38" s="1013"/>
      <c r="W38" s="1015">
        <f t="shared" ref="W38" si="31">O38-U38</f>
        <v>-5934.3199999999988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0.48075987601443509</v>
      </c>
      <c r="O40" s="1043">
        <f>O25+O36+O14+O38</f>
        <v>62886.059999999983</v>
      </c>
      <c r="P40" s="1020">
        <f>O41-G41</f>
        <v>0.48075987601443509</v>
      </c>
      <c r="Q40" s="1043">
        <f>O40-G40</f>
        <v>62886.059999999983</v>
      </c>
      <c r="R40" s="1019"/>
      <c r="S40" s="1017">
        <f>S25+S36+S14</f>
        <v>177711.16</v>
      </c>
      <c r="T40" s="1018">
        <f t="shared" ref="T40" si="32">IFERROR(U40/S40,0)</f>
        <v>0.50061706873108014</v>
      </c>
      <c r="U40" s="1043">
        <f>U25+U36+U14+U38</f>
        <v>88965.239999999991</v>
      </c>
      <c r="V40" s="1021">
        <f>O41-U41</f>
        <v>-1.9857192716645045E-2</v>
      </c>
      <c r="W40" s="1043">
        <f>O40-U40</f>
        <v>-26079.180000000008</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0.48075987601443509</v>
      </c>
      <c r="P41" s="1026"/>
      <c r="Q41" s="473" t="e">
        <f>Q40/G40</f>
        <v>#DIV/0!</v>
      </c>
      <c r="R41" s="1022"/>
      <c r="S41" s="1025"/>
      <c r="T41" s="1023"/>
      <c r="U41" s="473">
        <f>IF(S40=0,0,U40/S40)</f>
        <v>0.50061706873108014</v>
      </c>
      <c r="V41" s="1026"/>
      <c r="W41" s="473">
        <f>W40/U40</f>
        <v>-0.29313898327032006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60" priority="34" stopIfTrue="1">
      <formula>"esterreur(reference)"</formula>
    </cfRule>
  </conditionalFormatting>
  <conditionalFormatting sqref="I12:O13">
    <cfRule type="expression" dxfId="359" priority="4" stopIfTrue="1">
      <formula>"esterreur(reference)"</formula>
    </cfRule>
  </conditionalFormatting>
  <conditionalFormatting sqref="I16:O24">
    <cfRule type="expression" dxfId="358" priority="2" stopIfTrue="1">
      <formula>"esterreur(reference)"</formula>
    </cfRule>
  </conditionalFormatting>
  <conditionalFormatting sqref="I27:O35">
    <cfRule type="expression" dxfId="357" priority="18" stopIfTrue="1">
      <formula>"esterreur(reference)"</formula>
    </cfRule>
  </conditionalFormatting>
  <conditionalFormatting sqref="M2:O2 L2:L11">
    <cfRule type="expression" dxfId="356" priority="35" stopIfTrue="1">
      <formula>"esterreur(reference)"</formula>
    </cfRule>
  </conditionalFormatting>
  <conditionalFormatting sqref="O38">
    <cfRule type="expression" dxfId="355" priority="17" stopIfTrue="1">
      <formula>"esterreur(reference)"</formula>
    </cfRule>
  </conditionalFormatting>
  <conditionalFormatting sqref="R6:S6 U6">
    <cfRule type="expression" dxfId="354" priority="13" stopIfTrue="1">
      <formula>"esterreur(reference)"</formula>
    </cfRule>
  </conditionalFormatting>
  <conditionalFormatting sqref="T6:T13">
    <cfRule type="expression" dxfId="353" priority="3" stopIfTrue="1">
      <formula>"esterreur(reference)"</formula>
    </cfRule>
  </conditionalFormatting>
  <conditionalFormatting sqref="T16:T24">
    <cfRule type="expression" dxfId="352" priority="1" stopIfTrue="1">
      <formula>"esterreur(reference)"</formula>
    </cfRule>
  </conditionalFormatting>
  <conditionalFormatting sqref="T27:T35">
    <cfRule type="expression" dxfId="351"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8"/>
  <cols>
    <col min="2" max="2" width="15.25" bestFit="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88" t="s">
        <v>339</v>
      </c>
      <c r="E3" s="1289"/>
      <c r="F3" s="1289"/>
      <c r="G3" s="1287"/>
      <c r="H3" s="1286"/>
      <c r="I3" s="1289"/>
      <c r="J3" s="1289"/>
      <c r="K3" s="1287"/>
      <c r="L3" s="1286" t="s">
        <v>340</v>
      </c>
      <c r="M3" s="1289"/>
      <c r="N3" s="1289"/>
      <c r="O3" s="1287"/>
      <c r="P3" s="1286" t="s">
        <v>668</v>
      </c>
      <c r="Q3" s="1287"/>
      <c r="R3" s="1288" t="s">
        <v>341</v>
      </c>
      <c r="S3" s="1289"/>
      <c r="T3" s="1289"/>
      <c r="U3" s="1287"/>
      <c r="V3" s="1286" t="s">
        <v>670</v>
      </c>
      <c r="W3" s="1287"/>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0.6399740346620828</v>
      </c>
      <c r="O6" s="995">
        <f>-SUMIFS(BV_Data_An_Cour!$AN:$AN,BV_Data_An_Cour!$AO:$AO,$Y6)-SUMIFS(BV_Data_An_Cour!$AN:$AN,BV_Data_An_Cour!$AO:$AO,$Z6)</f>
        <v>239906.41999999998</v>
      </c>
      <c r="P6" s="1037">
        <f t="shared" ref="P6:P12" si="0">IFERROR((M6-E6)/E6,0)</f>
        <v>0</v>
      </c>
      <c r="Q6" s="995">
        <f t="shared" ref="Q6:Q12" si="1">O6-G6</f>
        <v>239906.41999999998</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9699.3699999999662</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0.41410604330220402</v>
      </c>
      <c r="O14" s="1006">
        <f>SUM(O6:O13)</f>
        <v>442666.2</v>
      </c>
      <c r="P14" s="1010">
        <f>IFERROR((M14-E14)/E14,0)</f>
        <v>0</v>
      </c>
      <c r="Q14" s="1011">
        <f>O14-G14</f>
        <v>442666.2</v>
      </c>
      <c r="R14" s="1009"/>
      <c r="S14" s="1006">
        <f>SUM(S6:S13)</f>
        <v>1208085.57</v>
      </c>
      <c r="T14" s="1007">
        <f t="shared" si="5"/>
        <v>0.40148717280018503</v>
      </c>
      <c r="U14" s="1006">
        <f>SUM(U6:U13)</f>
        <v>485030.86000000004</v>
      </c>
      <c r="V14" s="1010">
        <f>IF(R14=0,0,L14/R14)</f>
        <v>0</v>
      </c>
      <c r="W14" s="1011">
        <f>SUM(W6:W13)</f>
        <v>-42364.660000000018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5629.34</v>
      </c>
      <c r="V38" s="1013"/>
      <c r="W38" s="1015">
        <f t="shared" ref="W38" si="36">O38-U38</f>
        <v>-22807.85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0.42642949019125159</v>
      </c>
      <c r="O40" s="1043">
        <f>O25+O36+O14+O38</f>
        <v>548789.36</v>
      </c>
      <c r="P40" s="1020">
        <f>O41-G41</f>
        <v>0.42642949019125159</v>
      </c>
      <c r="Q40" s="1043">
        <f>O40-G40</f>
        <v>548789.36</v>
      </c>
      <c r="R40" s="1019"/>
      <c r="S40" s="1017">
        <f>S25+S36+S14</f>
        <v>1240492.47</v>
      </c>
      <c r="T40" s="1018">
        <f>U40/S40</f>
        <v>0.41765308740648793</v>
      </c>
      <c r="U40" s="1043">
        <f>U25+U36+U14+U38</f>
        <v>518095.51000000007</v>
      </c>
      <c r="V40" s="1021">
        <f>O41-U41</f>
        <v>8.7764027847636594E-3</v>
      </c>
      <c r="W40" s="1043">
        <f>O40-U40</f>
        <v>30693.849999999919</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0.42642949019125159</v>
      </c>
      <c r="P41" s="1026"/>
      <c r="Q41" s="473" t="e">
        <f>Q40/G40</f>
        <v>#DIV/0!</v>
      </c>
      <c r="R41" s="1022"/>
      <c r="S41" s="1025"/>
      <c r="T41" s="1023"/>
      <c r="U41" s="473">
        <f>IF(S40=0,0,U40/S40)</f>
        <v>0.41765308740648793</v>
      </c>
      <c r="V41" s="1026"/>
      <c r="W41" s="473">
        <f>W40/U40</f>
        <v>5.9243613209463857E-2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50" priority="36" stopIfTrue="1">
      <formula>"esterreur(reference)"</formula>
    </cfRule>
  </conditionalFormatting>
  <conditionalFormatting sqref="I12:O13">
    <cfRule type="expression" dxfId="349" priority="4" stopIfTrue="1">
      <formula>"esterreur(reference)"</formula>
    </cfRule>
  </conditionalFormatting>
  <conditionalFormatting sqref="I16:O24">
    <cfRule type="expression" dxfId="348" priority="2" stopIfTrue="1">
      <formula>"esterreur(reference)"</formula>
    </cfRule>
  </conditionalFormatting>
  <conditionalFormatting sqref="I27:O35">
    <cfRule type="expression" dxfId="347" priority="28" stopIfTrue="1">
      <formula>"esterreur(reference)"</formula>
    </cfRule>
  </conditionalFormatting>
  <conditionalFormatting sqref="M2:O2 L2:L11">
    <cfRule type="expression" dxfId="346" priority="37" stopIfTrue="1">
      <formula>"esterreur(reference)"</formula>
    </cfRule>
  </conditionalFormatting>
  <conditionalFormatting sqref="O38">
    <cfRule type="expression" dxfId="345" priority="27" stopIfTrue="1">
      <formula>"esterreur(reference)"</formula>
    </cfRule>
  </conditionalFormatting>
  <conditionalFormatting sqref="R6:U13">
    <cfRule type="expression" dxfId="344" priority="3" stopIfTrue="1">
      <formula>"esterreur(reference)"</formula>
    </cfRule>
  </conditionalFormatting>
  <conditionalFormatting sqref="R16:U24">
    <cfRule type="expression" dxfId="343" priority="1" stopIfTrue="1">
      <formula>"esterreur(reference)"</formula>
    </cfRule>
  </conditionalFormatting>
  <conditionalFormatting sqref="R27:U35">
    <cfRule type="expression" dxfId="342" priority="12" stopIfTrue="1">
      <formula>"esterreur(reference)"</formula>
    </cfRule>
  </conditionalFormatting>
  <conditionalFormatting sqref="U38">
    <cfRule type="expression" dxfId="341"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089"/>
  <sheetViews>
    <sheetView topLeftCell="AI1" zoomScale="80" zoomScaleNormal="80" workbookViewId="0">
      <selection activeCell="A2" sqref="A2:AI1071"/>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315478.48</v>
      </c>
      <c r="O5" s="706">
        <v>335953.03</v>
      </c>
      <c r="P5" s="706">
        <v>0</v>
      </c>
      <c r="Q5" s="706">
        <v>0</v>
      </c>
      <c r="R5" s="706">
        <v>0</v>
      </c>
      <c r="S5" s="706">
        <v>39434.81</v>
      </c>
      <c r="T5" s="706">
        <v>39434.81</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42743.949999999953</v>
      </c>
      <c r="AN5" s="905">
        <f>INDEX(G5:R5,1,MATCH(Parametres!$B$3,G$1:R$1,0))*IF(OR(F5="L",F5="S",F5="I"),-1,1)</f>
        <v>315478.48</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87885.119999999995</v>
      </c>
      <c r="P6" s="706">
        <v>0</v>
      </c>
      <c r="Q6" s="706">
        <v>0</v>
      </c>
      <c r="R6" s="706">
        <v>0</v>
      </c>
      <c r="S6" s="706">
        <v>10470.85</v>
      </c>
      <c r="T6" s="706">
        <v>10470.85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2367.75</v>
      </c>
      <c r="AN6" s="905">
        <f>INDEX(G6:R6,1,MATCH(Parametres!$B$3,G$1:R$1,0))*IF(OR(F6="L",F6="S",F6="I"),-1,1)</f>
        <v>83766.759999999995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239781.54</v>
      </c>
      <c r="O8" s="706">
        <v>259214.78</v>
      </c>
      <c r="P8" s="706">
        <v>0</v>
      </c>
      <c r="Q8" s="706">
        <v>0</v>
      </c>
      <c r="R8" s="706">
        <v>0</v>
      </c>
      <c r="S8" s="706">
        <v>29972.69</v>
      </c>
      <c r="T8" s="706">
        <v>29972.69</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-3372.7599999999802</v>
      </c>
      <c r="AN8" s="905">
        <f>INDEX(G8:R8,1,MATCH(Parametres!$B$3,G$1:R$1,0))*IF(OR(F8="L",F8="S",F8="I"),-1,1)</f>
        <v>239781.54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-16709.509999999998</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11724.83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11129.46</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941.26</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35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-214609</v>
      </c>
      <c r="O19" s="706">
        <v>-239676</v>
      </c>
      <c r="P19" s="706">
        <v>0</v>
      </c>
      <c r="Q19" s="706">
        <v>0</v>
      </c>
      <c r="R19" s="706">
        <v>0</v>
      </c>
      <c r="S19" s="706">
        <v>-26826.13</v>
      </c>
      <c r="T19" s="706">
        <v>-26826.13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-17386</v>
      </c>
      <c r="AN19" s="905">
        <f>INDEX(G19:R19,1,MATCH(Parametres!$B$3,G$1:R$1,0))*IF(OR(F19="L",F19="S",F19="I"),-1,1)</f>
        <v>-214609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-63624.34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181664.95</v>
      </c>
      <c r="P23" s="706">
        <v>0</v>
      </c>
      <c r="Q23" s="706">
        <v>0</v>
      </c>
      <c r="R23" s="706">
        <v>0</v>
      </c>
      <c r="S23" s="706">
        <v>3893.21</v>
      </c>
      <c r="T23" s="706">
        <v>3893.21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4067.3099999999977</v>
      </c>
      <c r="AN23" s="905">
        <f>INDEX(G23:R23,1,MATCH(Parametres!$B$3,G$1:R$1,0))*IF(OR(F23="L",F23="S",F23="I"),-1,1)</f>
        <v>31145.71</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121109.96</v>
      </c>
      <c r="P25" s="706">
        <v>0</v>
      </c>
      <c r="Q25" s="706">
        <v>0</v>
      </c>
      <c r="R25" s="706">
        <v>0</v>
      </c>
      <c r="S25" s="706">
        <v>2595.48</v>
      </c>
      <c r="T25" s="706">
        <v>2595.48</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2711.5500000000029</v>
      </c>
      <c r="AN25" s="905">
        <f>INDEX(G25:R25,1,MATCH(Parametres!$B$3,G$1:R$1,0))*IF(OR(F25="L",F25="S",F25="I"),-1,1)</f>
        <v>20763.810000000001</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181664.95</v>
      </c>
      <c r="P26" s="706">
        <v>0</v>
      </c>
      <c r="Q26" s="706">
        <v>0</v>
      </c>
      <c r="R26" s="706">
        <v>0</v>
      </c>
      <c r="S26" s="706">
        <v>3893.21</v>
      </c>
      <c r="T26" s="706">
        <v>3893.21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4067.3099999999977</v>
      </c>
      <c r="AN26" s="905">
        <f>INDEX(G26:R26,1,MATCH(Parametres!$B$3,G$1:R$1,0))*IF(OR(F26="L",F26="S",F26="I"),-1,1)</f>
        <v>31145.71</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60554.97</v>
      </c>
      <c r="P27" s="706">
        <v>0</v>
      </c>
      <c r="Q27" s="706">
        <v>0</v>
      </c>
      <c r="R27" s="706">
        <v>0</v>
      </c>
      <c r="S27" s="706">
        <v>1297.74</v>
      </c>
      <c r="T27" s="706">
        <v>1297.74</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1355.7600000000002</v>
      </c>
      <c r="AN27" s="905">
        <f>INDEX(G27:R27,1,MATCH(Parametres!$B$3,G$1:R$1,0))*IF(OR(F27="L",F27="S",F27="I"),-1,1)</f>
        <v>10381.89</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60554.97</v>
      </c>
      <c r="P28" s="706">
        <v>0</v>
      </c>
      <c r="Q28" s="706">
        <v>0</v>
      </c>
      <c r="R28" s="706">
        <v>0</v>
      </c>
      <c r="S28" s="706">
        <v>1297.74</v>
      </c>
      <c r="T28" s="706">
        <v>1297.74</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1355.7799999999988</v>
      </c>
      <c r="AN28" s="905">
        <f>INDEX(G28:R28,1,MATCH(Parametres!$B$3,G$1:R$1,0))*IF(OR(F28="L",F28="S",F28="I"),-1,1)</f>
        <v>10381.9</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81747.34</v>
      </c>
      <c r="P31" s="706">
        <v>0</v>
      </c>
      <c r="Q31" s="706">
        <v>0</v>
      </c>
      <c r="R31" s="706">
        <v>0</v>
      </c>
      <c r="S31" s="706">
        <v>10122.42</v>
      </c>
      <c r="T31" s="706">
        <v>10122.42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6326.8799999999901</v>
      </c>
      <c r="AN31" s="905">
        <f>INDEX(G31:R31,1,MATCH(Parametres!$B$3,G$1:R$1,0))*IF(OR(F31="L",F31="S",F31="I"),-1,1)</f>
        <v>80979.34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69221.55</v>
      </c>
      <c r="P33" s="706">
        <v>0</v>
      </c>
      <c r="Q33" s="706">
        <v>0</v>
      </c>
      <c r="R33" s="706">
        <v>0</v>
      </c>
      <c r="S33" s="706">
        <v>8503.85</v>
      </c>
      <c r="T33" s="706">
        <v>8503.85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4529.9000000000015</v>
      </c>
      <c r="AN33" s="905">
        <f>INDEX(G33:R33,1,MATCH(Parametres!$B$3,G$1:R$1,0))*IF(OR(F33="L",F33="S",F33="I"),-1,1)</f>
        <v>68030.77</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78728.399999999994</v>
      </c>
      <c r="O34" s="706">
        <v>78728.399999999994</v>
      </c>
      <c r="P34" s="706">
        <v>0</v>
      </c>
      <c r="Q34" s="706">
        <v>0</v>
      </c>
      <c r="R34" s="706">
        <v>0</v>
      </c>
      <c r="S34" s="706">
        <v>9841.0499999999993</v>
      </c>
      <c r="T34" s="706">
        <v>9841.0499999999993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1341.7999999999884</v>
      </c>
      <c r="AN34" s="905">
        <f>INDEX(G34:R34,1,MATCH(Parametres!$B$3,G$1:R$1,0))*IF(OR(F34="L",F34="S",F34="I"),-1,1)</f>
        <v>78728.399999999994</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77940.13</v>
      </c>
      <c r="O35" s="706">
        <v>79201.67</v>
      </c>
      <c r="P35" s="706">
        <v>0</v>
      </c>
      <c r="Q35" s="706">
        <v>0</v>
      </c>
      <c r="R35" s="706">
        <v>0</v>
      </c>
      <c r="S35" s="706">
        <v>9742.52</v>
      </c>
      <c r="T35" s="706">
        <v>9742.52</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5764.1000000000058</v>
      </c>
      <c r="AN35" s="905">
        <f>INDEX(G35:R35,1,MATCH(Parametres!$B$3,G$1:R$1,0))*IF(OR(F35="L",F35="S",F35="I"),-1,1)</f>
        <v>77940.13</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78169.740000000005</v>
      </c>
      <c r="P36" s="706">
        <v>0</v>
      </c>
      <c r="Q36" s="706">
        <v>0</v>
      </c>
      <c r="R36" s="706">
        <v>0</v>
      </c>
      <c r="S36" s="706">
        <v>9463.5300000000007</v>
      </c>
      <c r="T36" s="706">
        <v>9463.5300000000007</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14505.379999999997</v>
      </c>
      <c r="AN36" s="905">
        <f>INDEX(G36:R36,1,MATCH(Parametres!$B$3,G$1:R$1,0))*IF(OR(F36="L",F36="S",F36="I"),-1,1)</f>
        <v>75708.2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23753.3</v>
      </c>
      <c r="O37" s="706">
        <v>24871.62</v>
      </c>
      <c r="P37" s="706">
        <v>0</v>
      </c>
      <c r="Q37" s="706">
        <v>0</v>
      </c>
      <c r="R37" s="706">
        <v>0</v>
      </c>
      <c r="S37" s="706">
        <v>2969.16</v>
      </c>
      <c r="T37" s="706">
        <v>2969.16</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6873.2900000000009</v>
      </c>
      <c r="AN37" s="905">
        <f>INDEX(G37:R37,1,MATCH(Parametres!$B$3,G$1:R$1,0))*IF(OR(F37="L",F37="S",F37="I"),-1,1)</f>
        <v>23753.3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158633.51999999999</v>
      </c>
      <c r="P41" s="706">
        <v>0</v>
      </c>
      <c r="Q41" s="706">
        <v>0</v>
      </c>
      <c r="R41" s="706">
        <v>0</v>
      </c>
      <c r="S41" s="706">
        <v>19558.650000000001</v>
      </c>
      <c r="T41" s="706">
        <v>19558.650000000001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8576.1900000000023</v>
      </c>
      <c r="AN41" s="905">
        <f>INDEX(G41:R41,1,MATCH(Parametres!$B$3,G$1:R$1,0))*IF(OR(F41="L",F41="S",F41="I"),-1,1)</f>
        <v>156469.21</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38139.199999999997</v>
      </c>
      <c r="P43" s="706">
        <v>0</v>
      </c>
      <c r="Q43" s="706">
        <v>0</v>
      </c>
      <c r="R43" s="706">
        <v>0</v>
      </c>
      <c r="S43" s="706">
        <v>4587.04</v>
      </c>
      <c r="T43" s="706">
        <v>4587.04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5717.4700000000012</v>
      </c>
      <c r="AN43" s="905">
        <f>INDEX(G43:R43,1,MATCH(Parametres!$B$3,G$1:R$1,0))*IF(OR(F43="L",F43="S",F43="I"),-1,1)</f>
        <v>36696.32</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33429.68</v>
      </c>
      <c r="P44" s="706">
        <v>0</v>
      </c>
      <c r="Q44" s="706">
        <v>0</v>
      </c>
      <c r="R44" s="706">
        <v>0</v>
      </c>
      <c r="S44" s="706">
        <v>4203.25</v>
      </c>
      <c r="T44" s="706">
        <v>4203.25</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-8418.5999999999985</v>
      </c>
      <c r="AN44" s="905">
        <f>INDEX(G44:R44,1,MATCH(Parametres!$B$3,G$1:R$1,0))*IF(OR(F44="L",F44="S",F44="I"),-1,1)</f>
        <v>33625.980000000003</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175922.54</v>
      </c>
      <c r="P45" s="706">
        <v>0</v>
      </c>
      <c r="Q45" s="706">
        <v>0</v>
      </c>
      <c r="R45" s="706">
        <v>0</v>
      </c>
      <c r="S45" s="706">
        <v>21780.38</v>
      </c>
      <c r="T45" s="706">
        <v>21780.38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6348.109999999986</v>
      </c>
      <c r="AN45" s="905">
        <f>INDEX(G45:R45,1,MATCH(Parametres!$B$3,G$1:R$1,0))*IF(OR(F45="L",F45="S",F45="I"),-1,1)</f>
        <v>174243</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52441.48</v>
      </c>
      <c r="P46" s="706">
        <v>0</v>
      </c>
      <c r="Q46" s="706">
        <v>0</v>
      </c>
      <c r="R46" s="706">
        <v>0</v>
      </c>
      <c r="S46" s="706">
        <v>6509.2</v>
      </c>
      <c r="T46" s="706">
        <v>6509.2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6524.5199999999968</v>
      </c>
      <c r="AN46" s="905">
        <f>INDEX(G46:R46,1,MATCH(Parametres!$B$3,G$1:R$1,0))*IF(OR(F46="L",F46="S",F46="I"),-1,1)</f>
        <v>52073.57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22053.79</v>
      </c>
      <c r="P47" s="706">
        <v>0</v>
      </c>
      <c r="Q47" s="706">
        <v>0</v>
      </c>
      <c r="R47" s="706">
        <v>0</v>
      </c>
      <c r="S47" s="706">
        <v>2686.74</v>
      </c>
      <c r="T47" s="706">
        <v>2686.74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2116.0299999999988</v>
      </c>
      <c r="AN47" s="905">
        <f>INDEX(G47:R47,1,MATCH(Parametres!$B$3,G$1:R$1,0))*IF(OR(F47="L",F47="S",F47="I"),-1,1)</f>
        <v>21493.94</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30526.68</v>
      </c>
      <c r="P48" s="706">
        <v>0</v>
      </c>
      <c r="Q48" s="706">
        <v>0</v>
      </c>
      <c r="R48" s="706">
        <v>0</v>
      </c>
      <c r="S48" s="706">
        <v>3602.12</v>
      </c>
      <c r="T48" s="706">
        <v>3602.12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4410.9700000000012</v>
      </c>
      <c r="AN48" s="905">
        <f>INDEX(G48:R48,1,MATCH(Parametres!$B$3,G$1:R$1,0))*IF(OR(F48="L",F48="S",F48="I"),-1,1)</f>
        <v>28816.95</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40137.29</v>
      </c>
      <c r="O51" s="706">
        <v>40892.65</v>
      </c>
      <c r="P51" s="706">
        <v>0</v>
      </c>
      <c r="Q51" s="706">
        <v>0</v>
      </c>
      <c r="R51" s="706">
        <v>0</v>
      </c>
      <c r="S51" s="706">
        <v>5017.16</v>
      </c>
      <c r="T51" s="706">
        <v>5017.16</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5167.5800000000017</v>
      </c>
      <c r="AN51" s="905">
        <f>INDEX(G51:R51,1,MATCH(Parametres!$B$3,G$1:R$1,0))*IF(OR(F51="L",F51="S",F51="I"),-1,1)</f>
        <v>40137.29</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13526.1</v>
      </c>
      <c r="P53" s="706">
        <v>0</v>
      </c>
      <c r="Q53" s="706">
        <v>0</v>
      </c>
      <c r="R53" s="706">
        <v>0</v>
      </c>
      <c r="S53" s="706">
        <v>1627.82</v>
      </c>
      <c r="T53" s="706">
        <v>1627.82</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1820.0400000000009</v>
      </c>
      <c r="AN53" s="905">
        <f>INDEX(G53:R53,1,MATCH(Parametres!$B$3,G$1:R$1,0))*IF(OR(F53="L",F53="S",F53="I"),-1,1)</f>
        <v>13022.53</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94653.08</v>
      </c>
      <c r="O55" s="706">
        <v>96174.63</v>
      </c>
      <c r="P55" s="706">
        <v>0</v>
      </c>
      <c r="Q55" s="706">
        <v>0</v>
      </c>
      <c r="R55" s="706">
        <v>0</v>
      </c>
      <c r="S55" s="706">
        <v>11831.64</v>
      </c>
      <c r="T55" s="706">
        <v>11831.64</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11770.770000000004</v>
      </c>
      <c r="AN55" s="905">
        <f>INDEX(G55:R55,1,MATCH(Parametres!$B$3,G$1:R$1,0))*IF(OR(F55="L",F55="S",F55="I"),-1,1)</f>
        <v>94653.08</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40562.14</v>
      </c>
      <c r="O56" s="706">
        <v>42332.14</v>
      </c>
      <c r="P56" s="706">
        <v>0</v>
      </c>
      <c r="Q56" s="706">
        <v>0</v>
      </c>
      <c r="R56" s="706">
        <v>0</v>
      </c>
      <c r="S56" s="706">
        <v>5070.2700000000004</v>
      </c>
      <c r="T56" s="706">
        <v>5070.2700000000004</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9149.14</v>
      </c>
      <c r="AN56" s="905">
        <f>INDEX(G56:R56,1,MATCH(Parametres!$B$3,G$1:R$1,0))*IF(OR(F56="L",F56="S",F56="I"),-1,1)</f>
        <v>40562.14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5829.01</v>
      </c>
      <c r="P57" s="706">
        <v>0</v>
      </c>
      <c r="Q57" s="706">
        <v>0</v>
      </c>
      <c r="R57" s="706">
        <v>0</v>
      </c>
      <c r="S57" s="706">
        <v>469.93</v>
      </c>
      <c r="T57" s="706">
        <v>469.93</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374.27</v>
      </c>
      <c r="AN57" s="905">
        <f>INDEX(G57:R57,1,MATCH(Parametres!$B$3,G$1:R$1,0))*IF(OR(F57="L",F57="S",F57="I"),-1,1)</f>
        <v>3759.42</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145693.94</v>
      </c>
      <c r="O58" s="706">
        <v>148560.31</v>
      </c>
      <c r="P58" s="706">
        <v>0</v>
      </c>
      <c r="Q58" s="706">
        <v>0</v>
      </c>
      <c r="R58" s="706">
        <v>0</v>
      </c>
      <c r="S58" s="706">
        <v>18211.740000000002</v>
      </c>
      <c r="T58" s="706">
        <v>18211.740000000002</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13305.910000000003</v>
      </c>
      <c r="AN58" s="905">
        <f>INDEX(G58:R58,1,MATCH(Parametres!$B$3,G$1:R$1,0))*IF(OR(F58="L",F58="S",F58="I"),-1,1)</f>
        <v>145693.94</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2771.34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56839.63</v>
      </c>
      <c r="O62" s="706">
        <v>57349.01</v>
      </c>
      <c r="P62" s="706">
        <v>0</v>
      </c>
      <c r="Q62" s="706">
        <v>0</v>
      </c>
      <c r="R62" s="706">
        <v>0</v>
      </c>
      <c r="S62" s="706">
        <v>7104.95</v>
      </c>
      <c r="T62" s="706">
        <v>7104.95</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2526.5999999999985</v>
      </c>
      <c r="AN62" s="905">
        <f>INDEX(G62:R62,1,MATCH(Parametres!$B$3,G$1:R$1,0))*IF(OR(F62="L",F62="S",F62="I"),-1,1)</f>
        <v>56839.63</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22615.02</v>
      </c>
      <c r="O63" s="706">
        <v>22883.9</v>
      </c>
      <c r="P63" s="706">
        <v>0</v>
      </c>
      <c r="Q63" s="706">
        <v>0</v>
      </c>
      <c r="R63" s="706">
        <v>0</v>
      </c>
      <c r="S63" s="706">
        <v>2826.88</v>
      </c>
      <c r="T63" s="706">
        <v>2826.88</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1439.9399999999987</v>
      </c>
      <c r="AN63" s="905">
        <f>INDEX(G63:R63,1,MATCH(Parametres!$B$3,G$1:R$1,0))*IF(OR(F63="L",F63="S",F63="I"),-1,1)</f>
        <v>22615.02</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14996.74</v>
      </c>
      <c r="O64" s="706">
        <v>15245.04</v>
      </c>
      <c r="P64" s="706">
        <v>0</v>
      </c>
      <c r="Q64" s="706">
        <v>0</v>
      </c>
      <c r="R64" s="706">
        <v>0</v>
      </c>
      <c r="S64" s="706">
        <v>1874.59</v>
      </c>
      <c r="T64" s="706">
        <v>1874.59</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1266.1100000000006</v>
      </c>
      <c r="AN64" s="905">
        <f>INDEX(G64:R64,1,MATCH(Parametres!$B$3,G$1:R$1,0))*IF(OR(F64="L",F64="S",F64="I"),-1,1)</f>
        <v>14996.74</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105321.3</v>
      </c>
      <c r="O65" s="706">
        <v>106415.55</v>
      </c>
      <c r="P65" s="706">
        <v>0</v>
      </c>
      <c r="Q65" s="706">
        <v>0</v>
      </c>
      <c r="R65" s="706">
        <v>0</v>
      </c>
      <c r="S65" s="706">
        <v>13165.16</v>
      </c>
      <c r="T65" s="706">
        <v>13165.16</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7311.5</v>
      </c>
      <c r="AN65" s="905">
        <f>INDEX(G65:R65,1,MATCH(Parametres!$B$3,G$1:R$1,0))*IF(OR(F65="L",F65="S",F65="I"),-1,1)</f>
        <v>105321.3</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33743.440000000002</v>
      </c>
      <c r="O66" s="706">
        <v>34381.58</v>
      </c>
      <c r="P66" s="706">
        <v>0</v>
      </c>
      <c r="Q66" s="706">
        <v>0</v>
      </c>
      <c r="R66" s="706">
        <v>0</v>
      </c>
      <c r="S66" s="706">
        <v>4217.93</v>
      </c>
      <c r="T66" s="706">
        <v>4217.93</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3258.0600000000013</v>
      </c>
      <c r="AN66" s="905">
        <f>INDEX(G66:R66,1,MATCH(Parametres!$B$3,G$1:R$1,0))*IF(OR(F66="L",F66="S",F66="I"),-1,1)</f>
        <v>33743.440000000002</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20164.18</v>
      </c>
      <c r="O67" s="706">
        <v>20422.439999999999</v>
      </c>
      <c r="P67" s="706">
        <v>0</v>
      </c>
      <c r="Q67" s="706">
        <v>0</v>
      </c>
      <c r="R67" s="706">
        <v>0</v>
      </c>
      <c r="S67" s="706">
        <v>2520.52</v>
      </c>
      <c r="T67" s="706">
        <v>2520.52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1849.3499999999985</v>
      </c>
      <c r="AN67" s="905">
        <f>INDEX(G67:R67,1,MATCH(Parametres!$B$3,G$1:R$1,0))*IF(OR(F67="L",F67="S",F67="I"),-1,1)</f>
        <v>20164.18</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12964.28</v>
      </c>
      <c r="O68" s="706">
        <v>13578.11</v>
      </c>
      <c r="P68" s="706">
        <v>0</v>
      </c>
      <c r="Q68" s="706">
        <v>0</v>
      </c>
      <c r="R68" s="706">
        <v>0</v>
      </c>
      <c r="S68" s="706">
        <v>1620.54</v>
      </c>
      <c r="T68" s="706">
        <v>1620.54</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2841.9000000000015</v>
      </c>
      <c r="AN68" s="905">
        <f>INDEX(G68:R68,1,MATCH(Parametres!$B$3,G$1:R$1,0))*IF(OR(F68="L",F68="S",F68="I"),-1,1)</f>
        <v>12964.28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117114.98</v>
      </c>
      <c r="O71" s="706">
        <v>118055.59</v>
      </c>
      <c r="P71" s="706">
        <v>0</v>
      </c>
      <c r="Q71" s="706">
        <v>0</v>
      </c>
      <c r="R71" s="706">
        <v>0</v>
      </c>
      <c r="S71" s="706">
        <v>14639.37</v>
      </c>
      <c r="T71" s="706">
        <v>14639.37</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9070.929999999993</v>
      </c>
      <c r="AN71" s="905">
        <f>INDEX(G71:R71,1,MATCH(Parametres!$B$3,G$1:R$1,0))*IF(OR(F71="L",F71="S",F71="I"),-1,1)</f>
        <v>117114.98</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31086.5</v>
      </c>
      <c r="O73" s="706">
        <v>31566.959999999999</v>
      </c>
      <c r="P73" s="706">
        <v>0</v>
      </c>
      <c r="Q73" s="706">
        <v>0</v>
      </c>
      <c r="R73" s="706">
        <v>0</v>
      </c>
      <c r="S73" s="706">
        <v>3885.81</v>
      </c>
      <c r="T73" s="706">
        <v>3885.81</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6141.32</v>
      </c>
      <c r="AN73" s="905">
        <f>INDEX(G73:R73,1,MATCH(Parametres!$B$3,G$1:R$1,0))*IF(OR(F73="L",F73="S",F73="I"),-1,1)</f>
        <v>31086.5</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47662.12</v>
      </c>
      <c r="O74" s="706">
        <v>47989.53</v>
      </c>
      <c r="P74" s="706">
        <v>0</v>
      </c>
      <c r="Q74" s="706">
        <v>0</v>
      </c>
      <c r="R74" s="706">
        <v>0</v>
      </c>
      <c r="S74" s="706">
        <v>5957.77</v>
      </c>
      <c r="T74" s="706">
        <v>5957.77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-107.44999999999709</v>
      </c>
      <c r="AN74" s="905">
        <f>INDEX(G74:R74,1,MATCH(Parametres!$B$3,G$1:R$1,0))*IF(OR(F74="L",F74="S",F74="I"),-1,1)</f>
        <v>47662.12</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140540.87</v>
      </c>
      <c r="O75" s="706">
        <v>142844.35999999999</v>
      </c>
      <c r="P75" s="706">
        <v>0</v>
      </c>
      <c r="Q75" s="706">
        <v>0</v>
      </c>
      <c r="R75" s="706">
        <v>0</v>
      </c>
      <c r="S75" s="706">
        <v>17567.61</v>
      </c>
      <c r="T75" s="706">
        <v>17567.61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18011.47</v>
      </c>
      <c r="AN75" s="905">
        <f>INDEX(G75:R75,1,MATCH(Parametres!$B$3,G$1:R$1,0))*IF(OR(F75="L",F75="S",F75="I"),-1,1)</f>
        <v>140540.87</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45409.32</v>
      </c>
      <c r="O76" s="706">
        <v>46522.49</v>
      </c>
      <c r="P76" s="706">
        <v>0</v>
      </c>
      <c r="Q76" s="706">
        <v>0</v>
      </c>
      <c r="R76" s="706">
        <v>0</v>
      </c>
      <c r="S76" s="706">
        <v>5676.17</v>
      </c>
      <c r="T76" s="706">
        <v>5676.17</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5736.760000000002</v>
      </c>
      <c r="AN76" s="905">
        <f>INDEX(G76:R76,1,MATCH(Parametres!$B$3,G$1:R$1,0))*IF(OR(F76="L",F76="S",F76="I"),-1,1)</f>
        <v>45409.32</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26548.43</v>
      </c>
      <c r="O77" s="706">
        <v>26998.59</v>
      </c>
      <c r="P77" s="706">
        <v>0</v>
      </c>
      <c r="Q77" s="706">
        <v>0</v>
      </c>
      <c r="R77" s="706">
        <v>0</v>
      </c>
      <c r="S77" s="706">
        <v>3318.55</v>
      </c>
      <c r="T77" s="706">
        <v>3318.55</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3728.8300000000017</v>
      </c>
      <c r="AN77" s="905">
        <f>INDEX(G77:R77,1,MATCH(Parametres!$B$3,G$1:R$1,0))*IF(OR(F77="L",F77="S",F77="I"),-1,1)</f>
        <v>26548.43</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16050.38</v>
      </c>
      <c r="P78" s="706">
        <v>0</v>
      </c>
      <c r="Q78" s="706">
        <v>0</v>
      </c>
      <c r="R78" s="706">
        <v>0</v>
      </c>
      <c r="S78" s="706">
        <v>1869.33</v>
      </c>
      <c r="T78" s="706">
        <v>1869.33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4901.619999999999</v>
      </c>
      <c r="AN78" s="905">
        <f>INDEX(G78:R78,1,MATCH(Parametres!$B$3,G$1:R$1,0))*IF(OR(F78="L",F78="S",F78="I"),-1,1)</f>
        <v>14954.65</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28098.720000000001</v>
      </c>
      <c r="P81" s="706">
        <v>0</v>
      </c>
      <c r="Q81" s="706">
        <v>0</v>
      </c>
      <c r="R81" s="706">
        <v>0</v>
      </c>
      <c r="S81" s="706">
        <v>3484.54</v>
      </c>
      <c r="T81" s="706">
        <v>3484.54</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1221.5200000000004</v>
      </c>
      <c r="AN81" s="905">
        <f>INDEX(G81:R81,1,MATCH(Parametres!$B$3,G$1:R$1,0))*IF(OR(F81="L",F81="S",F81="I"),-1,1)</f>
        <v>27876.34</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18115.05</v>
      </c>
      <c r="P83" s="706">
        <v>0</v>
      </c>
      <c r="Q83" s="706">
        <v>0</v>
      </c>
      <c r="R83" s="706">
        <v>0</v>
      </c>
      <c r="S83" s="706">
        <v>2250.9699999999998</v>
      </c>
      <c r="T83" s="706">
        <v>2250.9699999999998</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599.45999999999913</v>
      </c>
      <c r="AN83" s="905">
        <f>INDEX(G83:R83,1,MATCH(Parametres!$B$3,G$1:R$1,0))*IF(OR(F83="L",F83="S",F83="I"),-1,1)</f>
        <v>18007.73</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8658.9699999999993</v>
      </c>
      <c r="P84" s="706">
        <v>0</v>
      </c>
      <c r="Q84" s="706">
        <v>0</v>
      </c>
      <c r="R84" s="706">
        <v>0</v>
      </c>
      <c r="S84" s="706">
        <v>1068.83</v>
      </c>
      <c r="T84" s="706">
        <v>1068.83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568.55000000000018</v>
      </c>
      <c r="AN84" s="905">
        <f>INDEX(G84:R84,1,MATCH(Parametres!$B$3,G$1:R$1,0))*IF(OR(F84="L",F84="S",F84="I"),-1,1)</f>
        <v>8550.67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56264.3</v>
      </c>
      <c r="O85" s="706">
        <v>56899.14</v>
      </c>
      <c r="P85" s="706">
        <v>0</v>
      </c>
      <c r="Q85" s="706">
        <v>0</v>
      </c>
      <c r="R85" s="706">
        <v>0</v>
      </c>
      <c r="S85" s="706">
        <v>7033.04</v>
      </c>
      <c r="T85" s="706">
        <v>7033.04</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2533.0500000000029</v>
      </c>
      <c r="AN85" s="905">
        <f>INDEX(G85:R85,1,MATCH(Parametres!$B$3,G$1:R$1,0))*IF(OR(F85="L",F85="S",F85="I"),-1,1)</f>
        <v>56264.3</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14244.46</v>
      </c>
      <c r="O86" s="706">
        <v>14360.13</v>
      </c>
      <c r="P86" s="706">
        <v>0</v>
      </c>
      <c r="Q86" s="706">
        <v>0</v>
      </c>
      <c r="R86" s="706">
        <v>0</v>
      </c>
      <c r="S86" s="706">
        <v>1780.56</v>
      </c>
      <c r="T86" s="706">
        <v>1780.56</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663.1299999999992</v>
      </c>
      <c r="AN86" s="905">
        <f>INDEX(G86:R86,1,MATCH(Parametres!$B$3,G$1:R$1,0))*IF(OR(F86="L",F86="S",F86="I"),-1,1)</f>
        <v>14244.46</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8025.18</v>
      </c>
      <c r="P87" s="706">
        <v>0</v>
      </c>
      <c r="Q87" s="706">
        <v>0</v>
      </c>
      <c r="R87" s="706">
        <v>0</v>
      </c>
      <c r="S87" s="706">
        <v>995.04</v>
      </c>
      <c r="T87" s="706">
        <v>995.04</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444.86999999999989</v>
      </c>
      <c r="AN87" s="905">
        <f>INDEX(G87:R87,1,MATCH(Parametres!$B$3,G$1:R$1,0))*IF(OR(F87="L",F87="S",F87="I"),-1,1)</f>
        <v>7960.34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3648.52</v>
      </c>
      <c r="P88" s="706">
        <v>0</v>
      </c>
      <c r="Q88" s="706">
        <v>0</v>
      </c>
      <c r="R88" s="706">
        <v>0</v>
      </c>
      <c r="S88" s="706">
        <v>424.59</v>
      </c>
      <c r="T88" s="706">
        <v>424.59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1280.1999999999998</v>
      </c>
      <c r="AN88" s="905">
        <f>INDEX(G88:R88,1,MATCH(Parametres!$B$3,G$1:R$1,0))*IF(OR(F88="L",F88="S",F88="I"),-1,1)</f>
        <v>3396.68</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21467.83</v>
      </c>
      <c r="P92" s="706">
        <v>0</v>
      </c>
      <c r="Q92" s="706">
        <v>0</v>
      </c>
      <c r="R92" s="706">
        <v>0</v>
      </c>
      <c r="S92" s="706">
        <v>2668.07</v>
      </c>
      <c r="T92" s="706">
        <v>2668.07</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3803.1699999999983</v>
      </c>
      <c r="AN92" s="905">
        <f>INDEX(G92:R92,1,MATCH(Parametres!$B$3,G$1:R$1,0))*IF(OR(F92="L",F92="S",F92="I"),-1,1)</f>
        <v>21344.57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13158.47</v>
      </c>
      <c r="P94" s="706">
        <v>0</v>
      </c>
      <c r="Q94" s="706">
        <v>0</v>
      </c>
      <c r="R94" s="706">
        <v>0</v>
      </c>
      <c r="S94" s="706">
        <v>1637.37</v>
      </c>
      <c r="T94" s="706">
        <v>1637.37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2602.66</v>
      </c>
      <c r="AN94" s="905">
        <f>INDEX(G94:R94,1,MATCH(Parametres!$B$3,G$1:R$1,0))*IF(OR(F94="L",F94="S",F94="I"),-1,1)</f>
        <v>13098.98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1112.26</v>
      </c>
      <c r="P95" s="706">
        <v>0</v>
      </c>
      <c r="Q95" s="706">
        <v>0</v>
      </c>
      <c r="R95" s="706">
        <v>0</v>
      </c>
      <c r="S95" s="706">
        <v>131.87</v>
      </c>
      <c r="T95" s="706">
        <v>131.87</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290.33000000000004</v>
      </c>
      <c r="AN95" s="905">
        <f>INDEX(G95:R95,1,MATCH(Parametres!$B$3,G$1:R$1,0))*IF(OR(F95="L",F95="S",F95="I"),-1,1)</f>
        <v>1054.98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27267.19</v>
      </c>
      <c r="P96" s="706">
        <v>0</v>
      </c>
      <c r="Q96" s="706">
        <v>0</v>
      </c>
      <c r="R96" s="706">
        <v>0</v>
      </c>
      <c r="S96" s="706">
        <v>3371.22</v>
      </c>
      <c r="T96" s="706">
        <v>3371.22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4646.7799999999988</v>
      </c>
      <c r="AN96" s="905">
        <f>INDEX(G96:R96,1,MATCH(Parametres!$B$3,G$1:R$1,0))*IF(OR(F96="L",F96="S",F96="I"),-1,1)</f>
        <v>26969.75</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8148.23</v>
      </c>
      <c r="P97" s="706">
        <v>0</v>
      </c>
      <c r="Q97" s="706">
        <v>0</v>
      </c>
      <c r="R97" s="706">
        <v>0</v>
      </c>
      <c r="S97" s="706">
        <v>1000.61</v>
      </c>
      <c r="T97" s="706">
        <v>1000.61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1655.21</v>
      </c>
      <c r="AN97" s="905">
        <f>INDEX(G97:R97,1,MATCH(Parametres!$B$3,G$1:R$1,0))*IF(OR(F97="L",F97="S",F97="I"),-1,1)</f>
        <v>8004.87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7548.31</v>
      </c>
      <c r="O98" s="706">
        <v>7605.39</v>
      </c>
      <c r="P98" s="706">
        <v>0</v>
      </c>
      <c r="Q98" s="706">
        <v>0</v>
      </c>
      <c r="R98" s="706">
        <v>0</v>
      </c>
      <c r="S98" s="706">
        <v>943.54</v>
      </c>
      <c r="T98" s="706">
        <v>943.54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1388.9700000000003</v>
      </c>
      <c r="AN98" s="905">
        <f>INDEX(G98:R98,1,MATCH(Parametres!$B$3,G$1:R$1,0))*IF(OR(F98="L",F98="S",F98="I"),-1,1)</f>
        <v>7548.31</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1982.07</v>
      </c>
      <c r="O99" s="706">
        <v>2126.1799999999998</v>
      </c>
      <c r="P99" s="706">
        <v>0</v>
      </c>
      <c r="Q99" s="706">
        <v>0</v>
      </c>
      <c r="R99" s="706">
        <v>0</v>
      </c>
      <c r="S99" s="706">
        <v>247.76</v>
      </c>
      <c r="T99" s="706">
        <v>247.76</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647.62999999999988</v>
      </c>
      <c r="AN99" s="905">
        <f>INDEX(G99:R99,1,MATCH(Parametres!$B$3,G$1:R$1,0))*IF(OR(F99="L",F99="S",F99="I"),-1,1)</f>
        <v>1982.07</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14725.39</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10186.48</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9718.14</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3221.77</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9379.32</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83024.460000000006</v>
      </c>
      <c r="O109" s="706">
        <v>82952.460000000006</v>
      </c>
      <c r="P109" s="706">
        <v>0</v>
      </c>
      <c r="Q109" s="706">
        <v>0</v>
      </c>
      <c r="R109" s="706">
        <v>0</v>
      </c>
      <c r="S109" s="706">
        <v>10378.06</v>
      </c>
      <c r="T109" s="706">
        <v>10378.06</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5493.0900000000111</v>
      </c>
      <c r="AN109" s="905">
        <f>INDEX(G109:R109,1,MATCH(Parametres!$B$3,G$1:R$1,0))*IF(OR(F109="L",F109="S",F109="I"),-1,1)</f>
        <v>83024.460000000006</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42725.65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928.02</v>
      </c>
      <c r="O113" s="706">
        <v>-3023.98</v>
      </c>
      <c r="P113" s="706">
        <v>0</v>
      </c>
      <c r="Q113" s="706">
        <v>0</v>
      </c>
      <c r="R113" s="706">
        <v>0</v>
      </c>
      <c r="S113" s="706">
        <v>116</v>
      </c>
      <c r="T113" s="706">
        <v>116</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1851.8899999999999</v>
      </c>
      <c r="AN113" s="905">
        <f>INDEX(G113:R113,1,MATCH(Parametres!$B$3,G$1:R$1,0))*IF(OR(F113="L",F113="S",F113="I"),-1,1)</f>
        <v>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10517.38</v>
      </c>
      <c r="O124" s="706">
        <v>10517.38</v>
      </c>
      <c r="P124" s="706">
        <v>0</v>
      </c>
      <c r="Q124" s="706">
        <v>0</v>
      </c>
      <c r="R124" s="706">
        <v>0</v>
      </c>
      <c r="S124" s="706">
        <v>1314.67</v>
      </c>
      <c r="T124" s="706">
        <v>1314.67</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551.54999999999927</v>
      </c>
      <c r="AN124" s="905">
        <f>INDEX(G124:R124,1,MATCH(Parametres!$B$3,G$1:R$1,0))*IF(OR(F124="L",F124="S",F124="I"),-1,1)</f>
        <v>10517.38</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7446.7</v>
      </c>
      <c r="O125" s="706">
        <v>7499.2</v>
      </c>
      <c r="P125" s="706">
        <v>0</v>
      </c>
      <c r="Q125" s="706">
        <v>0</v>
      </c>
      <c r="R125" s="706">
        <v>0</v>
      </c>
      <c r="S125" s="706">
        <v>930.84</v>
      </c>
      <c r="T125" s="706">
        <v>930.84</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443.51999999999953</v>
      </c>
      <c r="AN125" s="905">
        <f>INDEX(G125:R125,1,MATCH(Parametres!$B$3,G$1:R$1,0))*IF(OR(F125="L",F125="S",F125="I"),-1,1)</f>
        <v>7446.7</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10515.83</v>
      </c>
      <c r="O127" s="706">
        <v>10515.83</v>
      </c>
      <c r="P127" s="706">
        <v>0</v>
      </c>
      <c r="Q127" s="706">
        <v>0</v>
      </c>
      <c r="R127" s="706">
        <v>0</v>
      </c>
      <c r="S127" s="706">
        <v>1314.48</v>
      </c>
      <c r="T127" s="706">
        <v>1314.48</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552.35000000000036</v>
      </c>
      <c r="AN127" s="905">
        <f>INDEX(G127:R127,1,MATCH(Parametres!$B$3,G$1:R$1,0))*IF(OR(F127="L",F127="S",F127="I"),-1,1)</f>
        <v>10515.83</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3445.15</v>
      </c>
      <c r="O128" s="706">
        <v>3445.15</v>
      </c>
      <c r="P128" s="706">
        <v>0</v>
      </c>
      <c r="Q128" s="706">
        <v>0</v>
      </c>
      <c r="R128" s="706">
        <v>0</v>
      </c>
      <c r="S128" s="706">
        <v>430.64</v>
      </c>
      <c r="T128" s="706">
        <v>430.64</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178.01999999999998</v>
      </c>
      <c r="AN128" s="905">
        <f>INDEX(G128:R128,1,MATCH(Parametres!$B$3,G$1:R$1,0))*IF(OR(F128="L",F128="S",F128="I"),-1,1)</f>
        <v>3445.15</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3445.02</v>
      </c>
      <c r="O129" s="706">
        <v>3445.02</v>
      </c>
      <c r="P129" s="706">
        <v>0</v>
      </c>
      <c r="Q129" s="706">
        <v>0</v>
      </c>
      <c r="R129" s="706">
        <v>0</v>
      </c>
      <c r="S129" s="706">
        <v>430.63</v>
      </c>
      <c r="T129" s="706">
        <v>430.63</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177.98999999999978</v>
      </c>
      <c r="AN129" s="905">
        <f>INDEX(G129:R129,1,MATCH(Parametres!$B$3,G$1:R$1,0))*IF(OR(F129="L",F129="S",F129="I"),-1,1)</f>
        <v>3445.02</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1307.99</v>
      </c>
      <c r="O134" s="706">
        <v>2356.46</v>
      </c>
      <c r="P134" s="706">
        <v>0</v>
      </c>
      <c r="Q134" s="706">
        <v>0</v>
      </c>
      <c r="R134" s="706">
        <v>0</v>
      </c>
      <c r="S134" s="706">
        <v>163.5</v>
      </c>
      <c r="T134" s="706">
        <v>163.5</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1307.99</v>
      </c>
      <c r="AN134" s="905">
        <f>INDEX(G134:R134,1,MATCH(Parametres!$B$3,G$1:R$1,0))*IF(OR(F134="L",F134="S",F134="I"),-1,1)</f>
        <v>1307.99</v>
      </c>
      <c r="AO134" s="487" t="str">
        <f>+VLOOKUP($AJ134,Data_Validation!$A:$D,1,0)</f>
        <v>G0594</v>
      </c>
      <c r="AP134" s="487" t="str">
        <f>+VLOOKUP($AJ134,Data_Validation!$A:$D,3,0)</f>
        <v>Service</v>
      </c>
      <c r="AQ134" s="487" t="str">
        <f>+VLOOKUP($AJ134,Data_Validation!$A:$D,4,0)</f>
        <v>Uniformes</v>
      </c>
      <c r="AR134" s="487" t="s">
        <v>299</v>
      </c>
      <c r="AS134" s="487">
        <f>+VLOOKUP($AJ134,Data_Validation!$A:$E,5,0)</f>
        <v>0</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f>+VLOOKUP($AJ134,Data_Validation!$A:$E,5,0)</f>
        <v>0</v>
      </c>
    </row>
    <row r="135" spans="1:52" ht="15.75"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438.31</v>
      </c>
      <c r="O135" s="706">
        <v>684.94</v>
      </c>
      <c r="P135" s="706">
        <v>0</v>
      </c>
      <c r="Q135" s="706">
        <v>0</v>
      </c>
      <c r="R135" s="706">
        <v>0</v>
      </c>
      <c r="S135" s="706">
        <v>54.79</v>
      </c>
      <c r="T135" s="706">
        <v>54.79</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438.31</v>
      </c>
      <c r="AN135" s="905">
        <f>INDEX(G135:R135,1,MATCH(Parametres!$B$3,G$1:R$1,0))*IF(OR(F135="L",F135="S",F135="I"),-1,1)</f>
        <v>438.31</v>
      </c>
      <c r="AO135" s="487" t="str">
        <f>+VLOOKUP($AJ135,Data_Validation!$A:$D,1,0)</f>
        <v>G0595</v>
      </c>
      <c r="AP135" s="487" t="str">
        <f>+VLOOKUP($AJ135,Data_Validation!$A:$D,3,0)</f>
        <v>Carrosserie</v>
      </c>
      <c r="AQ135" s="487" t="str">
        <f>+VLOOKUP($AJ135,Data_Validation!$A:$D,4,0)</f>
        <v>Uniformes</v>
      </c>
      <c r="AR135" s="487" t="s">
        <v>299</v>
      </c>
      <c r="AS135" s="487">
        <f>+VLOOKUP($AJ135,Data_Validation!$A:$E,5,0)</f>
        <v>0</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f>+VLOOKUP($AJ135,Data_Validation!$A:$E,5,0)</f>
        <v>0</v>
      </c>
    </row>
    <row r="136" spans="1:52" ht="15"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435.59</v>
      </c>
      <c r="O137" s="706">
        <v>762.26</v>
      </c>
      <c r="P137" s="706">
        <v>0</v>
      </c>
      <c r="Q137" s="706">
        <v>0</v>
      </c>
      <c r="R137" s="706">
        <v>0</v>
      </c>
      <c r="S137" s="706">
        <v>54.45</v>
      </c>
      <c r="T137" s="706">
        <v>54.45</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435.59</v>
      </c>
      <c r="AN137" s="905">
        <f>INDEX(G137:R137,1,MATCH(Parametres!$B$3,G$1:R$1,0))*IF(OR(F137="L",F137="S",F137="I"),-1,1)</f>
        <v>435.59</v>
      </c>
      <c r="AO137" s="487" t="str">
        <f>+VLOOKUP($AJ137,Data_Validation!$A:$D,1,0)</f>
        <v>G0597</v>
      </c>
      <c r="AP137" s="487" t="str">
        <f>+VLOOKUP($AJ137,Data_Validation!$A:$D,3,0)</f>
        <v>SAAQ</v>
      </c>
      <c r="AQ137" s="487" t="str">
        <f>+VLOOKUP($AJ137,Data_Validation!$A:$D,4,0)</f>
        <v>Uniformes</v>
      </c>
      <c r="AR137" s="487" t="s">
        <v>299</v>
      </c>
      <c r="AS137" s="487">
        <f>+VLOOKUP($AJ137,Data_Validation!$A:$E,5,0)</f>
        <v>0</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f>+VLOOKUP($AJ137,Data_Validation!$A:$E,5,0)</f>
        <v>0</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16973.03</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6395.28</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11864.18</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3520.91</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3755.18</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3958.62</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1362.79</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44759.8</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85396.41</v>
      </c>
      <c r="O150" s="706">
        <v>89185.12</v>
      </c>
      <c r="P150" s="706">
        <v>0</v>
      </c>
      <c r="Q150" s="706">
        <v>0</v>
      </c>
      <c r="R150" s="706">
        <v>0</v>
      </c>
      <c r="S150" s="706">
        <v>10674.55</v>
      </c>
      <c r="T150" s="706">
        <v>10674.55</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6492.9900000000052</v>
      </c>
      <c r="AN150" s="905">
        <f>INDEX(G150:R150,1,MATCH(Parametres!$B$3,G$1:R$1,0))*IF(OR(F150="L",F150="S",F150="I"),-1,1)</f>
        <v>85396.41</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1696.99</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12983.85</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7948.64</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6210.5</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91268.2</v>
      </c>
      <c r="O168" s="706">
        <v>96990.63</v>
      </c>
      <c r="P168" s="706">
        <v>0</v>
      </c>
      <c r="Q168" s="706">
        <v>0</v>
      </c>
      <c r="R168" s="706">
        <v>0</v>
      </c>
      <c r="S168" s="706">
        <v>11408.53</v>
      </c>
      <c r="T168" s="706">
        <v>11408.53</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11008.059999999998</v>
      </c>
      <c r="AN168" s="905">
        <f>INDEX(G168:R168,1,MATCH(Parametres!$B$3,G$1:R$1,0))*IF(OR(F168="L",F168="S",F168="I"),-1,1)</f>
        <v>91268.2</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67348.27</v>
      </c>
      <c r="O169" s="706">
        <v>77249.820000000007</v>
      </c>
      <c r="P169" s="706">
        <v>0</v>
      </c>
      <c r="Q169" s="706">
        <v>0</v>
      </c>
      <c r="R169" s="706">
        <v>0</v>
      </c>
      <c r="S169" s="706">
        <v>8418.5300000000007</v>
      </c>
      <c r="T169" s="706">
        <v>8418.5300000000007</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5183.7200000000012</v>
      </c>
      <c r="AN169" s="905">
        <f>INDEX(G169:R169,1,MATCH(Parametres!$B$3,G$1:R$1,0))*IF(OR(F169="L",F169="S",F169="I"),-1,1)</f>
        <v>67348.27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13140.27</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27331.57</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12584.57</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27257.03</v>
      </c>
      <c r="O185" s="706">
        <v>28758.35</v>
      </c>
      <c r="P185" s="706">
        <v>0</v>
      </c>
      <c r="Q185" s="706">
        <v>0</v>
      </c>
      <c r="R185" s="706">
        <v>0</v>
      </c>
      <c r="S185" s="706">
        <v>3407.13</v>
      </c>
      <c r="T185" s="706">
        <v>3407.13</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4814.8299999999981</v>
      </c>
      <c r="AN185" s="905">
        <f>INDEX(G185:R185,1,MATCH(Parametres!$B$3,G$1:R$1,0))*IF(OR(F185="L",F185="S",F185="I"),-1,1)</f>
        <v>27257.03</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12223.18</v>
      </c>
      <c r="O186" s="706">
        <v>13039.39</v>
      </c>
      <c r="P186" s="706">
        <v>0</v>
      </c>
      <c r="Q186" s="706">
        <v>0</v>
      </c>
      <c r="R186" s="706">
        <v>0</v>
      </c>
      <c r="S186" s="706">
        <v>1527.9</v>
      </c>
      <c r="T186" s="706">
        <v>1527.9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2309.1100000000006</v>
      </c>
      <c r="AN186" s="905">
        <f>INDEX(G186:R186,1,MATCH(Parametres!$B$3,G$1:R$1,0))*IF(OR(F186="L",F186="S",F186="I"),-1,1)</f>
        <v>12223.18</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23887.06</v>
      </c>
      <c r="O188" s="706">
        <v>25841.38</v>
      </c>
      <c r="P188" s="706">
        <v>0</v>
      </c>
      <c r="Q188" s="706">
        <v>0</v>
      </c>
      <c r="R188" s="706">
        <v>0</v>
      </c>
      <c r="S188" s="706">
        <v>2985.88</v>
      </c>
      <c r="T188" s="706">
        <v>2985.88</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3118.8300000000017</v>
      </c>
      <c r="AN188" s="905">
        <f>INDEX(G188:R188,1,MATCH(Parametres!$B$3,G$1:R$1,0))*IF(OR(F188="L",F188="S",F188="I"),-1,1)</f>
        <v>23887.06</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16390.080000000002</v>
      </c>
      <c r="O189" s="706">
        <v>19905.099999999999</v>
      </c>
      <c r="P189" s="706">
        <v>0</v>
      </c>
      <c r="Q189" s="706">
        <v>0</v>
      </c>
      <c r="R189" s="706">
        <v>0</v>
      </c>
      <c r="S189" s="706">
        <v>2048.7600000000002</v>
      </c>
      <c r="T189" s="706">
        <v>2048.7600000000002</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1879.2800000000025</v>
      </c>
      <c r="AN189" s="905">
        <f>INDEX(G189:R189,1,MATCH(Parametres!$B$3,G$1:R$1,0))*IF(OR(F189="L",F189="S",F189="I"),-1,1)</f>
        <v>16390.080000000002</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16040.27</v>
      </c>
      <c r="O190" s="706">
        <v>17474.689999999999</v>
      </c>
      <c r="P190" s="706">
        <v>0</v>
      </c>
      <c r="Q190" s="706">
        <v>0</v>
      </c>
      <c r="R190" s="706">
        <v>0</v>
      </c>
      <c r="S190" s="706">
        <v>2005.03</v>
      </c>
      <c r="T190" s="706">
        <v>2005.03</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1981.5600000000013</v>
      </c>
      <c r="AN190" s="905">
        <f>INDEX(G190:R190,1,MATCH(Parametres!$B$3,G$1:R$1,0))*IF(OR(F190="L",F190="S",F190="I"),-1,1)</f>
        <v>16040.27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30961.360000000001</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16133.82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75732.479999999996</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14982.04</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10320.09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20531.78</v>
      </c>
      <c r="O204" s="706">
        <v>20567.66</v>
      </c>
      <c r="P204" s="706">
        <v>0</v>
      </c>
      <c r="Q204" s="706">
        <v>0</v>
      </c>
      <c r="R204" s="706">
        <v>0</v>
      </c>
      <c r="S204" s="706">
        <v>2566.4699999999998</v>
      </c>
      <c r="T204" s="706">
        <v>2566.4699999999998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859.64999999999782</v>
      </c>
      <c r="AN204" s="905">
        <f>INDEX(G204:R204,1,MATCH(Parametres!$B$3,G$1:R$1,0))*IF(OR(F204="L",F204="S",F204="I"),-1,1)</f>
        <v>20531.78</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13623.83</v>
      </c>
      <c r="O206" s="706">
        <v>13647.77</v>
      </c>
      <c r="P206" s="706">
        <v>0</v>
      </c>
      <c r="Q206" s="706">
        <v>0</v>
      </c>
      <c r="R206" s="706">
        <v>0</v>
      </c>
      <c r="S206" s="706">
        <v>1702.98</v>
      </c>
      <c r="T206" s="706">
        <v>1702.98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557.3799999999992</v>
      </c>
      <c r="AN206" s="905">
        <f>INDEX(G206:R206,1,MATCH(Parametres!$B$3,G$1:R$1,0))*IF(OR(F206="L",F206="S",F206="I"),-1,1)</f>
        <v>13623.83</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20561.84</v>
      </c>
      <c r="O210" s="706">
        <v>20597.72</v>
      </c>
      <c r="P210" s="706">
        <v>0</v>
      </c>
      <c r="Q210" s="706">
        <v>0</v>
      </c>
      <c r="R210" s="706">
        <v>0</v>
      </c>
      <c r="S210" s="706">
        <v>2570.23</v>
      </c>
      <c r="T210" s="706">
        <v>2570.23</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836.06999999999971</v>
      </c>
      <c r="AN210" s="905">
        <f>INDEX(G210:R210,1,MATCH(Parametres!$B$3,G$1:R$1,0))*IF(OR(F210="L",F210="S",F210="I"),-1,1)</f>
        <v>20561.84</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6811.93</v>
      </c>
      <c r="O212" s="706">
        <v>6823.89</v>
      </c>
      <c r="P212" s="706">
        <v>0</v>
      </c>
      <c r="Q212" s="706">
        <v>0</v>
      </c>
      <c r="R212" s="706">
        <v>0</v>
      </c>
      <c r="S212" s="706">
        <v>851.49</v>
      </c>
      <c r="T212" s="706">
        <v>851.49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278.69000000000051</v>
      </c>
      <c r="AN212" s="905">
        <f>INDEX(G212:R212,1,MATCH(Parametres!$B$3,G$1:R$1,0))*IF(OR(F212="L",F212="S",F212="I"),-1,1)</f>
        <v>6811.93</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6811.94</v>
      </c>
      <c r="O214" s="706">
        <v>6823.9</v>
      </c>
      <c r="P214" s="706">
        <v>0</v>
      </c>
      <c r="Q214" s="706">
        <v>0</v>
      </c>
      <c r="R214" s="706">
        <v>0</v>
      </c>
      <c r="S214" s="706">
        <v>851.49</v>
      </c>
      <c r="T214" s="706">
        <v>851.49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278.6899999999996</v>
      </c>
      <c r="AN214" s="905">
        <f>INDEX(G214:R214,1,MATCH(Parametres!$B$3,G$1:R$1,0))*IF(OR(F214="L",F214="S",F214="I"),-1,1)</f>
        <v>6811.94</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17789.240000000002</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12777.02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6253.67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13227.82</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4789.62</v>
      </c>
      <c r="O231" s="706">
        <v>5226.5</v>
      </c>
      <c r="P231" s="706">
        <v>0</v>
      </c>
      <c r="Q231" s="706">
        <v>0</v>
      </c>
      <c r="R231" s="706">
        <v>0</v>
      </c>
      <c r="S231" s="706">
        <v>598.70000000000005</v>
      </c>
      <c r="T231" s="706">
        <v>598.70000000000005</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672.34999999999945</v>
      </c>
      <c r="AN231" s="905">
        <f>INDEX(G231:R231,1,MATCH(Parametres!$B$3,G$1:R$1,0))*IF(OR(F231="L",F231="S",F231="I"),-1,1)</f>
        <v>4789.62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2770.74</v>
      </c>
      <c r="O232" s="706">
        <v>3061.99</v>
      </c>
      <c r="P232" s="706">
        <v>0</v>
      </c>
      <c r="Q232" s="706">
        <v>0</v>
      </c>
      <c r="R232" s="706">
        <v>0</v>
      </c>
      <c r="S232" s="706">
        <v>346.34</v>
      </c>
      <c r="T232" s="706">
        <v>346.34</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448.22999999999956</v>
      </c>
      <c r="AN232" s="905">
        <f>INDEX(G232:R232,1,MATCH(Parametres!$B$3,G$1:R$1,0))*IF(OR(F232="L",F232="S",F232="I"),-1,1)</f>
        <v>2770.74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4510.99</v>
      </c>
      <c r="O234" s="706">
        <v>4975.37</v>
      </c>
      <c r="P234" s="706">
        <v>0</v>
      </c>
      <c r="Q234" s="706">
        <v>0</v>
      </c>
      <c r="R234" s="706">
        <v>0</v>
      </c>
      <c r="S234" s="706">
        <v>563.87</v>
      </c>
      <c r="T234" s="706">
        <v>563.87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727.34999999999991</v>
      </c>
      <c r="AN234" s="905">
        <f>INDEX(G234:R234,1,MATCH(Parametres!$B$3,G$1:R$1,0))*IF(OR(F234="L",F234="S",F234="I"),-1,1)</f>
        <v>4510.99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1385.39</v>
      </c>
      <c r="O235" s="706">
        <v>1889.02</v>
      </c>
      <c r="P235" s="706">
        <v>0</v>
      </c>
      <c r="Q235" s="706">
        <v>0</v>
      </c>
      <c r="R235" s="706">
        <v>0</v>
      </c>
      <c r="S235" s="706">
        <v>173.17</v>
      </c>
      <c r="T235" s="706">
        <v>173.17</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224.12000000000012</v>
      </c>
      <c r="AN235" s="905">
        <f>INDEX(G235:R235,1,MATCH(Parametres!$B$3,G$1:R$1,0))*IF(OR(F235="L",F235="S",F235="I"),-1,1)</f>
        <v>1385.39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1385.3</v>
      </c>
      <c r="O236" s="706">
        <v>1530.92</v>
      </c>
      <c r="P236" s="706">
        <v>0</v>
      </c>
      <c r="Q236" s="706">
        <v>0</v>
      </c>
      <c r="R236" s="706">
        <v>0</v>
      </c>
      <c r="S236" s="706">
        <v>173.16</v>
      </c>
      <c r="T236" s="706">
        <v>173.16</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224.08999999999992</v>
      </c>
      <c r="AN236" s="905">
        <f>INDEX(G236:R236,1,MATCH(Parametres!$B$3,G$1:R$1,0))*IF(OR(F236="L",F236="S",F236="I"),-1,1)</f>
        <v>1385.3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14509.97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2816.4</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449168.84</v>
      </c>
      <c r="O246" s="706">
        <v>445674.36</v>
      </c>
      <c r="P246" s="706">
        <v>0</v>
      </c>
      <c r="Q246" s="706">
        <v>0</v>
      </c>
      <c r="R246" s="706">
        <v>0</v>
      </c>
      <c r="S246" s="706">
        <v>56146.11</v>
      </c>
      <c r="T246" s="706">
        <v>56146.11</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26524.73000000004</v>
      </c>
      <c r="AN246" s="905">
        <f>INDEX(G246:R246,1,MATCH(Parametres!$B$3,G$1:R$1,0))*IF(OR(F246="L",F246="S",F246="I"),-1,1)</f>
        <v>449168.84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215114</v>
      </c>
      <c r="O247" s="706">
        <v>212864</v>
      </c>
      <c r="P247" s="706">
        <v>0</v>
      </c>
      <c r="Q247" s="706">
        <v>0</v>
      </c>
      <c r="R247" s="706">
        <v>0</v>
      </c>
      <c r="S247" s="706">
        <v>26889.25</v>
      </c>
      <c r="T247" s="706">
        <v>26889.25</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6068.5199999999895</v>
      </c>
      <c r="AN247" s="905">
        <f>INDEX(G247:R247,1,MATCH(Parametres!$B$3,G$1:R$1,0))*IF(OR(F247="L",F247="S",F247="I"),-1,1)</f>
        <v>215114</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171325.95</v>
      </c>
      <c r="P248" s="706">
        <v>0</v>
      </c>
      <c r="Q248" s="706">
        <v>0</v>
      </c>
      <c r="R248" s="706">
        <v>0</v>
      </c>
      <c r="S248" s="706">
        <v>21415.74</v>
      </c>
      <c r="T248" s="706">
        <v>21415.74</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11260.400000000023</v>
      </c>
      <c r="AN248" s="905">
        <f>INDEX(G248:R248,1,MATCH(Parametres!$B$3,G$1:R$1,0))*IF(OR(F248="L",F248="S",F248="I"),-1,1)</f>
        <v>171325.95</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10471.67</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6129.68</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3803.97</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3064.9</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3085.03</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2826.45</v>
      </c>
      <c r="P259" s="706">
        <v>0</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191835.44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127890.3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191835.44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63945.15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63945.15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25358.37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16385.09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31496.81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13397.49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10293.469999999999</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3436</v>
      </c>
      <c r="D291" s="706" t="s">
        <v>3437</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14774.13</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3431</v>
      </c>
      <c r="D335" s="706" t="s">
        <v>3432</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2343.52</v>
      </c>
      <c r="O343" s="706">
        <v>2343.52</v>
      </c>
      <c r="P343" s="706">
        <v>0</v>
      </c>
      <c r="Q343" s="706">
        <v>0</v>
      </c>
      <c r="R343" s="706">
        <v>0</v>
      </c>
      <c r="S343" s="706">
        <v>292.94</v>
      </c>
      <c r="T343" s="706">
        <v>292.94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1019.4200000000001</v>
      </c>
      <c r="AN343" s="905">
        <f>INDEX(G343:R343,1,MATCH(Parametres!$B$3,G$1:R$1,0))*IF(OR(F343="L",F343="S",F343="I"),-1,1)</f>
        <v>2343.52</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1066.79</v>
      </c>
      <c r="O344" s="706">
        <v>1066.79</v>
      </c>
      <c r="P344" s="706">
        <v>0</v>
      </c>
      <c r="Q344" s="706">
        <v>0</v>
      </c>
      <c r="R344" s="706">
        <v>0</v>
      </c>
      <c r="S344" s="706">
        <v>133.35</v>
      </c>
      <c r="T344" s="706">
        <v>133.35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665.79</v>
      </c>
      <c r="AN344" s="905">
        <f>INDEX(G344:R344,1,MATCH(Parametres!$B$3,G$1:R$1,0))*IF(OR(F344="L",F344="S",F344="I"),-1,1)</f>
        <v>1066.79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6434.55</v>
      </c>
      <c r="O345" s="706">
        <v>6892.91</v>
      </c>
      <c r="P345" s="706">
        <v>0</v>
      </c>
      <c r="Q345" s="706">
        <v>0</v>
      </c>
      <c r="R345" s="706">
        <v>0</v>
      </c>
      <c r="S345" s="706">
        <v>804.32</v>
      </c>
      <c r="T345" s="706">
        <v>804.32</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1470.5700000000006</v>
      </c>
      <c r="AN345" s="905">
        <f>INDEX(G345:R345,1,MATCH(Parametres!$B$3,G$1:R$1,0))*IF(OR(F345="L",F345="S",F345="I"),-1,1)</f>
        <v>6434.55</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707.45</v>
      </c>
      <c r="O346" s="706">
        <v>707.45</v>
      </c>
      <c r="P346" s="706">
        <v>0</v>
      </c>
      <c r="Q346" s="706">
        <v>0</v>
      </c>
      <c r="R346" s="706">
        <v>0</v>
      </c>
      <c r="S346" s="706">
        <v>88.43</v>
      </c>
      <c r="T346" s="706">
        <v>88.43</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321.65000000000003</v>
      </c>
      <c r="AN346" s="905">
        <f>INDEX(G346:R346,1,MATCH(Parametres!$B$3,G$1:R$1,0))*IF(OR(F346="L",F346="S",F346="I"),-1,1)</f>
        <v>707.45</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561.07000000000005</v>
      </c>
      <c r="O347" s="706">
        <v>569.32000000000005</v>
      </c>
      <c r="P347" s="706">
        <v>0</v>
      </c>
      <c r="Q347" s="706">
        <v>0</v>
      </c>
      <c r="R347" s="706">
        <v>0</v>
      </c>
      <c r="S347" s="706">
        <v>70.13</v>
      </c>
      <c r="T347" s="706">
        <v>70.13</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329.15000000000009</v>
      </c>
      <c r="AN347" s="905">
        <f>INDEX(G347:R347,1,MATCH(Parametres!$B$3,G$1:R$1,0))*IF(OR(F347="L",F347="S",F347="I"),-1,1)</f>
        <v>561.07000000000005</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697988.51</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1195606.8400000001</v>
      </c>
      <c r="AN356" s="905">
        <f>INDEX(G356:R356,1,MATCH(Parametres!$B$3,G$1:R$1,0))*IF(OR(F356="L",F356="S",F356="I"),-1,1)</f>
        <v>2352206.81</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175765.15</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-88833.229999999981</v>
      </c>
      <c r="AN363" s="905">
        <f>INDEX(G363:R363,1,MATCH(Parametres!$B$3,G$1:R$1,0))*IF(OR(F363="L",F363="S",F363="I"),-1,1)</f>
        <v>570763.31000000006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29206.53</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-9452.35</v>
      </c>
      <c r="AN367" s="905">
        <f>INDEX(G367:R367,1,MATCH(Parametres!$B$3,G$1:R$1,0))*IF(OR(F367="L",F367="S",F367="I"),-1,1)</f>
        <v>-4958.7700000000004</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476513.35</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-7174.7200000000303</v>
      </c>
      <c r="AN369" s="905">
        <f>INDEX(G369:R369,1,MATCH(Parametres!$B$3,G$1:R$1,0))*IF(OR(F369="L",F369="S",F369="I"),-1,1)</f>
        <v>506847.22</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-4490.26</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-51481.220000000008</v>
      </c>
      <c r="AN370" s="905">
        <f>INDEX(G370:R370,1,MATCH(Parametres!$B$3,G$1:R$1,0))*IF(OR(F370="L",F370="S",F370="I"),-1,1)</f>
        <v>-91273.1</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17323.61</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64335.040000000001</v>
      </c>
      <c r="O373" s="706">
        <v>103565.91</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-2626.4200000000055</v>
      </c>
      <c r="AN373" s="905">
        <f>INDEX(G373:R373,1,MATCH(Parametres!$B$3,G$1:R$1,0))*IF(OR(F373="L",F373="S",F373="I"),-1,1)</f>
        <v>64335.040000000001</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536698.49</v>
      </c>
      <c r="O374" s="706">
        <v>1006128.63</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-292735.69999999995</v>
      </c>
      <c r="AN374" s="905">
        <f>INDEX(G374:R374,1,MATCH(Parametres!$B$3,G$1:R$1,0))*IF(OR(F374="L",F374="S",F374="I"),-1,1)</f>
        <v>536698.49</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20289.849999999999</v>
      </c>
      <c r="O375" s="706">
        <v>20169.63</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1257.5599999999977</v>
      </c>
      <c r="AN375" s="905">
        <f>INDEX(G375:R375,1,MATCH(Parametres!$B$3,G$1:R$1,0))*IF(OR(F375="L",F375="S",F375="I"),-1,1)</f>
        <v>20289.849999999999</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-36798.94</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447211.82</v>
      </c>
      <c r="O377" s="706">
        <v>183512.55</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392263.06</v>
      </c>
      <c r="AN377" s="905">
        <f>INDEX(G377:R377,1,MATCH(Parametres!$B$3,G$1:R$1,0))*IF(OR(F377="L",F377="S",F377="I"),-1,1)</f>
        <v>447211.82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161235.31</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184701.51</v>
      </c>
      <c r="O380" s="706">
        <v>254052.42</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524757.80000000005</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28370</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632708.05000000005</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457490.63</v>
      </c>
      <c r="AN390" s="905">
        <f>INDEX(G390:R390,1,MATCH(Parametres!$B$3,G$1:R$1,0))*IF(OR(F390="L",F390="S",F390="I"),-1,1)</f>
        <v>994793.66</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0.03</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15936608.33</v>
      </c>
      <c r="O426" s="706">
        <v>15931325.689999999</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-1617168.6599999983</v>
      </c>
      <c r="AN426" s="905">
        <f>INDEX(G426:R426,1,MATCH(Parametres!$B$3,G$1:R$1,0))*IF(OR(F426="L",F426="S",F426="I"),-1,1)</f>
        <v>15936608.33</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215485.52</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2276487.92</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612927.80000000005</v>
      </c>
      <c r="O430" s="706">
        <v>442248.94</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2894774.96</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1160872.53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543707.32999999996</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52927.15</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19114.2</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-849.8</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-27813.97</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3442</v>
      </c>
      <c r="D441" s="706" t="s">
        <v>3443</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10178.9</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2446.71</v>
      </c>
      <c r="AM442" s="905">
        <f t="shared" si="38"/>
        <v>-1725.47</v>
      </c>
      <c r="AN442" s="905">
        <f>INDEX(G442:R442,1,MATCH(Parametres!$B$3,G$1:R$1,0))*IF(OR(F442="L",F442="S",F442="I"),-1,1)</f>
        <v>721.24</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4608.7</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-651.07000000000005</v>
      </c>
      <c r="AM443" s="905">
        <f t="shared" si="38"/>
        <v>1951.9700000000003</v>
      </c>
      <c r="AN443" s="905">
        <f>INDEX(G443:R443,1,MATCH(Parametres!$B$3,G$1:R$1,0))*IF(OR(F443="L",F443="S",F443="I"),-1,1)</f>
        <v>1300.9000000000001</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425</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725</v>
      </c>
      <c r="AM444" s="905">
        <f t="shared" si="38"/>
        <v>-215</v>
      </c>
      <c r="AN444" s="905">
        <f>INDEX(G444:R444,1,MATCH(Parametres!$B$3,G$1:R$1,0))*IF(OR(F444="L",F444="S",F444="I"),-1,1)</f>
        <v>510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29953.22</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24004.19</v>
      </c>
      <c r="AM445" s="905">
        <f t="shared" si="38"/>
        <v>3382.9799999999996</v>
      </c>
      <c r="AN445" s="905">
        <f>INDEX(G445:R445,1,MATCH(Parametres!$B$3,G$1:R$1,0))*IF(OR(F445="L",F445="S",F445="I"),-1,1)</f>
        <v>27387.17</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1957</v>
      </c>
      <c r="D447" s="706" t="s">
        <v>3323</v>
      </c>
      <c r="E447" s="706" t="s">
        <v>333</v>
      </c>
      <c r="F447" s="706" t="s">
        <v>1136</v>
      </c>
      <c r="G447" s="706">
        <v>13586.27</v>
      </c>
      <c r="H447" s="706">
        <v>14938.99</v>
      </c>
      <c r="I447" s="706">
        <v>5194.54</v>
      </c>
      <c r="J447" s="706">
        <v>3700.94</v>
      </c>
      <c r="K447" s="706">
        <v>25056.65</v>
      </c>
      <c r="L447" s="706">
        <v>16535.2</v>
      </c>
      <c r="M447" s="706">
        <v>15516.08</v>
      </c>
      <c r="N447" s="706">
        <v>14154.92</v>
      </c>
      <c r="O447" s="706">
        <v>-3902.2</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15516.08</v>
      </c>
      <c r="AM447" s="905">
        <f t="shared" si="38"/>
        <v>-1361.1599999999999</v>
      </c>
      <c r="AN447" s="905">
        <f>INDEX(G447:R447,1,MATCH(Parametres!$B$3,G$1:R$1,0))*IF(OR(F447="L",F447="S",F447="I"),-1,1)</f>
        <v>14154.92</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456.49</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20.8</v>
      </c>
      <c r="AM448" s="905">
        <f t="shared" si="38"/>
        <v>295.33999999999997</v>
      </c>
      <c r="AN448" s="905">
        <f>INDEX(G448:R448,1,MATCH(Parametres!$B$3,G$1:R$1,0))*IF(OR(F448="L",F448="S",F448="I"),-1,1)</f>
        <v>316.14</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-2290.13</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3855.83</v>
      </c>
      <c r="AM449" s="905">
        <f t="shared" si="38"/>
        <v>3475.1000000000004</v>
      </c>
      <c r="AN449" s="905">
        <f>INDEX(G449:R449,1,MATCH(Parametres!$B$3,G$1:R$1,0))*IF(OR(F449="L",F449="S",F449="I"),-1,1)</f>
        <v>7330.93</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-10309.36</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633.54999999999995</v>
      </c>
      <c r="AM450" s="905">
        <f t="shared" si="38"/>
        <v>-156.49999999999994</v>
      </c>
      <c r="AN450" s="905">
        <f>INDEX(G450:R450,1,MATCH(Parametres!$B$3,G$1:R$1,0))*IF(OR(F450="L",F450="S",F450="I"),-1,1)</f>
        <v>477.05</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350500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337000</v>
      </c>
      <c r="AM451" s="905">
        <f t="shared" si="38"/>
        <v>60000</v>
      </c>
      <c r="AN451" s="905">
        <f>INDEX(G451:R451,1,MATCH(Parametres!$B$3,G$1:R$1,0))*IF(OR(F451="L",F451="S",F451="I"),-1,1)</f>
        <v>397000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-19320.310000000001</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-19164.75</v>
      </c>
      <c r="AM455" s="905">
        <f t="shared" si="44"/>
        <v>6020.5400000000009</v>
      </c>
      <c r="AN455" s="905">
        <f>INDEX(G455:R455,1,MATCH(Parametres!$B$3,G$1:R$1,0))*IF(OR(F455="L",F455="S",F455="I"),-1,1)</f>
        <v>-13144.21</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78267.87</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100765.95</v>
      </c>
      <c r="AM456" s="905">
        <f t="shared" si="44"/>
        <v>19518.520000000004</v>
      </c>
      <c r="AN456" s="905">
        <f>INDEX(G456:R456,1,MATCH(Parametres!$B$3,G$1:R$1,0))*IF(OR(F456="L",F456="S",F456="I"),-1,1)</f>
        <v>120284.47</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116589.42</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149459.75</v>
      </c>
      <c r="AM457" s="905">
        <f t="shared" si="44"/>
        <v>-10978.799999999988</v>
      </c>
      <c r="AN457" s="905">
        <f>INDEX(G457:R457,1,MATCH(Parametres!$B$3,G$1:R$1,0))*IF(OR(F457="L",F457="S",F457="I"),-1,1)</f>
        <v>138480.95000000001</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11209.44</v>
      </c>
      <c r="O458" s="706">
        <v>9177.69</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-2756.31</v>
      </c>
      <c r="AM458" s="905">
        <f t="shared" si="44"/>
        <v>13965.75</v>
      </c>
      <c r="AN458" s="905">
        <f>INDEX(G458:R458,1,MATCH(Parametres!$B$3,G$1:R$1,0))*IF(OR(F458="L",F458="S",F458="I"),-1,1)</f>
        <v>11209.44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-4486.88</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-2517.75</v>
      </c>
      <c r="AM459" s="905">
        <f t="shared" si="44"/>
        <v>53941.13</v>
      </c>
      <c r="AN459" s="905">
        <f>INDEX(G459:R459,1,MATCH(Parametres!$B$3,G$1:R$1,0))*IF(OR(F459="L",F459="S",F459="I"),-1,1)</f>
        <v>51423.38</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803801.16</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856501.22</v>
      </c>
      <c r="AM463" s="905">
        <f t="shared" si="44"/>
        <v>-52700.059999999939</v>
      </c>
      <c r="AN463" s="905">
        <f>INDEX(G463:R463,1,MATCH(Parametres!$B$3,G$1:R$1,0))*IF(OR(F463="L",F463="S",F463="I"),-1,1)</f>
        <v>803801.16</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7585.25</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-8751.59</v>
      </c>
      <c r="AM464" s="905">
        <f t="shared" si="44"/>
        <v>16336.84</v>
      </c>
      <c r="AN464" s="905">
        <f>INDEX(G464:R464,1,MATCH(Parametres!$B$3,G$1:R$1,0))*IF(OR(F464="L",F464="S",F464="I"),-1,1)</f>
        <v>7585.25</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18910.419999999998</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23638.03</v>
      </c>
      <c r="AM465" s="905">
        <f t="shared" si="44"/>
        <v>-4727.6100000000006</v>
      </c>
      <c r="AN465" s="905">
        <f>INDEX(G465:R465,1,MATCH(Parametres!$B$3,G$1:R$1,0))*IF(OR(F465="L",F465="S",F465="I"),-1,1)</f>
        <v>18910.419999999998</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24644.05</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32485.34</v>
      </c>
      <c r="AM466" s="905">
        <f t="shared" si="44"/>
        <v>-7841.2900000000009</v>
      </c>
      <c r="AN466" s="905">
        <f>INDEX(G466:R466,1,MATCH(Parametres!$B$3,G$1:R$1,0))*IF(OR(F466="L",F466="S",F466="I"),-1,1)</f>
        <v>24644.05</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250165.76000000001</v>
      </c>
      <c r="O467" s="706">
        <v>278905.40999999997</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279422.89</v>
      </c>
      <c r="AM467" s="905">
        <f t="shared" si="44"/>
        <v>-29257.130000000005</v>
      </c>
      <c r="AN467" s="905">
        <f>INDEX(G467:R467,1,MATCH(Parametres!$B$3,G$1:R$1,0))*IF(OR(F467="L",F467="S",F467="I"),-1,1)</f>
        <v>250165.76000000001</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3284.55</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-3375.66</v>
      </c>
      <c r="AM469" s="905">
        <f t="shared" si="44"/>
        <v>98</v>
      </c>
      <c r="AN469" s="905">
        <f>INDEX(G469:R469,1,MATCH(Parametres!$B$3,G$1:R$1,0))*IF(OR(F469="L",F469="S",F469="I"),-1,1)</f>
        <v>-3277.66</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1652.18</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5957.48</v>
      </c>
      <c r="AM470" s="905">
        <f t="shared" si="44"/>
        <v>-4305.2999999999993</v>
      </c>
      <c r="AN470" s="905">
        <f>INDEX(G470:R470,1,MATCH(Parametres!$B$3,G$1:R$1,0))*IF(OR(F470="L",F470="S",F470="I"),-1,1)</f>
        <v>1652.18</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866</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1082.5</v>
      </c>
      <c r="AM471" s="905">
        <f t="shared" si="44"/>
        <v>-216.5</v>
      </c>
      <c r="AN471" s="905">
        <f>INDEX(G471:R471,1,MATCH(Parametres!$B$3,G$1:R$1,0))*IF(OR(F471="L",F471="S",F471="I"),-1,1)</f>
        <v>866</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908.8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1136</v>
      </c>
      <c r="AM472" s="905">
        <f t="shared" si="44"/>
        <v>-227.20000000000005</v>
      </c>
      <c r="AN472" s="905">
        <f>INDEX(G472:R472,1,MATCH(Parametres!$B$3,G$1:R$1,0))*IF(OR(F472="L",F472="S",F472="I"),-1,1)</f>
        <v>908.8</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-83772.69</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-61835.39</v>
      </c>
      <c r="AM473" s="905">
        <f t="shared" si="44"/>
        <v>-16712.800000000003</v>
      </c>
      <c r="AN473" s="905">
        <f>INDEX(G473:R473,1,MATCH(Parametres!$B$3,G$1:R$1,0))*IF(OR(F473="L",F473="S",F473="I"),-1,1)</f>
        <v>-78548.19</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-2790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-2002.5</v>
      </c>
      <c r="AM474" s="905">
        <f t="shared" si="44"/>
        <v>-787.5</v>
      </c>
      <c r="AN474" s="905">
        <f>INDEX(G474:R474,1,MATCH(Parametres!$B$3,G$1:R$1,0))*IF(OR(F474="L",F474="S",F474="I"),-1,1)</f>
        <v>-2790</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customHeight="1">
      <c r="A475" s="706" t="s">
        <v>1148</v>
      </c>
      <c r="B475" s="706">
        <v>2026</v>
      </c>
      <c r="C475" s="706" t="s">
        <v>3449</v>
      </c>
      <c r="D475" s="706" t="s">
        <v>3450</v>
      </c>
      <c r="E475" s="706" t="s">
        <v>333</v>
      </c>
      <c r="F475" s="706" t="s">
        <v>1136</v>
      </c>
      <c r="G475" s="706">
        <v>0</v>
      </c>
      <c r="H475" s="706">
        <v>0</v>
      </c>
      <c r="I475" s="706">
        <v>0</v>
      </c>
      <c r="J475" s="706">
        <v>0</v>
      </c>
      <c r="K475" s="706">
        <v>0</v>
      </c>
      <c r="L475" s="706">
        <v>0</v>
      </c>
      <c r="M475" s="706">
        <v>0</v>
      </c>
      <c r="N475" s="706">
        <v>30252</v>
      </c>
      <c r="O475" s="706">
        <v>30252</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G27450</v>
      </c>
      <c r="AK475" s="905" t="str">
        <f t="shared" si="49"/>
        <v>RRI PAYE D'AVANCE</v>
      </c>
      <c r="AL475" s="905">
        <f>IFERROR(INDEX(G475:R475,1,MATCH(Parametres!$B$3,G$1:R$1,0)-1)*IF(OR(F475="L",F475="S",F475="I"),-1,1),"")</f>
        <v>0</v>
      </c>
      <c r="AM475" s="905">
        <f t="shared" si="44"/>
        <v>30252</v>
      </c>
      <c r="AN475" s="905">
        <f>INDEX(G475:R475,1,MATCH(Parametres!$B$3,G$1:R$1,0))*IF(OR(F475="L",F475="S",F475="I"),-1,1)</f>
        <v>30252</v>
      </c>
      <c r="AO475" s="487" t="str">
        <f>+VLOOKUP($AJ475,Data_Validation!$A:$D,1,0)</f>
        <v>G27450</v>
      </c>
      <c r="AP475" s="487" t="str">
        <f>+VLOOKUP($AJ475,Data_Validation!$A:$D,3,0)</f>
        <v>Bilan</v>
      </c>
      <c r="AQ475" s="487" t="str">
        <f>+VLOOKUP($AJ475,Data_Validation!$A:$D,4,0)</f>
        <v>Frais Payés d'Avance</v>
      </c>
      <c r="AR475" s="487" t="s">
        <v>299</v>
      </c>
      <c r="AS475" s="487">
        <f>+VLOOKUP($AJ475,Data_Validation!$A:$E,5,0)</f>
        <v>0</v>
      </c>
      <c r="AT475" s="904" t="str">
        <f t="shared" si="45"/>
        <v>G27450</v>
      </c>
      <c r="AU475" s="488" t="str">
        <f t="shared" si="46"/>
        <v>RRI PAYE D'AVANCE</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customHeight="1">
      <c r="A476" s="706" t="s">
        <v>1148</v>
      </c>
      <c r="B476" s="706">
        <v>2026</v>
      </c>
      <c r="C476" s="706" t="s">
        <v>2013</v>
      </c>
      <c r="D476" s="706" t="s">
        <v>2014</v>
      </c>
      <c r="E476" s="706" t="s">
        <v>1143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G27700</v>
      </c>
      <c r="AK476" s="905" t="str">
        <f t="shared" si="49"/>
        <v>INV VEHICULE EN LOCATION</v>
      </c>
      <c r="AL476" s="905">
        <f>IFERROR(INDEX(G476:R476,1,MATCH(Parametres!$B$3,G$1:R$1,0)-1)*IF(OR(F476="L",F476="S",F476="I"),-1,1),"")</f>
        <v>0</v>
      </c>
      <c r="AM476" s="905">
        <f t="shared" si="44"/>
        <v>0</v>
      </c>
      <c r="AN476" s="905">
        <f>INDEX(G476:R476,1,MATCH(Parametres!$B$3,G$1:R$1,0))*IF(OR(F476="L",F476="S",F476="I"),-1,1)</f>
        <v>0</v>
      </c>
      <c r="AO476" s="487" t="e">
        <f>+VLOOKUP($AJ476,Data_Validation!$A:$D,1,0)</f>
        <v>#N/A</v>
      </c>
      <c r="AP476" s="487" t="e">
        <f>+VLOOKUP($AJ476,Data_Validation!$A:$D,3,0)</f>
        <v>#N/A</v>
      </c>
      <c r="AQ476" s="487" t="e">
        <f>+VLOOKUP($AJ476,Data_Validation!$A:$D,4,0)</f>
        <v>#N/A</v>
      </c>
      <c r="AR476" s="487" t="s">
        <v>299</v>
      </c>
      <c r="AS476" s="487" t="e">
        <f>+VLOOKUP($AJ476,Data_Validation!$A:$E,5,0)</f>
        <v>#N/A</v>
      </c>
      <c r="AT476" s="904" t="str">
        <f t="shared" si="45"/>
        <v>G27700</v>
      </c>
      <c r="AU476" s="488" t="str">
        <f t="shared" si="46"/>
        <v>INV VEHICULE EN LOCATION</v>
      </c>
      <c r="AV476" s="899">
        <f>IFERROR(INDEX(V476:AG476,1,MATCH(Parametres!$B$3,V$1:AG$1,0)-1)*IF(OR(C476="L",C476="S",C476="I"),-1,1),"")</f>
        <v>0</v>
      </c>
      <c r="AW476" s="899">
        <f t="shared" si="47"/>
        <v>0</v>
      </c>
      <c r="AX476" s="899">
        <f>INDEX(V476:AG476,1,MATCH(Parametres!$B$3,V$1:AG$1,0))*IF(OR(C476="L",C476="S",C476="I"),-1,1)</f>
        <v>0</v>
      </c>
      <c r="AY476" s="487" t="s">
        <v>337</v>
      </c>
      <c r="AZ476" s="487" t="e">
        <f>+VLOOKUP($AJ476,Data_Validation!$A:$E,5,0)</f>
        <v>#N/A</v>
      </c>
    </row>
    <row r="477" spans="1:52" ht="15" customHeight="1">
      <c r="A477" s="706" t="s">
        <v>1148</v>
      </c>
      <c r="B477" s="706">
        <v>2026</v>
      </c>
      <c r="C477" s="706" t="s">
        <v>2015</v>
      </c>
      <c r="D477" s="706" t="s">
        <v>2016</v>
      </c>
      <c r="E477" s="706" t="s">
        <v>333</v>
      </c>
      <c r="F477" s="706" t="s">
        <v>1136</v>
      </c>
      <c r="G477" s="706">
        <v>0</v>
      </c>
      <c r="H477" s="706">
        <v>0</v>
      </c>
      <c r="I477" s="706">
        <v>0</v>
      </c>
      <c r="J477" s="706">
        <v>0</v>
      </c>
      <c r="K477" s="706">
        <v>0</v>
      </c>
      <c r="L477" s="706">
        <v>0</v>
      </c>
      <c r="M477" s="706">
        <v>0</v>
      </c>
      <c r="N477" s="706">
        <v>0</v>
      </c>
      <c r="O477" s="706">
        <v>0</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G27701</v>
      </c>
      <c r="AK477" s="905" t="str">
        <f t="shared" si="49"/>
        <v>AMORT. ACC. VEH. LOCATION</v>
      </c>
      <c r="AL477" s="905">
        <f>IFERROR(INDEX(G477:R477,1,MATCH(Parametres!$B$3,G$1:R$1,0)-1)*IF(OR(F477="L",F477="S",F477="I"),-1,1),"")</f>
        <v>0</v>
      </c>
      <c r="AM477" s="905">
        <f t="shared" si="44"/>
        <v>0</v>
      </c>
      <c r="AN477" s="905">
        <f>INDEX(G477:R477,1,MATCH(Parametres!$B$3,G$1:R$1,0))*IF(OR(F477="L",F477="S",F477="I"),-1,1)</f>
        <v>0</v>
      </c>
      <c r="AO477" s="487" t="str">
        <f>+VLOOKUP($AJ477,Data_Validation!$A:$D,1,0)</f>
        <v>G27701</v>
      </c>
      <c r="AP477" s="487">
        <f>+VLOOKUP($AJ477,Data_Validation!$A:$D,3,0)</f>
        <v>0</v>
      </c>
      <c r="AQ477" s="487">
        <f>+VLOOKUP($AJ477,Data_Validation!$A:$D,4,0)</f>
        <v>0</v>
      </c>
      <c r="AR477" s="487" t="s">
        <v>299</v>
      </c>
      <c r="AS477" s="487">
        <f>+VLOOKUP($AJ477,Data_Validation!$A:$E,5,0)</f>
        <v>0</v>
      </c>
      <c r="AT477" s="904" t="str">
        <f t="shared" si="45"/>
        <v>G27701</v>
      </c>
      <c r="AU477" s="488" t="str">
        <f t="shared" si="46"/>
        <v>AMORT. ACC. VEH. LOCATION</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customHeight="1">
      <c r="A478" s="706" t="s">
        <v>1148</v>
      </c>
      <c r="B478" s="706">
        <v>2026</v>
      </c>
      <c r="C478" s="706" t="s">
        <v>2017</v>
      </c>
      <c r="D478" s="706" t="s">
        <v>2018</v>
      </c>
      <c r="E478" s="706" t="s">
        <v>333</v>
      </c>
      <c r="F478" s="706" t="s">
        <v>1136</v>
      </c>
      <c r="G478" s="706">
        <v>1718553.45</v>
      </c>
      <c r="H478" s="706">
        <v>1718553.45</v>
      </c>
      <c r="I478" s="706">
        <v>1718553.45</v>
      </c>
      <c r="J478" s="706">
        <v>1718553.45</v>
      </c>
      <c r="K478" s="706">
        <v>1718553.45</v>
      </c>
      <c r="L478" s="706">
        <v>1718553.45</v>
      </c>
      <c r="M478" s="706">
        <v>1718553.45</v>
      </c>
      <c r="N478" s="706">
        <v>1718553.45</v>
      </c>
      <c r="O478" s="706">
        <v>1718553.45</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G28200</v>
      </c>
      <c r="AK478" s="905" t="str">
        <f t="shared" si="49"/>
        <v>MACHINERIE EQUIP. ATELIER</v>
      </c>
      <c r="AL478" s="905">
        <f>IFERROR(INDEX(G478:R478,1,MATCH(Parametres!$B$3,G$1:R$1,0)-1)*IF(OR(F478="L",F478="S",F478="I"),-1,1),"")</f>
        <v>1718553.45</v>
      </c>
      <c r="AM478" s="905">
        <f t="shared" si="44"/>
        <v>0</v>
      </c>
      <c r="AN478" s="905">
        <f>INDEX(G478:R478,1,MATCH(Parametres!$B$3,G$1:R$1,0))*IF(OR(F478="L",F478="S",F478="I"),-1,1)</f>
        <v>1718553.45</v>
      </c>
      <c r="AO478" s="487" t="str">
        <f>+VLOOKUP($AJ478,Data_Validation!$A:$D,1,0)</f>
        <v>G28200</v>
      </c>
      <c r="AP478" s="487" t="str">
        <f>+VLOOKUP($AJ478,Data_Validation!$A:$D,3,0)</f>
        <v>Bilan</v>
      </c>
      <c r="AQ478" s="487" t="str">
        <f>+VLOOKUP($AJ478,Data_Validation!$A:$D,4,0)</f>
        <v>Équipements Service</v>
      </c>
      <c r="AR478" s="487" t="s">
        <v>299</v>
      </c>
      <c r="AS478" s="487">
        <f>+VLOOKUP($AJ478,Data_Validation!$A:$E,5,0)</f>
        <v>0</v>
      </c>
      <c r="AT478" s="904" t="str">
        <f t="shared" si="45"/>
        <v>G28200</v>
      </c>
      <c r="AU478" s="488" t="str">
        <f t="shared" si="46"/>
        <v>MACHINERIE EQUIP. ATELIER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2019</v>
      </c>
      <c r="D479" s="706" t="s">
        <v>2020</v>
      </c>
      <c r="E479" s="706" t="s">
        <v>333</v>
      </c>
      <c r="F479" s="706" t="s">
        <v>1136</v>
      </c>
      <c r="G479" s="706">
        <v>0</v>
      </c>
      <c r="H479" s="706">
        <v>0</v>
      </c>
      <c r="I479" s="706">
        <v>13498.78</v>
      </c>
      <c r="J479" s="706">
        <v>13498.78</v>
      </c>
      <c r="K479" s="706">
        <v>13498.78</v>
      </c>
      <c r="L479" s="706">
        <v>13498.78</v>
      </c>
      <c r="M479" s="706">
        <v>13498.78</v>
      </c>
      <c r="N479" s="706">
        <v>13498.78</v>
      </c>
      <c r="O479" s="706">
        <v>13498.78</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G28210</v>
      </c>
      <c r="AK479" s="905" t="str">
        <f t="shared" si="49"/>
        <v>MACHINERIE EQUIP. CARR</v>
      </c>
      <c r="AL479" s="905">
        <f>IFERROR(INDEX(G479:R479,1,MATCH(Parametres!$B$3,G$1:R$1,0)-1)*IF(OR(F479="L",F479="S",F479="I"),-1,1),"")</f>
        <v>13498.78</v>
      </c>
      <c r="AM479" s="905">
        <f t="shared" si="44"/>
        <v>0</v>
      </c>
      <c r="AN479" s="905">
        <f>INDEX(G479:R479,1,MATCH(Parametres!$B$3,G$1:R$1,0))*IF(OR(F479="L",F479="S",F479="I"),-1,1)</f>
        <v>13498.78</v>
      </c>
      <c r="AO479" s="487" t="str">
        <f>+VLOOKUP($AJ479,Data_Validation!$A:$D,1,0)</f>
        <v>G28210</v>
      </c>
      <c r="AP479" s="487" t="str">
        <f>+VLOOKUP($AJ479,Data_Validation!$A:$D,3,0)</f>
        <v>Bilan</v>
      </c>
      <c r="AQ479" s="487" t="str">
        <f>+VLOOKUP($AJ479,Data_Validation!$A:$D,4,0)</f>
        <v>Équipements Service</v>
      </c>
      <c r="AR479" s="487" t="s">
        <v>299</v>
      </c>
      <c r="AS479" s="487">
        <f>+VLOOKUP($AJ479,Data_Validation!$A:$E,5,0)</f>
        <v>0</v>
      </c>
      <c r="AT479" s="904" t="str">
        <f t="shared" si="45"/>
        <v>G28210</v>
      </c>
      <c r="AU479" s="488" t="str">
        <f t="shared" si="46"/>
        <v>MACHINERIE EQUIP. CARR</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2021</v>
      </c>
      <c r="D480" s="706" t="s">
        <v>2022</v>
      </c>
      <c r="E480" s="706" t="s">
        <v>333</v>
      </c>
      <c r="F480" s="706" t="s">
        <v>1136</v>
      </c>
      <c r="G480" s="706">
        <v>7077.33</v>
      </c>
      <c r="H480" s="706">
        <v>7077.33</v>
      </c>
      <c r="I480" s="706">
        <v>7077.33</v>
      </c>
      <c r="J480" s="706">
        <v>7077.33</v>
      </c>
      <c r="K480" s="706">
        <v>7077.33</v>
      </c>
      <c r="L480" s="706">
        <v>7077.33</v>
      </c>
      <c r="M480" s="706">
        <v>7077.33</v>
      </c>
      <c r="N480" s="706">
        <v>7077.33</v>
      </c>
      <c r="O480" s="706">
        <v>7077.33</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G28300</v>
      </c>
      <c r="AK480" s="905" t="str">
        <f t="shared" si="49"/>
        <v>PNEUS ET ACC.DEMO/COURT</v>
      </c>
      <c r="AL480" s="905">
        <f>IFERROR(INDEX(G480:R480,1,MATCH(Parametres!$B$3,G$1:R$1,0)-1)*IF(OR(F480="L",F480="S",F480="I"),-1,1),"")</f>
        <v>7077.33</v>
      </c>
      <c r="AM480" s="905">
        <f t="shared" si="44"/>
        <v>0</v>
      </c>
      <c r="AN480" s="905">
        <f>INDEX(G480:R480,1,MATCH(Parametres!$B$3,G$1:R$1,0))*IF(OR(F480="L",F480="S",F480="I"),-1,1)</f>
        <v>7077.33</v>
      </c>
      <c r="AO480" s="487" t="str">
        <f>+VLOOKUP($AJ480,Data_Validation!$A:$D,1,0)</f>
        <v>G28300</v>
      </c>
      <c r="AP480" s="487" t="str">
        <f>+VLOOKUP($AJ480,Data_Validation!$A:$D,3,0)</f>
        <v>Bilan</v>
      </c>
      <c r="AQ480" s="487" t="str">
        <f>+VLOOKUP($AJ480,Data_Validation!$A:$D,4,0)</f>
        <v>Équipements Service</v>
      </c>
      <c r="AR480" s="487" t="s">
        <v>299</v>
      </c>
      <c r="AS480" s="487">
        <f>+VLOOKUP($AJ480,Data_Validation!$A:$E,5,0)</f>
        <v>0</v>
      </c>
      <c r="AT480" s="904" t="str">
        <f t="shared" si="45"/>
        <v>G28300</v>
      </c>
      <c r="AU480" s="488" t="str">
        <f t="shared" si="46"/>
        <v>PNEUS ET ACC.DEMO/COURT</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2023</v>
      </c>
      <c r="D481" s="706" t="s">
        <v>2024</v>
      </c>
      <c r="E481" s="706" t="s">
        <v>333</v>
      </c>
      <c r="F481" s="706" t="s">
        <v>1136</v>
      </c>
      <c r="G481" s="706">
        <v>368778.01</v>
      </c>
      <c r="H481" s="706">
        <v>368778.01</v>
      </c>
      <c r="I481" s="706">
        <v>368778.01</v>
      </c>
      <c r="J481" s="706">
        <v>368778.01</v>
      </c>
      <c r="K481" s="706">
        <v>368778.01</v>
      </c>
      <c r="L481" s="706">
        <v>368778.01</v>
      </c>
      <c r="M481" s="706">
        <v>368778.01</v>
      </c>
      <c r="N481" s="706">
        <v>368778.01</v>
      </c>
      <c r="O481" s="706">
        <v>370157.62</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G28400</v>
      </c>
      <c r="AK481" s="905" t="str">
        <f t="shared" si="49"/>
        <v>MOBILIER &amp; EQUIP BUREAU</v>
      </c>
      <c r="AL481" s="905">
        <f>IFERROR(INDEX(G481:R481,1,MATCH(Parametres!$B$3,G$1:R$1,0)-1)*IF(OR(F481="L",F481="S",F481="I"),-1,1),"")</f>
        <v>368778.01</v>
      </c>
      <c r="AM481" s="905">
        <f t="shared" si="44"/>
        <v>0</v>
      </c>
      <c r="AN481" s="905">
        <f>INDEX(G481:R481,1,MATCH(Parametres!$B$3,G$1:R$1,0))*IF(OR(F481="L",F481="S",F481="I"),-1,1)</f>
        <v>368778.01</v>
      </c>
      <c r="AO481" s="487" t="str">
        <f>+VLOOKUP($AJ481,Data_Validation!$A:$D,1,0)</f>
        <v>G28400</v>
      </c>
      <c r="AP481" s="487" t="str">
        <f>+VLOOKUP($AJ481,Data_Validation!$A:$D,3,0)</f>
        <v>Bilan</v>
      </c>
      <c r="AQ481" s="487" t="str">
        <f>+VLOOKUP($AJ481,Data_Validation!$A:$D,4,0)</f>
        <v>Mobilier</v>
      </c>
      <c r="AR481" s="487" t="s">
        <v>299</v>
      </c>
      <c r="AS481" s="487">
        <f>+VLOOKUP($AJ481,Data_Validation!$A:$E,5,0)</f>
        <v>0</v>
      </c>
      <c r="AT481" s="904" t="str">
        <f t="shared" si="45"/>
        <v>G28400</v>
      </c>
      <c r="AU481" s="488" t="str">
        <f t="shared" si="46"/>
        <v>MOBILIER &amp; EQUIP BUREAU</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2025</v>
      </c>
      <c r="D482" s="706" t="s">
        <v>2026</v>
      </c>
      <c r="E482" s="706" t="s">
        <v>333</v>
      </c>
      <c r="F482" s="706" t="s">
        <v>1136</v>
      </c>
      <c r="G482" s="706">
        <v>125277.95</v>
      </c>
      <c r="H482" s="706">
        <v>125277.95</v>
      </c>
      <c r="I482" s="706">
        <v>125277.95</v>
      </c>
      <c r="J482" s="706">
        <v>125277.95</v>
      </c>
      <c r="K482" s="706">
        <v>125277.95</v>
      </c>
      <c r="L482" s="706">
        <v>125277.95</v>
      </c>
      <c r="M482" s="706">
        <v>135777.95000000001</v>
      </c>
      <c r="N482" s="706">
        <v>135777.95000000001</v>
      </c>
      <c r="O482" s="706">
        <v>135777.95000000001</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G28500</v>
      </c>
      <c r="AK482" s="905" t="str">
        <f t="shared" si="49"/>
        <v>LIFT PIECES / TRACTEUR</v>
      </c>
      <c r="AL482" s="905">
        <f>IFERROR(INDEX(G482:R482,1,MATCH(Parametres!$B$3,G$1:R$1,0)-1)*IF(OR(F482="L",F482="S",F482="I"),-1,1),"")</f>
        <v>135777.95000000001</v>
      </c>
      <c r="AM482" s="905">
        <f t="shared" si="44"/>
        <v>0</v>
      </c>
      <c r="AN482" s="905">
        <f>INDEX(G482:R482,1,MATCH(Parametres!$B$3,G$1:R$1,0))*IF(OR(F482="L",F482="S",F482="I"),-1,1)</f>
        <v>135777.95000000001</v>
      </c>
      <c r="AO482" s="487" t="str">
        <f>+VLOOKUP($AJ482,Data_Validation!$A:$D,1,0)</f>
        <v>G28500</v>
      </c>
      <c r="AP482" s="487" t="str">
        <f>+VLOOKUP($AJ482,Data_Validation!$A:$D,3,0)</f>
        <v>Bilan</v>
      </c>
      <c r="AQ482" s="487" t="str">
        <f>+VLOOKUP($AJ482,Data_Validation!$A:$D,4,0)</f>
        <v>Équipements Service</v>
      </c>
      <c r="AR482" s="487" t="s">
        <v>299</v>
      </c>
      <c r="AS482" s="487">
        <f>+VLOOKUP($AJ482,Data_Validation!$A:$E,5,0)</f>
        <v>0</v>
      </c>
      <c r="AT482" s="904" t="str">
        <f t="shared" si="45"/>
        <v>G28500</v>
      </c>
      <c r="AU482" s="488" t="str">
        <f t="shared" si="46"/>
        <v>LIFT PIECES / TRACTEUR</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2027</v>
      </c>
      <c r="D483" s="706" t="s">
        <v>2028</v>
      </c>
      <c r="E483" s="706" t="s">
        <v>333</v>
      </c>
      <c r="F483" s="706" t="s">
        <v>1136</v>
      </c>
      <c r="G483" s="706">
        <v>214593.95</v>
      </c>
      <c r="H483" s="706">
        <v>214593.95</v>
      </c>
      <c r="I483" s="706">
        <v>214593.95</v>
      </c>
      <c r="J483" s="706">
        <v>214593.95</v>
      </c>
      <c r="K483" s="706">
        <v>214593.95</v>
      </c>
      <c r="L483" s="706">
        <v>214593.95</v>
      </c>
      <c r="M483" s="706">
        <v>214593.95</v>
      </c>
      <c r="N483" s="706">
        <v>220530.55</v>
      </c>
      <c r="O483" s="706">
        <v>220530.55</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G28600</v>
      </c>
      <c r="AK483" s="905" t="str">
        <f t="shared" si="49"/>
        <v>BATIMENT</v>
      </c>
      <c r="AL483" s="905">
        <f>IFERROR(INDEX(G483:R483,1,MATCH(Parametres!$B$3,G$1:R$1,0)-1)*IF(OR(F483="L",F483="S",F483="I"),-1,1),"")</f>
        <v>214593.95</v>
      </c>
      <c r="AM483" s="905">
        <f t="shared" si="44"/>
        <v>5936.5999999999767</v>
      </c>
      <c r="AN483" s="905">
        <f>INDEX(G483:R483,1,MATCH(Parametres!$B$3,G$1:R$1,0))*IF(OR(F483="L",F483="S",F483="I"),-1,1)</f>
        <v>220530.55</v>
      </c>
      <c r="AO483" s="487" t="str">
        <f>+VLOOKUP($AJ483,Data_Validation!$A:$D,1,0)</f>
        <v>G28600</v>
      </c>
      <c r="AP483" s="487" t="str">
        <f>+VLOOKUP($AJ483,Data_Validation!$A:$D,3,0)</f>
        <v>Bilan</v>
      </c>
      <c r="AQ483" s="487" t="str">
        <f>+VLOOKUP($AJ483,Data_Validation!$A:$D,4,0)</f>
        <v>Améliorations Locatives</v>
      </c>
      <c r="AR483" s="487" t="s">
        <v>299</v>
      </c>
      <c r="AS483" s="487">
        <f>+VLOOKUP($AJ483,Data_Validation!$A:$E,5,0)</f>
        <v>0</v>
      </c>
      <c r="AT483" s="904" t="str">
        <f t="shared" si="45"/>
        <v>G28600</v>
      </c>
      <c r="AU483" s="488" t="str">
        <f t="shared" si="46"/>
        <v>BATIMENT</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2029</v>
      </c>
      <c r="D484" s="706" t="s">
        <v>2030</v>
      </c>
      <c r="E484" s="706" t="s">
        <v>333</v>
      </c>
      <c r="F484" s="706" t="s">
        <v>1136</v>
      </c>
      <c r="G484" s="706">
        <v>264203.43</v>
      </c>
      <c r="H484" s="706">
        <v>264203.43</v>
      </c>
      <c r="I484" s="706">
        <v>264203.43</v>
      </c>
      <c r="J484" s="706">
        <v>267836.38</v>
      </c>
      <c r="K484" s="706">
        <v>267836.38</v>
      </c>
      <c r="L484" s="706">
        <v>267836.38</v>
      </c>
      <c r="M484" s="706">
        <v>267836.38</v>
      </c>
      <c r="N484" s="706">
        <v>268617.12</v>
      </c>
      <c r="O484" s="706">
        <v>268617.12</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G28700</v>
      </c>
      <c r="AK484" s="905" t="str">
        <f t="shared" si="49"/>
        <v>MATERIEL INFORMATIQUE</v>
      </c>
      <c r="AL484" s="905">
        <f>IFERROR(INDEX(G484:R484,1,MATCH(Parametres!$B$3,G$1:R$1,0)-1)*IF(OR(F484="L",F484="S",F484="I"),-1,1),"")</f>
        <v>267836.38</v>
      </c>
      <c r="AM484" s="905">
        <f t="shared" si="44"/>
        <v>780.73999999999069</v>
      </c>
      <c r="AN484" s="905">
        <f>INDEX(G484:R484,1,MATCH(Parametres!$B$3,G$1:R$1,0))*IF(OR(F484="L",F484="S",F484="I"),-1,1)</f>
        <v>268617.12</v>
      </c>
      <c r="AO484" s="487" t="str">
        <f>+VLOOKUP($AJ484,Data_Validation!$A:$D,1,0)</f>
        <v>G28700</v>
      </c>
      <c r="AP484" s="487" t="str">
        <f>+VLOOKUP($AJ484,Data_Validation!$A:$D,3,0)</f>
        <v>Bilan</v>
      </c>
      <c r="AQ484" s="487" t="str">
        <f>+VLOOKUP($AJ484,Data_Validation!$A:$D,4,0)</f>
        <v>Équipements Informatique</v>
      </c>
      <c r="AR484" s="487" t="s">
        <v>299</v>
      </c>
      <c r="AS484" s="487">
        <f>+VLOOKUP($AJ484,Data_Validation!$A:$E,5,0)</f>
        <v>0</v>
      </c>
      <c r="AT484" s="904" t="str">
        <f t="shared" si="45"/>
        <v>G28700</v>
      </c>
      <c r="AU484" s="488" t="str">
        <f t="shared" si="46"/>
        <v>MATERIEL INFORMATIQUE</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2031</v>
      </c>
      <c r="D485" s="706" t="s">
        <v>647</v>
      </c>
      <c r="E485" s="706" t="s">
        <v>333</v>
      </c>
      <c r="F485" s="706" t="s">
        <v>1136</v>
      </c>
      <c r="G485" s="706">
        <v>55976.71</v>
      </c>
      <c r="H485" s="706">
        <v>55976.71</v>
      </c>
      <c r="I485" s="706">
        <v>55976.71</v>
      </c>
      <c r="J485" s="706">
        <v>55976.71</v>
      </c>
      <c r="K485" s="706">
        <v>55976.71</v>
      </c>
      <c r="L485" s="706">
        <v>55976.71</v>
      </c>
      <c r="M485" s="706">
        <v>55976.71</v>
      </c>
      <c r="N485" s="706">
        <v>55976.71</v>
      </c>
      <c r="O485" s="706">
        <v>55976.71</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G28800</v>
      </c>
      <c r="AK485" s="905" t="str">
        <f t="shared" si="49"/>
        <v>ENSEIGNES</v>
      </c>
      <c r="AL485" s="905">
        <f>IFERROR(INDEX(G485:R485,1,MATCH(Parametres!$B$3,G$1:R$1,0)-1)*IF(OR(F485="L",F485="S",F485="I"),-1,1),"")</f>
        <v>55976.71</v>
      </c>
      <c r="AM485" s="905">
        <f t="shared" si="44"/>
        <v>0</v>
      </c>
      <c r="AN485" s="905">
        <f>INDEX(G485:R485,1,MATCH(Parametres!$B$3,G$1:R$1,0))*IF(OR(F485="L",F485="S",F485="I"),-1,1)</f>
        <v>55976.71</v>
      </c>
      <c r="AO485" s="487" t="str">
        <f>+VLOOKUP($AJ485,Data_Validation!$A:$D,1,0)</f>
        <v>G28800</v>
      </c>
      <c r="AP485" s="487" t="str">
        <f>+VLOOKUP($AJ485,Data_Validation!$A:$D,3,0)</f>
        <v>Bilan</v>
      </c>
      <c r="AQ485" s="487" t="str">
        <f>+VLOOKUP($AJ485,Data_Validation!$A:$D,4,0)</f>
        <v>Enseigne</v>
      </c>
      <c r="AR485" s="487" t="s">
        <v>299</v>
      </c>
      <c r="AS485" s="487">
        <f>+VLOOKUP($AJ485,Data_Validation!$A:$E,5,0)</f>
        <v>0</v>
      </c>
      <c r="AT485" s="904" t="str">
        <f t="shared" si="45"/>
        <v>G28800</v>
      </c>
      <c r="AU485" s="488" t="str">
        <f t="shared" si="46"/>
        <v>ENSEIGNES</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2032</v>
      </c>
      <c r="D486" s="706" t="s">
        <v>2033</v>
      </c>
      <c r="E486" s="706" t="s">
        <v>333</v>
      </c>
      <c r="F486" s="706" t="s">
        <v>1136</v>
      </c>
      <c r="G486" s="706">
        <v>0</v>
      </c>
      <c r="H486" s="706">
        <v>0</v>
      </c>
      <c r="I486" s="706">
        <v>0</v>
      </c>
      <c r="J486" s="706">
        <v>0</v>
      </c>
      <c r="K486" s="706">
        <v>0</v>
      </c>
      <c r="L486" s="706">
        <v>0</v>
      </c>
      <c r="M486" s="706">
        <v>0</v>
      </c>
      <c r="N486" s="706">
        <v>0</v>
      </c>
      <c r="O486" s="706">
        <v>0</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G28900</v>
      </c>
      <c r="AK486" s="905" t="str">
        <f t="shared" si="49"/>
        <v>ASPHALTE</v>
      </c>
      <c r="AL486" s="905">
        <f>IFERROR(INDEX(G486:R486,1,MATCH(Parametres!$B$3,G$1:R$1,0)-1)*IF(OR(F486="L",F486="S",F486="I"),-1,1),"")</f>
        <v>0</v>
      </c>
      <c r="AM486" s="905">
        <f t="shared" si="44"/>
        <v>0</v>
      </c>
      <c r="AN486" s="905">
        <f>INDEX(G486:R486,1,MATCH(Parametres!$B$3,G$1:R$1,0))*IF(OR(F486="L",F486="S",F486="I"),-1,1)</f>
        <v>0</v>
      </c>
      <c r="AO486" s="487" t="str">
        <f>+VLOOKUP($AJ486,Data_Validation!$A:$D,1,0)</f>
        <v>G28900</v>
      </c>
      <c r="AP486" s="487">
        <f>+VLOOKUP($AJ486,Data_Validation!$A:$D,3,0)</f>
        <v>0</v>
      </c>
      <c r="AQ486" s="487">
        <f>+VLOOKUP($AJ486,Data_Validation!$A:$D,4,0)</f>
        <v>0</v>
      </c>
      <c r="AR486" s="487" t="s">
        <v>299</v>
      </c>
      <c r="AS486" s="487">
        <f>+VLOOKUP($AJ486,Data_Validation!$A:$E,5,0)</f>
        <v>0</v>
      </c>
      <c r="AT486" s="904" t="str">
        <f t="shared" si="45"/>
        <v>G28900</v>
      </c>
      <c r="AU486" s="488" t="str">
        <f t="shared" si="46"/>
        <v>ASPHALTE</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2034</v>
      </c>
      <c r="D487" s="706" t="s">
        <v>2035</v>
      </c>
      <c r="E487" s="706" t="s">
        <v>333</v>
      </c>
      <c r="F487" s="706" t="s">
        <v>1136</v>
      </c>
      <c r="G487" s="706">
        <v>12974</v>
      </c>
      <c r="H487" s="706">
        <v>12974</v>
      </c>
      <c r="I487" s="706">
        <v>12974</v>
      </c>
      <c r="J487" s="706">
        <v>12974</v>
      </c>
      <c r="K487" s="706">
        <v>12974</v>
      </c>
      <c r="L487" s="706">
        <v>12974</v>
      </c>
      <c r="M487" s="706">
        <v>12974</v>
      </c>
      <c r="N487" s="706">
        <v>12974</v>
      </c>
      <c r="O487" s="706">
        <v>12974</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G29300</v>
      </c>
      <c r="AK487" s="905" t="str">
        <f t="shared" si="49"/>
        <v>BILLETS &amp; C/R ADMINIS.</v>
      </c>
      <c r="AL487" s="905">
        <f>IFERROR(INDEX(G487:R487,1,MATCH(Parametres!$B$3,G$1:R$1,0)-1)*IF(OR(F487="L",F487="S",F487="I"),-1,1),"")</f>
        <v>12974</v>
      </c>
      <c r="AM487" s="905">
        <f t="shared" si="44"/>
        <v>0</v>
      </c>
      <c r="AN487" s="905">
        <f>INDEX(G487:R487,1,MATCH(Parametres!$B$3,G$1:R$1,0))*IF(OR(F487="L",F487="S",F487="I"),-1,1)</f>
        <v>12974</v>
      </c>
      <c r="AO487" s="487" t="str">
        <f>+VLOOKUP($AJ487,Data_Validation!$A:$D,1,0)</f>
        <v>G29300</v>
      </c>
      <c r="AP487" s="487" t="str">
        <f>+VLOOKUP($AJ487,Data_Validation!$A:$D,3,0)</f>
        <v>Bilan</v>
      </c>
      <c r="AQ487" s="487" t="str">
        <f>+VLOOKUP($AJ487,Data_Validation!$A:$D,4,0)</f>
        <v>Avances à Recevoir Long Terme</v>
      </c>
      <c r="AR487" s="487" t="s">
        <v>299</v>
      </c>
      <c r="AS487" s="487">
        <f>+VLOOKUP($AJ487,Data_Validation!$A:$E,5,0)</f>
        <v>0</v>
      </c>
      <c r="AT487" s="904" t="str">
        <f t="shared" si="45"/>
        <v>G29300</v>
      </c>
      <c r="AU487" s="488" t="str">
        <f t="shared" si="46"/>
        <v>BILLETS &amp; C/R ADMINIS.</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2036</v>
      </c>
      <c r="D488" s="706" t="s">
        <v>2037</v>
      </c>
      <c r="E488" s="706" t="s">
        <v>333</v>
      </c>
      <c r="F488" s="706" t="s">
        <v>1136</v>
      </c>
      <c r="G488" s="706">
        <v>2000000</v>
      </c>
      <c r="H488" s="706">
        <v>0</v>
      </c>
      <c r="I488" s="706">
        <v>0</v>
      </c>
      <c r="J488" s="706">
        <v>1000000</v>
      </c>
      <c r="K488" s="706">
        <v>1000000</v>
      </c>
      <c r="L488" s="706">
        <v>500000</v>
      </c>
      <c r="M488" s="706">
        <v>0</v>
      </c>
      <c r="N488" s="706">
        <v>0</v>
      </c>
      <c r="O488" s="706">
        <v>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G29400</v>
      </c>
      <c r="AK488" s="905" t="str">
        <f t="shared" si="49"/>
        <v>EPARGNE BULK</v>
      </c>
      <c r="AL488" s="905">
        <f>IFERROR(INDEX(G488:R488,1,MATCH(Parametres!$B$3,G$1:R$1,0)-1)*IF(OR(F488="L",F488="S",F488="I"),-1,1),"")</f>
        <v>0</v>
      </c>
      <c r="AM488" s="905">
        <f t="shared" si="44"/>
        <v>0</v>
      </c>
      <c r="AN488" s="905">
        <f>INDEX(G488:R488,1,MATCH(Parametres!$B$3,G$1:R$1,0))*IF(OR(F488="L",F488="S",F488="I"),-1,1)</f>
        <v>0</v>
      </c>
      <c r="AO488" s="487" t="str">
        <f>+VLOOKUP($AJ488,Data_Validation!$A:$D,1,0)</f>
        <v>G29400</v>
      </c>
      <c r="AP488" s="487" t="str">
        <f>+VLOOKUP($AJ488,Data_Validation!$A:$D,3,0)</f>
        <v>Bilan</v>
      </c>
      <c r="AQ488" s="487" t="str">
        <f>+VLOOKUP($AJ488,Data_Validation!$A:$D,4,0)</f>
        <v>Encaisse</v>
      </c>
      <c r="AR488" s="487" t="s">
        <v>299</v>
      </c>
      <c r="AS488" s="487">
        <f>+VLOOKUP($AJ488,Data_Validation!$A:$E,5,0)</f>
        <v>0</v>
      </c>
      <c r="AT488" s="904" t="str">
        <f t="shared" si="45"/>
        <v>G29400</v>
      </c>
      <c r="AU488" s="488" t="str">
        <f t="shared" si="46"/>
        <v>EPARGNE BULK</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2038</v>
      </c>
      <c r="D489" s="706" t="s">
        <v>2039</v>
      </c>
      <c r="E489" s="706" t="s">
        <v>333</v>
      </c>
      <c r="F489" s="706" t="s">
        <v>1136</v>
      </c>
      <c r="G489" s="706">
        <v>2000</v>
      </c>
      <c r="H489" s="706">
        <v>2000</v>
      </c>
      <c r="I489" s="706">
        <v>2000</v>
      </c>
      <c r="J489" s="706">
        <v>2000</v>
      </c>
      <c r="K489" s="706">
        <v>2000</v>
      </c>
      <c r="L489" s="706">
        <v>2000</v>
      </c>
      <c r="M489" s="706">
        <v>2000</v>
      </c>
      <c r="N489" s="706">
        <v>2000</v>
      </c>
      <c r="O489" s="706">
        <v>2000</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G29600</v>
      </c>
      <c r="AK489" s="905" t="str">
        <f t="shared" si="49"/>
        <v>AUTRES PLACEMENTS &amp; BIENS</v>
      </c>
      <c r="AL489" s="905">
        <f>IFERROR(INDEX(G489:R489,1,MATCH(Parametres!$B$3,G$1:R$1,0)-1)*IF(OR(F489="L",F489="S",F489="I"),-1,1),"")</f>
        <v>2000</v>
      </c>
      <c r="AM489" s="905">
        <f t="shared" si="44"/>
        <v>0</v>
      </c>
      <c r="AN489" s="905">
        <f>INDEX(G489:R489,1,MATCH(Parametres!$B$3,G$1:R$1,0))*IF(OR(F489="L",F489="S",F489="I"),-1,1)</f>
        <v>2000</v>
      </c>
      <c r="AO489" s="487" t="str">
        <f>+VLOOKUP($AJ489,Data_Validation!$A:$D,1,0)</f>
        <v>G29600</v>
      </c>
      <c r="AP489" s="487" t="str">
        <f>+VLOOKUP($AJ489,Data_Validation!$A:$D,3,0)</f>
        <v>Bilan</v>
      </c>
      <c r="AQ489" s="487" t="str">
        <f>+VLOOKUP($AJ489,Data_Validation!$A:$D,4,0)</f>
        <v>Avances à Recevoir Long Terme</v>
      </c>
      <c r="AR489" s="487" t="s">
        <v>299</v>
      </c>
      <c r="AS489" s="487">
        <f>+VLOOKUP($AJ489,Data_Validation!$A:$E,5,0)</f>
        <v>0</v>
      </c>
      <c r="AT489" s="904" t="str">
        <f t="shared" si="45"/>
        <v>G29600</v>
      </c>
      <c r="AU489" s="488" t="str">
        <f t="shared" si="46"/>
        <v>AUTRES PLACEMENTS &amp; BIENS</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2040</v>
      </c>
      <c r="D490" s="706" t="s">
        <v>2041</v>
      </c>
      <c r="E490" s="706" t="s">
        <v>333</v>
      </c>
      <c r="F490" s="706" t="s">
        <v>1136</v>
      </c>
      <c r="G490" s="706">
        <v>-66.849999999999994</v>
      </c>
      <c r="H490" s="706">
        <v>-66.849999999999994</v>
      </c>
      <c r="I490" s="706">
        <v>-66.849999999999994</v>
      </c>
      <c r="J490" s="706">
        <v>-66.849999999999994</v>
      </c>
      <c r="K490" s="706">
        <v>-66.849999999999994</v>
      </c>
      <c r="L490" s="706">
        <v>-66.849999999999994</v>
      </c>
      <c r="M490" s="706">
        <v>-66.849999999999994</v>
      </c>
      <c r="N490" s="706">
        <v>0</v>
      </c>
      <c r="O490" s="706">
        <v>0</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G29900</v>
      </c>
      <c r="AK490" s="905" t="str">
        <f t="shared" si="49"/>
        <v>INTER-DIVISION</v>
      </c>
      <c r="AL490" s="905">
        <f>IFERROR(INDEX(G490:R490,1,MATCH(Parametres!$B$3,G$1:R$1,0)-1)*IF(OR(F490="L",F490="S",F490="I"),-1,1),"")</f>
        <v>-66.849999999999994</v>
      </c>
      <c r="AM490" s="905">
        <f t="shared" si="44"/>
        <v>66.849999999999994</v>
      </c>
      <c r="AN490" s="905">
        <f>INDEX(G490:R490,1,MATCH(Parametres!$B$3,G$1:R$1,0))*IF(OR(F490="L",F490="S",F490="I"),-1,1)</f>
        <v>0</v>
      </c>
      <c r="AO490" s="487" t="str">
        <f>+VLOOKUP($AJ490,Data_Validation!$A:$D,1,0)</f>
        <v>G29900</v>
      </c>
      <c r="AP490" s="487" t="str">
        <f>+VLOOKUP($AJ490,Data_Validation!$A:$D,3,0)</f>
        <v>Bilan</v>
      </c>
      <c r="AQ490" s="487" t="str">
        <f>+VLOOKUP($AJ490,Data_Validation!$A:$D,4,0)</f>
        <v>Avances à Recevoir Long Terme</v>
      </c>
      <c r="AR490" s="487" t="s">
        <v>299</v>
      </c>
      <c r="AS490" s="487">
        <f>+VLOOKUP($AJ490,Data_Validation!$A:$E,5,0)</f>
        <v>0</v>
      </c>
      <c r="AT490" s="904" t="str">
        <f t="shared" si="45"/>
        <v>G29900</v>
      </c>
      <c r="AU490" s="488" t="str">
        <f t="shared" si="46"/>
        <v>INTER-DIVISION</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customHeight="1">
      <c r="A491" s="706" t="s">
        <v>1148</v>
      </c>
      <c r="B491" s="706">
        <v>2026</v>
      </c>
      <c r="C491" s="706" t="s">
        <v>2042</v>
      </c>
      <c r="D491" s="706" t="s">
        <v>2043</v>
      </c>
      <c r="E491" s="706" t="s">
        <v>1146</v>
      </c>
      <c r="F491" s="706" t="s">
        <v>1135</v>
      </c>
      <c r="G491" s="706">
        <v>546497.76</v>
      </c>
      <c r="H491" s="706">
        <v>562323.41</v>
      </c>
      <c r="I491" s="706">
        <v>1708430.46</v>
      </c>
      <c r="J491" s="706">
        <v>4110330.37</v>
      </c>
      <c r="K491" s="706">
        <v>2543636.4300000002</v>
      </c>
      <c r="L491" s="706">
        <v>2478319.29</v>
      </c>
      <c r="M491" s="706">
        <v>2226444.64</v>
      </c>
      <c r="N491" s="706">
        <v>790523.4</v>
      </c>
      <c r="O491" s="706">
        <v>1764701.38</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G30000</v>
      </c>
      <c r="AK491" s="905" t="str">
        <f t="shared" si="49"/>
        <v>C/P FOURNISSEURS</v>
      </c>
      <c r="AL491" s="905">
        <f>IFERROR(INDEX(G491:R491,1,MATCH(Parametres!$B$3,G$1:R$1,0)-1)*IF(OR(F491="L",F491="S",F491="I"),-1,1),"")</f>
        <v>-2226444.64</v>
      </c>
      <c r="AM491" s="905">
        <f t="shared" si="44"/>
        <v>1435921.2400000002</v>
      </c>
      <c r="AN491" s="905">
        <f>INDEX(G491:R491,1,MATCH(Parametres!$B$3,G$1:R$1,0))*IF(OR(F491="L",F491="S",F491="I"),-1,1)</f>
        <v>-790523.4</v>
      </c>
      <c r="AO491" s="487" t="str">
        <f>+VLOOKUP($AJ491,Data_Validation!$A:$D,1,0)</f>
        <v>G30000</v>
      </c>
      <c r="AP491" s="487" t="str">
        <f>+VLOOKUP($AJ491,Data_Validation!$A:$D,3,0)</f>
        <v>Bilan</v>
      </c>
      <c r="AQ491" s="487" t="str">
        <f>+VLOOKUP($AJ491,Data_Validation!$A:$D,4,0)</f>
        <v>Comptes à Payer Fournisseurs</v>
      </c>
      <c r="AR491" s="487" t="s">
        <v>299</v>
      </c>
      <c r="AS491" s="487">
        <f>+VLOOKUP($AJ491,Data_Validation!$A:$E,5,0)</f>
        <v>0</v>
      </c>
      <c r="AT491" s="904" t="str">
        <f t="shared" si="45"/>
        <v>G30000</v>
      </c>
      <c r="AU491" s="488" t="str">
        <f t="shared" si="46"/>
        <v>C/P FOURNISSEURS</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customHeight="1">
      <c r="A492" s="706" t="s">
        <v>1148</v>
      </c>
      <c r="B492" s="706">
        <v>2026</v>
      </c>
      <c r="C492" s="706" t="s">
        <v>2044</v>
      </c>
      <c r="D492" s="706" t="s">
        <v>2045</v>
      </c>
      <c r="E492" s="706" t="s">
        <v>1146</v>
      </c>
      <c r="F492" s="706" t="s">
        <v>1135</v>
      </c>
      <c r="G492" s="706">
        <v>0</v>
      </c>
      <c r="H492" s="706">
        <v>0</v>
      </c>
      <c r="I492" s="706">
        <v>0</v>
      </c>
      <c r="J492" s="706">
        <v>0</v>
      </c>
      <c r="K492" s="706">
        <v>0</v>
      </c>
      <c r="L492" s="706">
        <v>0</v>
      </c>
      <c r="M492" s="706">
        <v>0</v>
      </c>
      <c r="N492" s="706">
        <v>0</v>
      </c>
      <c r="O492" s="706">
        <v>0</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G30001</v>
      </c>
      <c r="AK492" s="905" t="str">
        <f t="shared" si="49"/>
        <v>COMPTES A PAYER OPEN-ITEM</v>
      </c>
      <c r="AL492" s="905">
        <f>IFERROR(INDEX(G492:R492,1,MATCH(Parametres!$B$3,G$1:R$1,0)-1)*IF(OR(F492="L",F492="S",F492="I"),-1,1),"")</f>
        <v>0</v>
      </c>
      <c r="AM492" s="905">
        <f t="shared" si="44"/>
        <v>0</v>
      </c>
      <c r="AN492" s="905">
        <f>INDEX(G492:R492,1,MATCH(Parametres!$B$3,G$1:R$1,0))*IF(OR(F492="L",F492="S",F492="I"),-1,1)</f>
        <v>0</v>
      </c>
      <c r="AO492" s="487" t="e">
        <f>+VLOOKUP($AJ492,Data_Validation!$A:$D,1,0)</f>
        <v>#N/A</v>
      </c>
      <c r="AP492" s="487" t="e">
        <f>+VLOOKUP($AJ492,Data_Validation!$A:$D,3,0)</f>
        <v>#N/A</v>
      </c>
      <c r="AQ492" s="487" t="e">
        <f>+VLOOKUP($AJ492,Data_Validation!$A:$D,4,0)</f>
        <v>#N/A</v>
      </c>
      <c r="AR492" s="487" t="s">
        <v>299</v>
      </c>
      <c r="AS492" s="487" t="e">
        <f>+VLOOKUP($AJ492,Data_Validation!$A:$E,5,0)</f>
        <v>#N/A</v>
      </c>
      <c r="AT492" s="904" t="str">
        <f t="shared" si="45"/>
        <v>G30001</v>
      </c>
      <c r="AU492" s="488" t="str">
        <f t="shared" si="46"/>
        <v>COMPTES A PAYER OPEN-ITEM</v>
      </c>
      <c r="AV492" s="899">
        <f>IFERROR(INDEX(V492:AG492,1,MATCH(Parametres!$B$3,V$1:AG$1,0)-1)*IF(OR(C492="L",C492="S",C492="I"),-1,1),"")</f>
        <v>0</v>
      </c>
      <c r="AW492" s="899">
        <f t="shared" si="47"/>
        <v>0</v>
      </c>
      <c r="AX492" s="899">
        <f>INDEX(V492:AG492,1,MATCH(Parametres!$B$3,V$1:AG$1,0))*IF(OR(C492="L",C492="S",C492="I"),-1,1)</f>
        <v>0</v>
      </c>
      <c r="AY492" s="487" t="s">
        <v>337</v>
      </c>
      <c r="AZ492" s="487" t="e">
        <f>+VLOOKUP($AJ492,Data_Validation!$A:$E,5,0)</f>
        <v>#N/A</v>
      </c>
    </row>
    <row r="493" spans="1:52" ht="15" customHeight="1">
      <c r="A493" s="706" t="s">
        <v>1148</v>
      </c>
      <c r="B493" s="706">
        <v>2026</v>
      </c>
      <c r="C493" s="706" t="s">
        <v>2046</v>
      </c>
      <c r="D493" s="706" t="s">
        <v>2047</v>
      </c>
      <c r="E493" s="706" t="s">
        <v>1139</v>
      </c>
      <c r="F493" s="706" t="s">
        <v>1135</v>
      </c>
      <c r="G493" s="706">
        <v>0</v>
      </c>
      <c r="H493" s="706">
        <v>0</v>
      </c>
      <c r="I493" s="706">
        <v>195</v>
      </c>
      <c r="J493" s="706">
        <v>195</v>
      </c>
      <c r="K493" s="706">
        <v>195</v>
      </c>
      <c r="L493" s="706">
        <v>195</v>
      </c>
      <c r="M493" s="706">
        <v>195</v>
      </c>
      <c r="N493" s="706">
        <v>195</v>
      </c>
      <c r="O493" s="706">
        <v>195</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G30010</v>
      </c>
      <c r="AK493" s="905" t="str">
        <f t="shared" si="49"/>
        <v>CLAIMS G.M. DU AUX CLIENT</v>
      </c>
      <c r="AL493" s="905">
        <f>IFERROR(INDEX(G493:R493,1,MATCH(Parametres!$B$3,G$1:R$1,0)-1)*IF(OR(F493="L",F493="S",F493="I"),-1,1),"")</f>
        <v>-195</v>
      </c>
      <c r="AM493" s="905">
        <f t="shared" si="44"/>
        <v>0</v>
      </c>
      <c r="AN493" s="905">
        <f>INDEX(G493:R493,1,MATCH(Parametres!$B$3,G$1:R$1,0))*IF(OR(F493="L",F493="S",F493="I"),-1,1)</f>
        <v>-195</v>
      </c>
      <c r="AO493" s="487" t="str">
        <f>+VLOOKUP($AJ493,Data_Validation!$A:$D,1,0)</f>
        <v>G30010</v>
      </c>
      <c r="AP493" s="487" t="str">
        <f>+VLOOKUP($AJ493,Data_Validation!$A:$D,3,0)</f>
        <v>Bilan</v>
      </c>
      <c r="AQ493" s="487" t="str">
        <f>+VLOOKUP($AJ493,Data_Validation!$A:$D,4,0)</f>
        <v>Autres Comptes à Payer</v>
      </c>
      <c r="AR493" s="487" t="s">
        <v>299</v>
      </c>
      <c r="AS493" s="487">
        <f>+VLOOKUP($AJ493,Data_Validation!$A:$E,5,0)</f>
        <v>0</v>
      </c>
      <c r="AT493" s="904" t="str">
        <f t="shared" si="45"/>
        <v>G30010</v>
      </c>
      <c r="AU493" s="488" t="str">
        <f t="shared" si="46"/>
        <v>CLAIMS G.M. DU AUX CLIENT</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customHeight="1">
      <c r="A494" s="706" t="s">
        <v>1148</v>
      </c>
      <c r="B494" s="706">
        <v>2026</v>
      </c>
      <c r="C494" s="706" t="s">
        <v>2048</v>
      </c>
      <c r="D494" s="706" t="s">
        <v>2049</v>
      </c>
      <c r="E494" s="706" t="s">
        <v>1139</v>
      </c>
      <c r="F494" s="706" t="s">
        <v>1135</v>
      </c>
      <c r="G494" s="706">
        <v>41747.69</v>
      </c>
      <c r="H494" s="706">
        <v>14473.42</v>
      </c>
      <c r="I494" s="706">
        <v>16879</v>
      </c>
      <c r="J494" s="706">
        <v>-836.15</v>
      </c>
      <c r="K494" s="706">
        <v>12556.56</v>
      </c>
      <c r="L494" s="706">
        <v>24569</v>
      </c>
      <c r="M494" s="706">
        <v>9647.8700000000008</v>
      </c>
      <c r="N494" s="706">
        <v>6154.77</v>
      </c>
      <c r="O494" s="706">
        <v>-215.93</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G30020</v>
      </c>
      <c r="AK494" s="905" t="str">
        <f t="shared" si="49"/>
        <v>PLAN PROTECTION A PAYER</v>
      </c>
      <c r="AL494" s="905">
        <f>IFERROR(INDEX(G494:R494,1,MATCH(Parametres!$B$3,G$1:R$1,0)-1)*IF(OR(F494="L",F494="S",F494="I"),-1,1),"")</f>
        <v>-9647.8700000000008</v>
      </c>
      <c r="AM494" s="905">
        <f t="shared" si="44"/>
        <v>3493.1000000000004</v>
      </c>
      <c r="AN494" s="905">
        <f>INDEX(G494:R494,1,MATCH(Parametres!$B$3,G$1:R$1,0))*IF(OR(F494="L",F494="S",F494="I"),-1,1)</f>
        <v>-6154.77</v>
      </c>
      <c r="AO494" s="487" t="str">
        <f>+VLOOKUP($AJ494,Data_Validation!$A:$D,1,0)</f>
        <v>G30020</v>
      </c>
      <c r="AP494" s="487" t="str">
        <f>+VLOOKUP($AJ494,Data_Validation!$A:$D,3,0)</f>
        <v>Bilan</v>
      </c>
      <c r="AQ494" s="487" t="str">
        <f>+VLOOKUP($AJ494,Data_Validation!$A:$D,4,0)</f>
        <v>Autres Comptes à Payer</v>
      </c>
      <c r="AR494" s="487" t="s">
        <v>299</v>
      </c>
      <c r="AS494" s="487">
        <f>+VLOOKUP($AJ494,Data_Validation!$A:$E,5,0)</f>
        <v>0</v>
      </c>
      <c r="AT494" s="904" t="str">
        <f t="shared" si="45"/>
        <v>G30020</v>
      </c>
      <c r="AU494" s="488" t="str">
        <f t="shared" si="46"/>
        <v>PLAN PROTECTION A PAYER</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3417</v>
      </c>
      <c r="D495" s="706" t="s">
        <v>3418</v>
      </c>
      <c r="E495" s="706" t="s">
        <v>1139</v>
      </c>
      <c r="F495" s="706" t="s">
        <v>1135</v>
      </c>
      <c r="G495" s="706">
        <v>0</v>
      </c>
      <c r="H495" s="706">
        <v>0</v>
      </c>
      <c r="I495" s="706">
        <v>0</v>
      </c>
      <c r="J495" s="706">
        <v>0</v>
      </c>
      <c r="K495" s="706">
        <v>0</v>
      </c>
      <c r="L495" s="706">
        <v>0</v>
      </c>
      <c r="M495" s="706">
        <v>1467.1</v>
      </c>
      <c r="N495" s="706">
        <v>664.1</v>
      </c>
      <c r="O495" s="706">
        <v>2071.1</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G30025</v>
      </c>
      <c r="AK495" s="905" t="str">
        <f t="shared" si="49"/>
        <v>PRODUITS F&amp;I - SERVICE</v>
      </c>
      <c r="AL495" s="905">
        <f>IFERROR(INDEX(G495:R495,1,MATCH(Parametres!$B$3,G$1:R$1,0)-1)*IF(OR(F495="L",F495="S",F495="I"),-1,1),"")</f>
        <v>-1467.1</v>
      </c>
      <c r="AM495" s="905">
        <f t="shared" si="44"/>
        <v>802.99999999999989</v>
      </c>
      <c r="AN495" s="905">
        <f>INDEX(G495:R495,1,MATCH(Parametres!$B$3,G$1:R$1,0))*IF(OR(F495="L",F495="S",F495="I"),-1,1)</f>
        <v>-664.1</v>
      </c>
      <c r="AO495" s="487" t="str">
        <f>+VLOOKUP($AJ495,Data_Validation!$A:$D,1,0)</f>
        <v>G30025</v>
      </c>
      <c r="AP495" s="487" t="str">
        <f>+VLOOKUP($AJ495,Data_Validation!$A:$D,3,0)</f>
        <v>Bilan</v>
      </c>
      <c r="AQ495" s="487" t="str">
        <f>+VLOOKUP($AJ495,Data_Validation!$A:$D,4,0)</f>
        <v>Autres Comptes à Payer</v>
      </c>
      <c r="AR495" s="487" t="s">
        <v>299</v>
      </c>
      <c r="AS495" s="487">
        <f>+VLOOKUP($AJ495,Data_Validation!$A:$E,5,0)</f>
        <v>0</v>
      </c>
      <c r="AT495" s="904" t="str">
        <f t="shared" si="45"/>
        <v>G30025</v>
      </c>
      <c r="AU495" s="488" t="str">
        <f t="shared" si="46"/>
        <v>PRODUITS F&amp;I - SERVICE</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customHeight="1">
      <c r="A496" s="706" t="s">
        <v>1148</v>
      </c>
      <c r="B496" s="706">
        <v>2026</v>
      </c>
      <c r="C496" s="706" t="s">
        <v>2050</v>
      </c>
      <c r="D496" s="706" t="s">
        <v>2051</v>
      </c>
      <c r="E496" s="706" t="s">
        <v>333</v>
      </c>
      <c r="F496" s="706" t="s">
        <v>1135</v>
      </c>
      <c r="G496" s="706">
        <v>1633.5</v>
      </c>
      <c r="H496" s="706">
        <v>2146.5</v>
      </c>
      <c r="I496" s="706">
        <v>1795.5</v>
      </c>
      <c r="J496" s="706">
        <v>2093</v>
      </c>
      <c r="K496" s="706">
        <v>2628</v>
      </c>
      <c r="L496" s="706">
        <v>1629</v>
      </c>
      <c r="M496" s="706">
        <v>1467</v>
      </c>
      <c r="N496" s="706">
        <v>1624.5</v>
      </c>
      <c r="O496" s="706">
        <v>2934</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G30030</v>
      </c>
      <c r="AK496" s="905" t="str">
        <f t="shared" si="49"/>
        <v>DROIT SPECIF. SUR PNEUS</v>
      </c>
      <c r="AL496" s="905">
        <f>IFERROR(INDEX(G496:R496,1,MATCH(Parametres!$B$3,G$1:R$1,0)-1)*IF(OR(F496="L",F496="S",F496="I"),-1,1),"")</f>
        <v>-1467</v>
      </c>
      <c r="AM496" s="905">
        <f t="shared" si="44"/>
        <v>-157.5</v>
      </c>
      <c r="AN496" s="905">
        <f>INDEX(G496:R496,1,MATCH(Parametres!$B$3,G$1:R$1,0))*IF(OR(F496="L",F496="S",F496="I"),-1,1)</f>
        <v>-1624.5</v>
      </c>
      <c r="AO496" s="487" t="str">
        <f>+VLOOKUP($AJ496,Data_Validation!$A:$D,1,0)</f>
        <v>G30030</v>
      </c>
      <c r="AP496" s="487" t="str">
        <f>+VLOOKUP($AJ496,Data_Validation!$A:$D,3,0)</f>
        <v>Bilan</v>
      </c>
      <c r="AQ496" s="487" t="str">
        <f>+VLOOKUP($AJ496,Data_Validation!$A:$D,4,0)</f>
        <v>Taxes de Vente à Payer</v>
      </c>
      <c r="AR496" s="487" t="s">
        <v>299</v>
      </c>
      <c r="AS496" s="487">
        <f>+VLOOKUP($AJ496,Data_Validation!$A:$E,5,0)</f>
        <v>0</v>
      </c>
      <c r="AT496" s="904" t="str">
        <f t="shared" si="45"/>
        <v>G30030</v>
      </c>
      <c r="AU496" s="488" t="str">
        <f t="shared" si="46"/>
        <v>DROIT SPECIF. SUR PNEUS</v>
      </c>
      <c r="AV496" s="899">
        <f>IFERROR(INDEX(V496:AG496,1,MATCH(Parametres!$B$3,V$1:AG$1,0)-1)*IF(OR(C496="L",C496="S",C496="I"),-1,1),"")</f>
        <v>0</v>
      </c>
      <c r="AW496" s="899">
        <f t="shared" si="47"/>
        <v>0</v>
      </c>
      <c r="AX496" s="899">
        <f>INDEX(V496:AG496,1,MATCH(Parametres!$B$3,V$1:AG$1,0))*IF(OR(C496="L",C496="S",C496="I"),-1,1)</f>
        <v>0</v>
      </c>
      <c r="AY496" s="487" t="s">
        <v>337</v>
      </c>
      <c r="AZ496" s="487">
        <f>+VLOOKUP($AJ496,Data_Validation!$A:$E,5,0)</f>
        <v>0</v>
      </c>
    </row>
    <row r="497" spans="1:52" ht="15" customHeight="1">
      <c r="A497" s="706" t="s">
        <v>1148</v>
      </c>
      <c r="B497" s="706">
        <v>2026</v>
      </c>
      <c r="C497" s="706" t="s">
        <v>3324</v>
      </c>
      <c r="D497" s="706" t="s">
        <v>3325</v>
      </c>
      <c r="E497" s="706" t="s">
        <v>336</v>
      </c>
      <c r="F497" s="706" t="s">
        <v>1135</v>
      </c>
      <c r="G497" s="706">
        <v>0</v>
      </c>
      <c r="H497" s="706">
        <v>0</v>
      </c>
      <c r="I497" s="706">
        <v>0</v>
      </c>
      <c r="J497" s="706">
        <v>0</v>
      </c>
      <c r="K497" s="706">
        <v>0</v>
      </c>
      <c r="L497" s="706">
        <v>0</v>
      </c>
      <c r="M497" s="706">
        <v>0</v>
      </c>
      <c r="N497" s="706">
        <v>0</v>
      </c>
      <c r="O497" s="706">
        <v>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G30035</v>
      </c>
      <c r="AK497" s="905" t="str">
        <f t="shared" si="49"/>
        <v>AP VEH BMW SHERBROOKE</v>
      </c>
      <c r="AL497" s="905">
        <f>IFERROR(INDEX(G497:R497,1,MATCH(Parametres!$B$3,G$1:R$1,0)-1)*IF(OR(F497="L",F497="S",F497="I"),-1,1),"")</f>
        <v>0</v>
      </c>
      <c r="AM497" s="905">
        <f t="shared" si="44"/>
        <v>0</v>
      </c>
      <c r="AN497" s="905">
        <f>INDEX(G497:R497,1,MATCH(Parametres!$B$3,G$1:R$1,0))*IF(OR(F497="L",F497="S",F497="I"),-1,1)</f>
        <v>0</v>
      </c>
      <c r="AO497" s="487" t="e">
        <f>+VLOOKUP($AJ497,Data_Validation!$A:$D,1,0)</f>
        <v>#N/A</v>
      </c>
      <c r="AP497" s="487" t="e">
        <f>+VLOOKUP($AJ497,Data_Validation!$A:$D,3,0)</f>
        <v>#N/A</v>
      </c>
      <c r="AQ497" s="487" t="e">
        <f>+VLOOKUP($AJ497,Data_Validation!$A:$D,4,0)</f>
        <v>#N/A</v>
      </c>
      <c r="AR497" s="487" t="s">
        <v>299</v>
      </c>
      <c r="AS497" s="487" t="e">
        <f>+VLOOKUP($AJ497,Data_Validation!$A:$E,5,0)</f>
        <v>#N/A</v>
      </c>
      <c r="AT497" s="904" t="str">
        <f t="shared" si="45"/>
        <v>G30035</v>
      </c>
      <c r="AU497" s="488" t="str">
        <f t="shared" si="46"/>
        <v>AP VEH BMW SHERBROOKE</v>
      </c>
      <c r="AV497" s="899">
        <f>IFERROR(INDEX(V497:AG497,1,MATCH(Parametres!$B$3,V$1:AG$1,0)-1)*IF(OR(C497="L",C497="S",C497="I"),-1,1),"")</f>
        <v>0</v>
      </c>
      <c r="AW497" s="899">
        <f t="shared" si="47"/>
        <v>0</v>
      </c>
      <c r="AX497" s="899">
        <f>INDEX(V497:AG497,1,MATCH(Parametres!$B$3,V$1:AG$1,0))*IF(OR(C497="L",C497="S",C497="I"),-1,1)</f>
        <v>0</v>
      </c>
      <c r="AY497" s="487" t="s">
        <v>337</v>
      </c>
      <c r="AZ497" s="487" t="e">
        <f>+VLOOKUP($AJ497,Data_Validation!$A:$E,5,0)</f>
        <v>#N/A</v>
      </c>
    </row>
    <row r="498" spans="1:52" ht="15" customHeight="1">
      <c r="A498" s="706" t="s">
        <v>1148</v>
      </c>
      <c r="B498" s="706">
        <v>2026</v>
      </c>
      <c r="C498" s="706" t="s">
        <v>2052</v>
      </c>
      <c r="D498" s="706" t="s">
        <v>2053</v>
      </c>
      <c r="E498" s="706" t="s">
        <v>333</v>
      </c>
      <c r="F498" s="706" t="s">
        <v>1135</v>
      </c>
      <c r="G498" s="706">
        <v>44500</v>
      </c>
      <c r="H498" s="706">
        <v>44500</v>
      </c>
      <c r="I498" s="706">
        <v>44500</v>
      </c>
      <c r="J498" s="706">
        <v>44500</v>
      </c>
      <c r="K498" s="706">
        <v>44500</v>
      </c>
      <c r="L498" s="706">
        <v>44500</v>
      </c>
      <c r="M498" s="706">
        <v>-55500</v>
      </c>
      <c r="N498" s="706">
        <v>-55500</v>
      </c>
      <c r="O498" s="706">
        <v>-55500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G30040</v>
      </c>
      <c r="AK498" s="905" t="str">
        <f t="shared" si="49"/>
        <v>AVANCE REMARK. AUTO CANAD</v>
      </c>
      <c r="AL498" s="905">
        <f>IFERROR(INDEX(G498:R498,1,MATCH(Parametres!$B$3,G$1:R$1,0)-1)*IF(OR(F498="L",F498="S",F498="I"),-1,1),"")</f>
        <v>55500</v>
      </c>
      <c r="AM498" s="905">
        <f t="shared" si="44"/>
        <v>0</v>
      </c>
      <c r="AN498" s="905">
        <f>INDEX(G498:R498,1,MATCH(Parametres!$B$3,G$1:R$1,0))*IF(OR(F498="L",F498="S",F498="I"),-1,1)</f>
        <v>55500</v>
      </c>
      <c r="AO498" s="487" t="str">
        <f>+VLOOKUP($AJ498,Data_Validation!$A:$D,1,0)</f>
        <v>G30040</v>
      </c>
      <c r="AP498" s="487" t="str">
        <f>+VLOOKUP($AJ498,Data_Validation!$A:$D,3,0)</f>
        <v>Bilan</v>
      </c>
      <c r="AQ498" s="487" t="str">
        <f>+VLOOKUP($AJ498,Data_Validation!$A:$D,4,0)</f>
        <v>Payables Intercos</v>
      </c>
      <c r="AR498" s="487" t="s">
        <v>299</v>
      </c>
      <c r="AS498" s="487">
        <f>+VLOOKUP($AJ498,Data_Validation!$A:$E,5,0)</f>
        <v>0</v>
      </c>
      <c r="AT498" s="904" t="str">
        <f t="shared" si="45"/>
        <v>G30040</v>
      </c>
      <c r="AU498" s="488" t="str">
        <f t="shared" si="46"/>
        <v>AVANCE REMARK. AUTO CANAD</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customHeight="1">
      <c r="A499" s="706" t="s">
        <v>1148</v>
      </c>
      <c r="B499" s="706">
        <v>2026</v>
      </c>
      <c r="C499" s="706" t="s">
        <v>3326</v>
      </c>
      <c r="D499" s="706" t="s">
        <v>3327</v>
      </c>
      <c r="E499" s="706" t="s">
        <v>336</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G30041</v>
      </c>
      <c r="AK499" s="905" t="str">
        <f t="shared" si="49"/>
        <v>AP VEH LOCATION LMB</v>
      </c>
      <c r="AL499" s="905">
        <f>IFERROR(INDEX(G499:R499,1,MATCH(Parametres!$B$3,G$1:R$1,0)-1)*IF(OR(F499="L",F499="S",F499="I"),-1,1),"")</f>
        <v>0</v>
      </c>
      <c r="AM499" s="905">
        <f t="shared" si="44"/>
        <v>0</v>
      </c>
      <c r="AN499" s="905">
        <f>INDEX(G499:R499,1,MATCH(Parametres!$B$3,G$1:R$1,0))*IF(OR(F499="L",F499="S",F499="I"),-1,1)</f>
        <v>0</v>
      </c>
      <c r="AO499" s="487" t="e">
        <f>+VLOOKUP($AJ499,Data_Validation!$A:$D,1,0)</f>
        <v>#N/A</v>
      </c>
      <c r="AP499" s="487" t="e">
        <f>+VLOOKUP($AJ499,Data_Validation!$A:$D,3,0)</f>
        <v>#N/A</v>
      </c>
      <c r="AQ499" s="487" t="e">
        <f>+VLOOKUP($AJ499,Data_Validation!$A:$D,4,0)</f>
        <v>#N/A</v>
      </c>
      <c r="AR499" s="487" t="s">
        <v>299</v>
      </c>
      <c r="AS499" s="487" t="e">
        <f>+VLOOKUP($AJ499,Data_Validation!$A:$E,5,0)</f>
        <v>#N/A</v>
      </c>
      <c r="AT499" s="904" t="str">
        <f t="shared" si="45"/>
        <v>G30041</v>
      </c>
      <c r="AU499" s="488" t="str">
        <f t="shared" si="46"/>
        <v>AP VEH LOCATION LMB</v>
      </c>
      <c r="AV499" s="899">
        <f>IFERROR(INDEX(V499:AG499,1,MATCH(Parametres!$B$3,V$1:AG$1,0)-1)*IF(OR(C499="L",C499="S",C499="I"),-1,1),"")</f>
        <v>0</v>
      </c>
      <c r="AW499" s="899">
        <f t="shared" si="47"/>
        <v>0</v>
      </c>
      <c r="AX499" s="899">
        <f>INDEX(V499:AG499,1,MATCH(Parametres!$B$3,V$1:AG$1,0))*IF(OR(C499="L",C499="S",C499="I"),-1,1)</f>
        <v>0</v>
      </c>
      <c r="AY499" s="487" t="s">
        <v>337</v>
      </c>
      <c r="AZ499" s="487" t="e">
        <f>+VLOOKUP($AJ499,Data_Validation!$A:$E,5,0)</f>
        <v>#N/A</v>
      </c>
    </row>
    <row r="500" spans="1:52" ht="15" customHeight="1">
      <c r="A500" s="706" t="s">
        <v>1148</v>
      </c>
      <c r="B500" s="706">
        <v>2026</v>
      </c>
      <c r="C500" s="706" t="s">
        <v>2054</v>
      </c>
      <c r="D500" s="706" t="s">
        <v>2055</v>
      </c>
      <c r="E500" s="706" t="s">
        <v>333</v>
      </c>
      <c r="F500" s="706" t="s">
        <v>1135</v>
      </c>
      <c r="G500" s="706">
        <v>3562</v>
      </c>
      <c r="H500" s="706">
        <v>3562</v>
      </c>
      <c r="I500" s="706">
        <v>3562</v>
      </c>
      <c r="J500" s="706">
        <v>3562</v>
      </c>
      <c r="K500" s="706">
        <v>3562</v>
      </c>
      <c r="L500" s="706">
        <v>3562</v>
      </c>
      <c r="M500" s="706">
        <v>3562</v>
      </c>
      <c r="N500" s="706">
        <v>3562</v>
      </c>
      <c r="O500" s="706">
        <v>3562</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G30045</v>
      </c>
      <c r="AK500" s="905" t="str">
        <f t="shared" si="49"/>
        <v>AVANCE 9046-6640 QC INC</v>
      </c>
      <c r="AL500" s="905">
        <f>IFERROR(INDEX(G500:R500,1,MATCH(Parametres!$B$3,G$1:R$1,0)-1)*IF(OR(F500="L",F500="S",F500="I"),-1,1),"")</f>
        <v>-3562</v>
      </c>
      <c r="AM500" s="905">
        <f t="shared" si="44"/>
        <v>0</v>
      </c>
      <c r="AN500" s="905">
        <f>INDEX(G500:R500,1,MATCH(Parametres!$B$3,G$1:R$1,0))*IF(OR(F500="L",F500="S",F500="I"),-1,1)</f>
        <v>-3562</v>
      </c>
      <c r="AO500" s="487" t="str">
        <f>+VLOOKUP($AJ500,Data_Validation!$A:$D,1,0)</f>
        <v>G30045</v>
      </c>
      <c r="AP500" s="487" t="str">
        <f>+VLOOKUP($AJ500,Data_Validation!$A:$D,3,0)</f>
        <v>Bilan</v>
      </c>
      <c r="AQ500" s="487" t="str">
        <f>+VLOOKUP($AJ500,Data_Validation!$A:$D,4,0)</f>
        <v>Payables Intercos</v>
      </c>
      <c r="AR500" s="487" t="s">
        <v>299</v>
      </c>
      <c r="AS500" s="487">
        <f>+VLOOKUP($AJ500,Data_Validation!$A:$E,5,0)</f>
        <v>0</v>
      </c>
      <c r="AT500" s="904" t="str">
        <f t="shared" si="45"/>
        <v>G30045</v>
      </c>
      <c r="AU500" s="488" t="str">
        <f t="shared" si="46"/>
        <v>AVANCE 9046-6640 QC INC</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customHeight="1">
      <c r="A501" s="706" t="s">
        <v>1148</v>
      </c>
      <c r="B501" s="706">
        <v>2026</v>
      </c>
      <c r="C501" s="706" t="s">
        <v>2056</v>
      </c>
      <c r="D501" s="706" t="s">
        <v>2057</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G30046</v>
      </c>
      <c r="AK501" s="905" t="str">
        <f t="shared" si="49"/>
        <v>AVANCE HYUNDAI ST-CONSTAN</v>
      </c>
      <c r="AL501" s="905">
        <f>IFERROR(INDEX(G501:R501,1,MATCH(Parametres!$B$3,G$1:R$1,0)-1)*IF(OR(F501="L",F501="S",F501="I"),-1,1),"")</f>
        <v>0</v>
      </c>
      <c r="AM501" s="905">
        <f t="shared" si="44"/>
        <v>0</v>
      </c>
      <c r="AN501" s="905">
        <f>INDEX(G501:R501,1,MATCH(Parametres!$B$3,G$1:R$1,0))*IF(OR(F501="L",F501="S",F501="I"),-1,1)</f>
        <v>0</v>
      </c>
      <c r="AO501" s="487" t="str">
        <f>+VLOOKUP($AJ501,Data_Validation!$A:$D,1,0)</f>
        <v>G30046</v>
      </c>
      <c r="AP501" s="487" t="str">
        <f>+VLOOKUP($AJ501,Data_Validation!$A:$D,3,0)</f>
        <v>Bilan</v>
      </c>
      <c r="AQ501" s="487" t="str">
        <f>+VLOOKUP($AJ501,Data_Validation!$A:$D,4,0)</f>
        <v>Payables Intercos</v>
      </c>
      <c r="AR501" s="487" t="s">
        <v>299</v>
      </c>
      <c r="AS501" s="487">
        <f>+VLOOKUP($AJ501,Data_Validation!$A:$E,5,0)</f>
        <v>0</v>
      </c>
      <c r="AT501" s="904" t="str">
        <f t="shared" si="45"/>
        <v>G30046</v>
      </c>
      <c r="AU501" s="488" t="str">
        <f t="shared" si="46"/>
        <v>AVANCE HYUNDAI ST-CONSTAN</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customHeight="1">
      <c r="A502" s="706" t="s">
        <v>1148</v>
      </c>
      <c r="B502" s="706">
        <v>2026</v>
      </c>
      <c r="C502" s="706" t="s">
        <v>2058</v>
      </c>
      <c r="D502" s="706" t="s">
        <v>2059</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G30047</v>
      </c>
      <c r="AK502" s="905" t="str">
        <f t="shared" si="49"/>
        <v>AVANCE - PAUL LOISELLE</v>
      </c>
      <c r="AL502" s="905">
        <f>IFERROR(INDEX(G502:R502,1,MATCH(Parametres!$B$3,G$1:R$1,0)-1)*IF(OR(F502="L",F502="S",F502="I"),-1,1),"")</f>
        <v>0</v>
      </c>
      <c r="AM502" s="905">
        <f t="shared" si="44"/>
        <v>0</v>
      </c>
      <c r="AN502" s="905">
        <f>INDEX(G502:R502,1,MATCH(Parametres!$B$3,G$1:R$1,0))*IF(OR(F502="L",F502="S",F502="I"),-1,1)</f>
        <v>0</v>
      </c>
      <c r="AO502" s="487" t="str">
        <f>+VLOOKUP($AJ502,Data_Validation!$A:$D,1,0)</f>
        <v>G30047</v>
      </c>
      <c r="AP502" s="487" t="str">
        <f>+VLOOKUP($AJ502,Data_Validation!$A:$D,3,0)</f>
        <v>Bilan</v>
      </c>
      <c r="AQ502" s="487" t="str">
        <f>+VLOOKUP($AJ502,Data_Validation!$A:$D,4,0)</f>
        <v>Payables Intercos</v>
      </c>
      <c r="AR502" s="487" t="s">
        <v>299</v>
      </c>
      <c r="AS502" s="487">
        <f>+VLOOKUP($AJ502,Data_Validation!$A:$E,5,0)</f>
        <v>0</v>
      </c>
      <c r="AT502" s="904" t="str">
        <f t="shared" si="45"/>
        <v>G30047</v>
      </c>
      <c r="AU502" s="488" t="str">
        <f t="shared" si="46"/>
        <v>AVANCE - PAUL LOISELLE</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2060</v>
      </c>
      <c r="D503" s="706" t="s">
        <v>2061</v>
      </c>
      <c r="E503" s="706" t="s">
        <v>333</v>
      </c>
      <c r="F503" s="706" t="s">
        <v>1135</v>
      </c>
      <c r="G503" s="706">
        <v>0</v>
      </c>
      <c r="H503" s="706">
        <v>0</v>
      </c>
      <c r="I503" s="706">
        <v>0</v>
      </c>
      <c r="J503" s="706">
        <v>0</v>
      </c>
      <c r="K503" s="706">
        <v>0</v>
      </c>
      <c r="L503" s="706">
        <v>0</v>
      </c>
      <c r="M503" s="706">
        <v>0</v>
      </c>
      <c r="N503" s="706">
        <v>0</v>
      </c>
      <c r="O503" s="706">
        <v>0</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G30048</v>
      </c>
      <c r="AK503" s="905" t="str">
        <f t="shared" si="49"/>
        <v>AVANCE LUC POIRIER</v>
      </c>
      <c r="AL503" s="905">
        <f>IFERROR(INDEX(G503:R503,1,MATCH(Parametres!$B$3,G$1:R$1,0)-1)*IF(OR(F503="L",F503="S",F503="I"),-1,1),"")</f>
        <v>0</v>
      </c>
      <c r="AM503" s="905">
        <f t="shared" si="44"/>
        <v>0</v>
      </c>
      <c r="AN503" s="905">
        <f>INDEX(G503:R503,1,MATCH(Parametres!$B$3,G$1:R$1,0))*IF(OR(F503="L",F503="S",F503="I"),-1,1)</f>
        <v>0</v>
      </c>
      <c r="AO503" s="487" t="str">
        <f>+VLOOKUP($AJ503,Data_Validation!$A:$D,1,0)</f>
        <v>G30048</v>
      </c>
      <c r="AP503" s="487">
        <f>+VLOOKUP($AJ503,Data_Validation!$A:$D,3,0)</f>
        <v>0</v>
      </c>
      <c r="AQ503" s="487">
        <f>+VLOOKUP($AJ503,Data_Validation!$A:$D,4,0)</f>
        <v>0</v>
      </c>
      <c r="AR503" s="487" t="s">
        <v>299</v>
      </c>
      <c r="AS503" s="487">
        <f>+VLOOKUP($AJ503,Data_Validation!$A:$E,5,0)</f>
        <v>0</v>
      </c>
      <c r="AT503" s="904" t="str">
        <f t="shared" si="45"/>
        <v>G30048</v>
      </c>
      <c r="AU503" s="488" t="str">
        <f t="shared" si="46"/>
        <v>AVANCE LUC POIRIER</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2062</v>
      </c>
      <c r="D504" s="706" t="s">
        <v>2063</v>
      </c>
      <c r="E504" s="706" t="s">
        <v>1141</v>
      </c>
      <c r="F504" s="706" t="s">
        <v>1135</v>
      </c>
      <c r="G504" s="706">
        <v>0</v>
      </c>
      <c r="H504" s="706">
        <v>0</v>
      </c>
      <c r="I504" s="706">
        <v>991</v>
      </c>
      <c r="J504" s="706">
        <v>991</v>
      </c>
      <c r="K504" s="706">
        <v>991</v>
      </c>
      <c r="L504" s="706">
        <v>991</v>
      </c>
      <c r="M504" s="706">
        <v>-93508.06</v>
      </c>
      <c r="N504" s="706">
        <v>-100883.1</v>
      </c>
      <c r="O504" s="706">
        <v>-100883.1</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G30050</v>
      </c>
      <c r="AK504" s="905" t="str">
        <f t="shared" si="49"/>
        <v>REVENUS DIFFERES</v>
      </c>
      <c r="AL504" s="905">
        <f>IFERROR(INDEX(G504:R504,1,MATCH(Parametres!$B$3,G$1:R$1,0)-1)*IF(OR(F504="L",F504="S",F504="I"),-1,1),"")</f>
        <v>93508.06</v>
      </c>
      <c r="AM504" s="905">
        <f t="shared" si="44"/>
        <v>7375.0400000000081</v>
      </c>
      <c r="AN504" s="905">
        <f>INDEX(G504:R504,1,MATCH(Parametres!$B$3,G$1:R$1,0))*IF(OR(F504="L",F504="S",F504="I"),-1,1)</f>
        <v>100883.1</v>
      </c>
      <c r="AO504" s="487" t="str">
        <f>+VLOOKUP($AJ504,Data_Validation!$A:$D,1,0)</f>
        <v>G30050</v>
      </c>
      <c r="AP504" s="487" t="str">
        <f>+VLOOKUP($AJ504,Data_Validation!$A:$D,3,0)</f>
        <v>Bilan</v>
      </c>
      <c r="AQ504" s="487" t="str">
        <f>+VLOOKUP($AJ504,Data_Validation!$A:$D,4,0)</f>
        <v>Autres Courus</v>
      </c>
      <c r="AR504" s="487" t="s">
        <v>299</v>
      </c>
      <c r="AS504" s="487">
        <f>+VLOOKUP($AJ504,Data_Validation!$A:$E,5,0)</f>
        <v>0</v>
      </c>
      <c r="AT504" s="904" t="str">
        <f t="shared" si="45"/>
        <v>G30050</v>
      </c>
      <c r="AU504" s="488" t="str">
        <f t="shared" si="46"/>
        <v>REVENUS DIFFERES</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2064</v>
      </c>
      <c r="D505" s="706" t="s">
        <v>2065</v>
      </c>
      <c r="E505" s="706" t="s">
        <v>1141</v>
      </c>
      <c r="F505" s="706" t="s">
        <v>1135</v>
      </c>
      <c r="G505" s="706">
        <v>289413.49</v>
      </c>
      <c r="H505" s="706">
        <v>363152.12</v>
      </c>
      <c r="I505" s="706">
        <v>480330.18</v>
      </c>
      <c r="J505" s="706">
        <v>469909.63</v>
      </c>
      <c r="K505" s="706">
        <v>549896.92000000004</v>
      </c>
      <c r="L505" s="706">
        <v>611748.11</v>
      </c>
      <c r="M505" s="706">
        <v>664272.38</v>
      </c>
      <c r="N505" s="706">
        <v>606806.64</v>
      </c>
      <c r="O505" s="706">
        <v>601956.64</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G30051</v>
      </c>
      <c r="AK505" s="905" t="str">
        <f t="shared" si="49"/>
        <v>REVENUS DIFFERÉS II</v>
      </c>
      <c r="AL505" s="905">
        <f>IFERROR(INDEX(G505:R505,1,MATCH(Parametres!$B$3,G$1:R$1,0)-1)*IF(OR(F505="L",F505="S",F505="I"),-1,1),"")</f>
        <v>-664272.38</v>
      </c>
      <c r="AM505" s="905">
        <f t="shared" si="44"/>
        <v>57465.739999999991</v>
      </c>
      <c r="AN505" s="905">
        <f>INDEX(G505:R505,1,MATCH(Parametres!$B$3,G$1:R$1,0))*IF(OR(F505="L",F505="S",F505="I"),-1,1)</f>
        <v>-606806.64</v>
      </c>
      <c r="AO505" s="487" t="str">
        <f>+VLOOKUP($AJ505,Data_Validation!$A:$D,1,0)</f>
        <v>G30051</v>
      </c>
      <c r="AP505" s="487" t="str">
        <f>+VLOOKUP($AJ505,Data_Validation!$A:$D,3,0)</f>
        <v>Bilan</v>
      </c>
      <c r="AQ505" s="487" t="str">
        <f>+VLOOKUP($AJ505,Data_Validation!$A:$D,4,0)</f>
        <v>Autres Courus</v>
      </c>
      <c r="AR505" s="487" t="s">
        <v>299</v>
      </c>
      <c r="AS505" s="487">
        <f>+VLOOKUP($AJ505,Data_Validation!$A:$E,5,0)</f>
        <v>0</v>
      </c>
      <c r="AT505" s="904" t="str">
        <f t="shared" si="45"/>
        <v>G30051</v>
      </c>
      <c r="AU505" s="488" t="str">
        <f t="shared" si="46"/>
        <v>REVENUS DIFFERÉS II</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2066</v>
      </c>
      <c r="D506" s="706" t="s">
        <v>2067</v>
      </c>
      <c r="E506" s="706" t="s">
        <v>333</v>
      </c>
      <c r="F506" s="706" t="s">
        <v>1135</v>
      </c>
      <c r="G506" s="706">
        <v>185658.82</v>
      </c>
      <c r="H506" s="706">
        <v>143527.18</v>
      </c>
      <c r="I506" s="706">
        <v>-83147.490000000005</v>
      </c>
      <c r="J506" s="706">
        <v>37749.65</v>
      </c>
      <c r="K506" s="706">
        <v>54764.9</v>
      </c>
      <c r="L506" s="706">
        <v>-112099.49</v>
      </c>
      <c r="M506" s="706">
        <v>-170929.61</v>
      </c>
      <c r="N506" s="706">
        <v>-189007.11</v>
      </c>
      <c r="O506" s="706">
        <v>-189007.11</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G30055</v>
      </c>
      <c r="AK506" s="905" t="str">
        <f t="shared" si="49"/>
        <v>RESERVE US-GAMMA</v>
      </c>
      <c r="AL506" s="905">
        <f>IFERROR(INDEX(G506:R506,1,MATCH(Parametres!$B$3,G$1:R$1,0)-1)*IF(OR(F506="L",F506="S",F506="I"),-1,1),"")</f>
        <v>170929.61</v>
      </c>
      <c r="AM506" s="905">
        <f t="shared" si="44"/>
        <v>18077.5</v>
      </c>
      <c r="AN506" s="905">
        <f>INDEX(G506:R506,1,MATCH(Parametres!$B$3,G$1:R$1,0))*IF(OR(F506="L",F506="S",F506="I"),-1,1)</f>
        <v>189007.11</v>
      </c>
      <c r="AO506" s="487" t="str">
        <f>+VLOOKUP($AJ506,Data_Validation!$A:$D,1,0)</f>
        <v>G30055</v>
      </c>
      <c r="AP506" s="487" t="str">
        <f>+VLOOKUP($AJ506,Data_Validation!$A:$D,3,0)</f>
        <v>Bilan</v>
      </c>
      <c r="AQ506" s="487" t="str">
        <f>+VLOOKUP($AJ506,Data_Validation!$A:$D,4,0)</f>
        <v>Autres Courus</v>
      </c>
      <c r="AR506" s="487" t="s">
        <v>299</v>
      </c>
      <c r="AS506" s="487">
        <f>+VLOOKUP($AJ506,Data_Validation!$A:$E,5,0)</f>
        <v>0</v>
      </c>
      <c r="AT506" s="904" t="str">
        <f t="shared" si="45"/>
        <v>G30055</v>
      </c>
      <c r="AU506" s="488" t="str">
        <f t="shared" si="46"/>
        <v>RESERVE US-GAMMA</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2068</v>
      </c>
      <c r="D507" s="706" t="s">
        <v>2069</v>
      </c>
      <c r="E507" s="706" t="s">
        <v>333</v>
      </c>
      <c r="F507" s="706" t="s">
        <v>1135</v>
      </c>
      <c r="G507" s="706">
        <v>2000000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G30070</v>
      </c>
      <c r="AK507" s="905" t="str">
        <f t="shared" si="49"/>
        <v>AVANCES HAWKSBERY CHEV</v>
      </c>
      <c r="AL507" s="905">
        <f>IFERROR(INDEX(G507:R507,1,MATCH(Parametres!$B$3,G$1:R$1,0)-1)*IF(OR(F507="L",F507="S",F507="I"),-1,1),"")</f>
        <v>0</v>
      </c>
      <c r="AM507" s="905">
        <f t="shared" si="44"/>
        <v>0</v>
      </c>
      <c r="AN507" s="905">
        <f>INDEX(G507:R507,1,MATCH(Parametres!$B$3,G$1:R$1,0))*IF(OR(F507="L",F507="S",F507="I"),-1,1)</f>
        <v>0</v>
      </c>
      <c r="AO507" s="487" t="str">
        <f>+VLOOKUP($AJ507,Data_Validation!$A:$D,1,0)</f>
        <v>G30070</v>
      </c>
      <c r="AP507" s="487" t="str">
        <f>+VLOOKUP($AJ507,Data_Validation!$A:$D,3,0)</f>
        <v>Bilan</v>
      </c>
      <c r="AQ507" s="487" t="str">
        <f>+VLOOKUP($AJ507,Data_Validation!$A:$D,4,0)</f>
        <v>Payables Intercos</v>
      </c>
      <c r="AR507" s="487" t="s">
        <v>299</v>
      </c>
      <c r="AS507" s="487">
        <f>+VLOOKUP($AJ507,Data_Validation!$A:$E,5,0)</f>
        <v>0</v>
      </c>
      <c r="AT507" s="904" t="str">
        <f t="shared" si="45"/>
        <v>G30070</v>
      </c>
      <c r="AU507" s="488" t="str">
        <f t="shared" si="46"/>
        <v>AVANCES HAWKSBERY CHEV</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2070</v>
      </c>
      <c r="D508" s="706" t="s">
        <v>2071</v>
      </c>
      <c r="E508" s="706" t="s">
        <v>333</v>
      </c>
      <c r="F508" s="706" t="s">
        <v>1135</v>
      </c>
      <c r="G508" s="706">
        <v>-3367687.77</v>
      </c>
      <c r="H508" s="706">
        <v>-3367687.77</v>
      </c>
      <c r="I508" s="706">
        <v>-3317687.77</v>
      </c>
      <c r="J508" s="706">
        <v>-3317687.77</v>
      </c>
      <c r="K508" s="706">
        <v>-3317687.77</v>
      </c>
      <c r="L508" s="706">
        <v>-4117687.77</v>
      </c>
      <c r="M508" s="706">
        <v>6239782</v>
      </c>
      <c r="N508" s="706">
        <v>6239782</v>
      </c>
      <c r="O508" s="706">
        <v>6239782</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G30080</v>
      </c>
      <c r="AK508" s="905" t="str">
        <f t="shared" si="49"/>
        <v>AVANCES 13721515 CANADA I</v>
      </c>
      <c r="AL508" s="905">
        <f>IFERROR(INDEX(G508:R508,1,MATCH(Parametres!$B$3,G$1:R$1,0)-1)*IF(OR(F508="L",F508="S",F508="I"),-1,1),"")</f>
        <v>-6239782</v>
      </c>
      <c r="AM508" s="905">
        <f t="shared" si="44"/>
        <v>0</v>
      </c>
      <c r="AN508" s="905">
        <f>INDEX(G508:R508,1,MATCH(Parametres!$B$3,G$1:R$1,0))*IF(OR(F508="L",F508="S",F508="I"),-1,1)</f>
        <v>-6239782</v>
      </c>
      <c r="AO508" s="487" t="str">
        <f>+VLOOKUP($AJ508,Data_Validation!$A:$D,1,0)</f>
        <v>G30080</v>
      </c>
      <c r="AP508" s="487" t="str">
        <f>+VLOOKUP($AJ508,Data_Validation!$A:$D,3,0)</f>
        <v>Bilan</v>
      </c>
      <c r="AQ508" s="487" t="str">
        <f>+VLOOKUP($AJ508,Data_Validation!$A:$D,4,0)</f>
        <v>Payables Intercos</v>
      </c>
      <c r="AR508" s="487" t="s">
        <v>299</v>
      </c>
      <c r="AS508" s="487">
        <f>+VLOOKUP($AJ508,Data_Validation!$A:$E,5,0)</f>
        <v>0</v>
      </c>
      <c r="AT508" s="904" t="str">
        <f t="shared" si="45"/>
        <v>G30080</v>
      </c>
      <c r="AU508" s="488" t="str">
        <f t="shared" si="46"/>
        <v>AVANCES 13721515 CANADA I</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2072</v>
      </c>
      <c r="D509" s="706" t="s">
        <v>2073</v>
      </c>
      <c r="E509" s="706" t="s">
        <v>333</v>
      </c>
      <c r="F509" s="706" t="s">
        <v>1135</v>
      </c>
      <c r="G509" s="706">
        <v>181477.75</v>
      </c>
      <c r="H509" s="706">
        <v>181477.75</v>
      </c>
      <c r="I509" s="706">
        <v>180282.01</v>
      </c>
      <c r="J509" s="706">
        <v>180282.01</v>
      </c>
      <c r="K509" s="706">
        <v>180282.01</v>
      </c>
      <c r="L509" s="706">
        <v>180282.01</v>
      </c>
      <c r="M509" s="706">
        <v>180282.01</v>
      </c>
      <c r="N509" s="706">
        <v>180282.01</v>
      </c>
      <c r="O509" s="706">
        <v>180282.01</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G30090</v>
      </c>
      <c r="AK509" s="905" t="str">
        <f t="shared" si="49"/>
        <v>AVANCES 9512-1703 QC</v>
      </c>
      <c r="AL509" s="905">
        <f>IFERROR(INDEX(G509:R509,1,MATCH(Parametres!$B$3,G$1:R$1,0)-1)*IF(OR(F509="L",F509="S",F509="I"),-1,1),"")</f>
        <v>-180282.01</v>
      </c>
      <c r="AM509" s="905">
        <f t="shared" si="44"/>
        <v>0</v>
      </c>
      <c r="AN509" s="905">
        <f>INDEX(G509:R509,1,MATCH(Parametres!$B$3,G$1:R$1,0))*IF(OR(F509="L",F509="S",F509="I"),-1,1)</f>
        <v>-180282.01</v>
      </c>
      <c r="AO509" s="487" t="str">
        <f>+VLOOKUP($AJ509,Data_Validation!$A:$D,1,0)</f>
        <v>G30090</v>
      </c>
      <c r="AP509" s="487" t="str">
        <f>+VLOOKUP($AJ509,Data_Validation!$A:$D,3,0)</f>
        <v>Bilan</v>
      </c>
      <c r="AQ509" s="487" t="str">
        <f>+VLOOKUP($AJ509,Data_Validation!$A:$D,4,0)</f>
        <v>Payables Intercos</v>
      </c>
      <c r="AR509" s="487" t="s">
        <v>299</v>
      </c>
      <c r="AS509" s="487">
        <f>+VLOOKUP($AJ509,Data_Validation!$A:$E,5,0)</f>
        <v>0</v>
      </c>
      <c r="AT509" s="904" t="str">
        <f t="shared" si="45"/>
        <v>G30090</v>
      </c>
      <c r="AU509" s="488" t="str">
        <f t="shared" si="46"/>
        <v>AVANCES 9512-1703 QC</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customHeight="1">
      <c r="A510" s="706" t="s">
        <v>1148</v>
      </c>
      <c r="B510" s="706">
        <v>2026</v>
      </c>
      <c r="C510" s="706" t="s">
        <v>2074</v>
      </c>
      <c r="D510" s="706" t="s">
        <v>2075</v>
      </c>
      <c r="E510" s="706" t="s">
        <v>333</v>
      </c>
      <c r="F510" s="706" t="s">
        <v>1135</v>
      </c>
      <c r="G510" s="706">
        <v>0</v>
      </c>
      <c r="H510" s="706">
        <v>0</v>
      </c>
      <c r="I510" s="706">
        <v>4936149</v>
      </c>
      <c r="J510" s="706">
        <v>4904017</v>
      </c>
      <c r="K510" s="706">
        <v>4871744</v>
      </c>
      <c r="L510" s="706">
        <v>4839332</v>
      </c>
      <c r="M510" s="706">
        <v>4806780</v>
      </c>
      <c r="N510" s="706">
        <v>4774086</v>
      </c>
      <c r="O510" s="706">
        <v>4774086</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G30095</v>
      </c>
      <c r="AK510" s="905" t="str">
        <f t="shared" si="49"/>
        <v>PRET BANQUE TD</v>
      </c>
      <c r="AL510" s="905">
        <f>IFERROR(INDEX(G510:R510,1,MATCH(Parametres!$B$3,G$1:R$1,0)-1)*IF(OR(F510="L",F510="S",F510="I"),-1,1),"")</f>
        <v>-4806780</v>
      </c>
      <c r="AM510" s="905">
        <f t="shared" si="44"/>
        <v>32694</v>
      </c>
      <c r="AN510" s="905">
        <f>INDEX(G510:R510,1,MATCH(Parametres!$B$3,G$1:R$1,0))*IF(OR(F510="L",F510="S",F510="I"),-1,1)</f>
        <v>-4774086</v>
      </c>
      <c r="AO510" s="487" t="str">
        <f>+VLOOKUP($AJ510,Data_Validation!$A:$D,1,0)</f>
        <v>G30095</v>
      </c>
      <c r="AP510" s="487" t="str">
        <f>+VLOOKUP($AJ510,Data_Validation!$A:$D,3,0)</f>
        <v>Bilan</v>
      </c>
      <c r="AQ510" s="487" t="str">
        <f>+VLOOKUP($AJ510,Data_Validation!$A:$D,4,0)</f>
        <v>Dette à Long terme</v>
      </c>
      <c r="AR510" s="487" t="s">
        <v>299</v>
      </c>
      <c r="AS510" s="487">
        <f>+VLOOKUP($AJ510,Data_Validation!$A:$E,5,0)</f>
        <v>0</v>
      </c>
      <c r="AT510" s="904" t="str">
        <f t="shared" si="45"/>
        <v>G30095</v>
      </c>
      <c r="AU510" s="488" t="str">
        <f t="shared" si="46"/>
        <v>PRET BANQUE TD</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customHeight="1">
      <c r="A511" s="706" t="s">
        <v>1148</v>
      </c>
      <c r="B511" s="706">
        <v>2026</v>
      </c>
      <c r="C511" s="706" t="s">
        <v>2076</v>
      </c>
      <c r="D511" s="706" t="s">
        <v>2077</v>
      </c>
      <c r="E511" s="706" t="s">
        <v>1142</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G30100</v>
      </c>
      <c r="AK511" s="905" t="str">
        <f t="shared" si="49"/>
        <v>DEPOT CLIENTS</v>
      </c>
      <c r="AL511" s="905">
        <f>IFERROR(INDEX(G511:R511,1,MATCH(Parametres!$B$3,G$1:R$1,0)-1)*IF(OR(F511="L",F511="S",F511="I"),-1,1),"")</f>
        <v>0</v>
      </c>
      <c r="AM511" s="905">
        <f t="shared" si="44"/>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45"/>
        <v>G30100</v>
      </c>
      <c r="AU511" s="488" t="str">
        <f t="shared" si="46"/>
        <v>DEPOT CLIENTS</v>
      </c>
      <c r="AV511" s="899">
        <f>IFERROR(INDEX(V511:AG511,1,MATCH(Parametres!$B$3,V$1:AG$1,0)-1)*IF(OR(C511="L",C511="S",C511="I"),-1,1),"")</f>
        <v>0</v>
      </c>
      <c r="AW511" s="899">
        <f t="shared" si="47"/>
        <v>0</v>
      </c>
      <c r="AX511" s="899">
        <f>INDEX(V511:AG511,1,MATCH(Parametres!$B$3,V$1:AG$1,0))*IF(OR(C511="L",C511="S",C511="I"),-1,1)</f>
        <v>0</v>
      </c>
      <c r="AY511" s="487" t="s">
        <v>337</v>
      </c>
      <c r="AZ511" s="487" t="e">
        <f>+VLOOKUP($AJ511,Data_Validation!$A:$E,5,0)</f>
        <v>#N/A</v>
      </c>
    </row>
    <row r="512" spans="1:52" ht="15" customHeight="1">
      <c r="A512" s="706" t="s">
        <v>1148</v>
      </c>
      <c r="B512" s="706">
        <v>2026</v>
      </c>
      <c r="C512" s="706" t="s">
        <v>2078</v>
      </c>
      <c r="D512" s="706" t="s">
        <v>2077</v>
      </c>
      <c r="E512" s="706" t="s">
        <v>1142</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G30300</v>
      </c>
      <c r="AK512" s="905" t="str">
        <f t="shared" si="49"/>
        <v>DEPOT CLIENTS</v>
      </c>
      <c r="AL512" s="905">
        <f>IFERROR(INDEX(G512:R512,1,MATCH(Parametres!$B$3,G$1:R$1,0)-1)*IF(OR(F512="L",F512="S",F512="I"),-1,1),"")</f>
        <v>0</v>
      </c>
      <c r="AM512" s="905">
        <f t="shared" si="44"/>
        <v>0</v>
      </c>
      <c r="AN512" s="905">
        <f>INDEX(G512:R512,1,MATCH(Parametres!$B$3,G$1:R$1,0))*IF(OR(F512="L",F512="S",F512="I"),-1,1)</f>
        <v>0</v>
      </c>
      <c r="AO512" s="487" t="str">
        <f>+VLOOKUP($AJ512,Data_Validation!$A:$D,1,0)</f>
        <v>G30300</v>
      </c>
      <c r="AP512" s="487" t="str">
        <f>+VLOOKUP($AJ512,Data_Validation!$A:$D,3,0)</f>
        <v>Bilan</v>
      </c>
      <c r="AQ512" s="487" t="str">
        <f>+VLOOKUP($AJ512,Data_Validation!$A:$D,4,0)</f>
        <v>Dépôts de Client</v>
      </c>
      <c r="AR512" s="487" t="s">
        <v>299</v>
      </c>
      <c r="AS512" s="487">
        <f>+VLOOKUP($AJ512,Data_Validation!$A:$E,5,0)</f>
        <v>0</v>
      </c>
      <c r="AT512" s="904" t="str">
        <f t="shared" si="45"/>
        <v>G30300</v>
      </c>
      <c r="AU512" s="488" t="str">
        <f t="shared" si="46"/>
        <v>DEPOT CLIENTS</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customHeight="1">
      <c r="A513" s="706" t="s">
        <v>1148</v>
      </c>
      <c r="B513" s="706">
        <v>2026</v>
      </c>
      <c r="C513" s="706" t="s">
        <v>2079</v>
      </c>
      <c r="D513" s="706" t="s">
        <v>2080</v>
      </c>
      <c r="E513" s="706" t="s">
        <v>1145</v>
      </c>
      <c r="F513" s="706" t="s">
        <v>1135</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G30900</v>
      </c>
      <c r="AK513" s="905" t="str">
        <f t="shared" si="49"/>
        <v>EFFETS A PAYER POINDS MOY</v>
      </c>
      <c r="AL513" s="905">
        <f>IFERROR(INDEX(G513:R513,1,MATCH(Parametres!$B$3,G$1:R$1,0)-1)*IF(OR(F513="L",F513="S",F513="I"),-1,1),"")</f>
        <v>0</v>
      </c>
      <c r="AM513" s="905">
        <f t="shared" si="44"/>
        <v>0</v>
      </c>
      <c r="AN513" s="905">
        <f>INDEX(G513:R513,1,MATCH(Parametres!$B$3,G$1:R$1,0))*IF(OR(F513="L",F513="S",F513="I"),-1,1)</f>
        <v>0</v>
      </c>
      <c r="AO513" s="487" t="e">
        <f>+VLOOKUP($AJ513,Data_Validation!$A:$D,1,0)</f>
        <v>#N/A</v>
      </c>
      <c r="AP513" s="487" t="e">
        <f>+VLOOKUP($AJ513,Data_Validation!$A:$D,3,0)</f>
        <v>#N/A</v>
      </c>
      <c r="AQ513" s="487" t="e">
        <f>+VLOOKUP($AJ513,Data_Validation!$A:$D,4,0)</f>
        <v>#N/A</v>
      </c>
      <c r="AR513" s="487" t="s">
        <v>299</v>
      </c>
      <c r="AS513" s="487" t="e">
        <f>+VLOOKUP($AJ513,Data_Validation!$A:$E,5,0)</f>
        <v>#N/A</v>
      </c>
      <c r="AT513" s="904" t="str">
        <f t="shared" si="45"/>
        <v>G30900</v>
      </c>
      <c r="AU513" s="488" t="str">
        <f t="shared" si="46"/>
        <v>EFFETS A PAYER POINDS MOY</v>
      </c>
      <c r="AV513" s="899">
        <f>IFERROR(INDEX(V513:AG513,1,MATCH(Parametres!$B$3,V$1:AG$1,0)-1)*IF(OR(C513="L",C513="S",C513="I"),-1,1),"")</f>
        <v>0</v>
      </c>
      <c r="AW513" s="899">
        <f t="shared" si="47"/>
        <v>0</v>
      </c>
      <c r="AX513" s="899">
        <f>INDEX(V513:AG513,1,MATCH(Parametres!$B$3,V$1:AG$1,0))*IF(OR(C513="L",C513="S",C513="I"),-1,1)</f>
        <v>0</v>
      </c>
      <c r="AY513" s="487" t="s">
        <v>337</v>
      </c>
      <c r="AZ513" s="487" t="e">
        <f>+VLOOKUP($AJ513,Data_Validation!$A:$E,5,0)</f>
        <v>#N/A</v>
      </c>
    </row>
    <row r="514" spans="1:52" ht="15" customHeight="1">
      <c r="A514" s="706" t="s">
        <v>1148</v>
      </c>
      <c r="B514" s="706">
        <v>2026</v>
      </c>
      <c r="C514" s="706" t="s">
        <v>2081</v>
      </c>
      <c r="D514" s="706" t="s">
        <v>2082</v>
      </c>
      <c r="E514" s="706" t="s">
        <v>1145</v>
      </c>
      <c r="F514" s="706" t="s">
        <v>1135</v>
      </c>
      <c r="G514" s="706">
        <v>35475226.490000002</v>
      </c>
      <c r="H514" s="706">
        <v>33617704.479999997</v>
      </c>
      <c r="I514" s="706">
        <v>38478809.700000003</v>
      </c>
      <c r="J514" s="706">
        <v>30592851.460000001</v>
      </c>
      <c r="K514" s="706">
        <v>31086026.609999999</v>
      </c>
      <c r="L514" s="706">
        <v>23163491.899999999</v>
      </c>
      <c r="M514" s="706">
        <v>20123396.530000001</v>
      </c>
      <c r="N514" s="706">
        <v>18945265.620000001</v>
      </c>
      <c r="O514" s="706">
        <v>16881906.300000001</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G31000</v>
      </c>
      <c r="AK514" s="905" t="str">
        <f t="shared" si="49"/>
        <v>EFFETS A PAYER VEHICULES</v>
      </c>
      <c r="AL514" s="905">
        <f>IFERROR(INDEX(G514:R514,1,MATCH(Parametres!$B$3,G$1:R$1,0)-1)*IF(OR(F514="L",F514="S",F514="I"),-1,1),"")</f>
        <v>-20123396.530000001</v>
      </c>
      <c r="AM514" s="905">
        <f t="shared" si="44"/>
        <v>1178130.9100000001</v>
      </c>
      <c r="AN514" s="905">
        <f>INDEX(G514:R514,1,MATCH(Parametres!$B$3,G$1:R$1,0))*IF(OR(F514="L",F514="S",F514="I"),-1,1)</f>
        <v>-18945265.620000001</v>
      </c>
      <c r="AO514" s="487" t="str">
        <f>+VLOOKUP($AJ514,Data_Validation!$A:$D,1,0)</f>
        <v>G31000</v>
      </c>
      <c r="AP514" s="487" t="str">
        <f>+VLOOKUP($AJ514,Data_Validation!$A:$D,3,0)</f>
        <v>Bilan</v>
      </c>
      <c r="AQ514" s="487" t="str">
        <f>+VLOOKUP($AJ514,Data_Validation!$A:$D,4,0)</f>
        <v>Effet à Payer Véhicules Neufs</v>
      </c>
      <c r="AR514" s="487" t="s">
        <v>299</v>
      </c>
      <c r="AS514" s="487">
        <f>+VLOOKUP($AJ514,Data_Validation!$A:$E,5,0)</f>
        <v>0</v>
      </c>
      <c r="AT514" s="904" t="str">
        <f t="shared" si="45"/>
        <v>G31000</v>
      </c>
      <c r="AU514" s="488" t="str">
        <f t="shared" si="46"/>
        <v>EFFETS A PAYER VEHICULES</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customHeight="1">
      <c r="A515" s="706" t="s">
        <v>1148</v>
      </c>
      <c r="B515" s="706">
        <v>2026</v>
      </c>
      <c r="C515" s="706" t="s">
        <v>2083</v>
      </c>
      <c r="D515" s="706" t="s">
        <v>2084</v>
      </c>
      <c r="E515" s="706" t="s">
        <v>1145</v>
      </c>
      <c r="F515" s="706" t="s">
        <v>1135</v>
      </c>
      <c r="G515" s="706">
        <v>22521503.649999999</v>
      </c>
      <c r="H515" s="706">
        <v>18148455.949999999</v>
      </c>
      <c r="I515" s="706">
        <v>19683759.649999999</v>
      </c>
      <c r="J515" s="706">
        <v>18909452.829999998</v>
      </c>
      <c r="K515" s="706">
        <v>16711712.949999999</v>
      </c>
      <c r="L515" s="706">
        <v>10228910.720000001</v>
      </c>
      <c r="M515" s="706">
        <v>9596441.6199999992</v>
      </c>
      <c r="N515" s="706">
        <v>4817360.8</v>
      </c>
      <c r="O515" s="706">
        <v>3885318.67</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G31100</v>
      </c>
      <c r="AK515" s="905" t="str">
        <f t="shared" si="49"/>
        <v>EFFETS PAYER VEH. OCC.</v>
      </c>
      <c r="AL515" s="905">
        <f>IFERROR(INDEX(G515:R515,1,MATCH(Parametres!$B$3,G$1:R$1,0)-1)*IF(OR(F515="L",F515="S",F515="I"),-1,1),"")</f>
        <v>-9596441.6199999992</v>
      </c>
      <c r="AM515" s="905">
        <f t="shared" si="44"/>
        <v>4779080.8199999994</v>
      </c>
      <c r="AN515" s="905">
        <f>INDEX(G515:R515,1,MATCH(Parametres!$B$3,G$1:R$1,0))*IF(OR(F515="L",F515="S",F515="I"),-1,1)</f>
        <v>-4817360.8</v>
      </c>
      <c r="AO515" s="487" t="str">
        <f>+VLOOKUP($AJ515,Data_Validation!$A:$D,1,0)</f>
        <v>G31100</v>
      </c>
      <c r="AP515" s="487" t="str">
        <f>+VLOOKUP($AJ515,Data_Validation!$A:$D,3,0)</f>
        <v>Bilan</v>
      </c>
      <c r="AQ515" s="487" t="str">
        <f>+VLOOKUP($AJ515,Data_Validation!$A:$D,4,0)</f>
        <v>Effet à Payer Véhicules Usagés</v>
      </c>
      <c r="AR515" s="487" t="s">
        <v>299</v>
      </c>
      <c r="AS515" s="487">
        <f>+VLOOKUP($AJ515,Data_Validation!$A:$E,5,0)</f>
        <v>0</v>
      </c>
      <c r="AT515" s="904" t="str">
        <f t="shared" si="45"/>
        <v>G31100</v>
      </c>
      <c r="AU515" s="488" t="str">
        <f t="shared" si="46"/>
        <v>EFFETS PAYER VEH. OCC.</v>
      </c>
      <c r="AV515" s="899">
        <f>IFERROR(INDEX(V515:AG515,1,MATCH(Parametres!$B$3,V$1:AG$1,0)-1)*IF(OR(C515="L",C515="S",C515="I"),-1,1),"")</f>
        <v>0</v>
      </c>
      <c r="AW515" s="899">
        <f t="shared" si="47"/>
        <v>0</v>
      </c>
      <c r="AX515" s="899">
        <f>INDEX(V515:AG515,1,MATCH(Parametres!$B$3,V$1:AG$1,0))*IF(OR(C515="L",C515="S",C515="I"),-1,1)</f>
        <v>0</v>
      </c>
      <c r="AY515" s="487" t="s">
        <v>337</v>
      </c>
      <c r="AZ515" s="487">
        <f>+VLOOKUP($AJ515,Data_Validation!$A:$E,5,0)</f>
        <v>0</v>
      </c>
    </row>
    <row r="516" spans="1:52" ht="15" customHeight="1">
      <c r="A516" s="706" t="s">
        <v>1148</v>
      </c>
      <c r="B516" s="706">
        <v>2026</v>
      </c>
      <c r="C516" s="706" t="s">
        <v>2085</v>
      </c>
      <c r="D516" s="706" t="s">
        <v>2086</v>
      </c>
      <c r="E516" s="706" t="s">
        <v>1145</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G31200</v>
      </c>
      <c r="AK516" s="905" t="str">
        <f t="shared" si="49"/>
        <v>A/P VEHICULES LOCATIONS</v>
      </c>
      <c r="AL516" s="905">
        <f>IFERROR(INDEX(G516:R516,1,MATCH(Parametres!$B$3,G$1:R$1,0)-1)*IF(OR(F516="L",F516="S",F516="I"),-1,1),"")</f>
        <v>0</v>
      </c>
      <c r="AM516" s="905">
        <f t="shared" ref="AM516:AM579" si="50">AN516-AL516</f>
        <v>0</v>
      </c>
      <c r="AN516" s="905">
        <f>INDEX(G516:R516,1,MATCH(Parametres!$B$3,G$1:R$1,0))*IF(OR(F516="L",F516="S",F516="I"),-1,1)</f>
        <v>0</v>
      </c>
      <c r="AO516" s="487" t="e">
        <f>+VLOOKUP($AJ516,Data_Validation!$A:$D,1,0)</f>
        <v>#N/A</v>
      </c>
      <c r="AP516" s="487" t="e">
        <f>+VLOOKUP($AJ516,Data_Validation!$A:$D,3,0)</f>
        <v>#N/A</v>
      </c>
      <c r="AQ516" s="487" t="e">
        <f>+VLOOKUP($AJ516,Data_Validation!$A:$D,4,0)</f>
        <v>#N/A</v>
      </c>
      <c r="AR516" s="487" t="s">
        <v>299</v>
      </c>
      <c r="AS516" s="487" t="e">
        <f>+VLOOKUP($AJ516,Data_Validation!$A:$E,5,0)</f>
        <v>#N/A</v>
      </c>
      <c r="AT516" s="904" t="str">
        <f t="shared" ref="AT516:AT579" si="51">C516</f>
        <v>G31200</v>
      </c>
      <c r="AU516" s="488" t="str">
        <f t="shared" ref="AU516:AU579" si="52">D516</f>
        <v>A/P VEHICULES LOCATIONS</v>
      </c>
      <c r="AV516" s="899">
        <f>IFERROR(INDEX(V516:AG516,1,MATCH(Parametres!$B$3,V$1:AG$1,0)-1)*IF(OR(C516="L",C516="S",C516="I"),-1,1),"")</f>
        <v>0</v>
      </c>
      <c r="AW516" s="899">
        <f t="shared" ref="AW516:AW579" si="53">AX516-AV516</f>
        <v>0</v>
      </c>
      <c r="AX516" s="899">
        <f>INDEX(V516:AG516,1,MATCH(Parametres!$B$3,V$1:AG$1,0))*IF(OR(C516="L",C516="S",C516="I"),-1,1)</f>
        <v>0</v>
      </c>
      <c r="AY516" s="487" t="s">
        <v>337</v>
      </c>
      <c r="AZ516" s="487" t="e">
        <f>+VLOOKUP($AJ516,Data_Validation!$A:$E,5,0)</f>
        <v>#N/A</v>
      </c>
    </row>
    <row r="517" spans="1:52" ht="15" customHeight="1">
      <c r="A517" s="706" t="s">
        <v>1148</v>
      </c>
      <c r="B517" s="706">
        <v>2026</v>
      </c>
      <c r="C517" s="706" t="s">
        <v>2087</v>
      </c>
      <c r="D517" s="706" t="s">
        <v>1144</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G31400</v>
      </c>
      <c r="AK517" s="905" t="str">
        <f t="shared" si="49"/>
        <v>MARGE DE CREDIT</v>
      </c>
      <c r="AL517" s="905">
        <f>IFERROR(INDEX(G517:R517,1,MATCH(Parametres!$B$3,G$1:R$1,0)-1)*IF(OR(F517="L",F517="S",F517="I"),-1,1),"")</f>
        <v>0</v>
      </c>
      <c r="AM517" s="905">
        <f t="shared" si="50"/>
        <v>0</v>
      </c>
      <c r="AN517" s="905">
        <f>INDEX(G517:R517,1,MATCH(Parametres!$B$3,G$1:R$1,0))*IF(OR(F517="L",F517="S",F517="I"),-1,1)</f>
        <v>0</v>
      </c>
      <c r="AO517" s="487" t="str">
        <f>+VLOOKUP($AJ517,Data_Validation!$A:$D,1,0)</f>
        <v>G31400</v>
      </c>
      <c r="AP517" s="487">
        <f>+VLOOKUP($AJ517,Data_Validation!$A:$D,3,0)</f>
        <v>0</v>
      </c>
      <c r="AQ517" s="487">
        <f>+VLOOKUP($AJ517,Data_Validation!$A:$D,4,0)</f>
        <v>0</v>
      </c>
      <c r="AR517" s="487" t="s">
        <v>299</v>
      </c>
      <c r="AS517" s="487">
        <f>+VLOOKUP($AJ517,Data_Validation!$A:$E,5,0)</f>
        <v>0</v>
      </c>
      <c r="AT517" s="904" t="str">
        <f t="shared" si="51"/>
        <v>G31400</v>
      </c>
      <c r="AU517" s="488" t="str">
        <f t="shared" si="52"/>
        <v>MARGE DE CREDIT</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customHeight="1">
      <c r="A518" s="706" t="s">
        <v>1148</v>
      </c>
      <c r="B518" s="706">
        <v>2026</v>
      </c>
      <c r="C518" s="706" t="s">
        <v>2088</v>
      </c>
      <c r="D518" s="706" t="s">
        <v>2089</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G31500</v>
      </c>
      <c r="AK518" s="905" t="str">
        <f t="shared" si="49"/>
        <v>T.P.S. PAYABLE</v>
      </c>
      <c r="AL518" s="905">
        <f>IFERROR(INDEX(G518:R518,1,MATCH(Parametres!$B$3,G$1:R$1,0)-1)*IF(OR(F518="L",F518="S",F518="I"),-1,1),"")</f>
        <v>0</v>
      </c>
      <c r="AM518" s="905">
        <f t="shared" si="50"/>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51"/>
        <v>G31500</v>
      </c>
      <c r="AU518" s="488" t="str">
        <f t="shared" si="52"/>
        <v>T.P.S. PAYABLE</v>
      </c>
      <c r="AV518" s="899">
        <f>IFERROR(INDEX(V518:AG518,1,MATCH(Parametres!$B$3,V$1:AG$1,0)-1)*IF(OR(C518="L",C518="S",C518="I"),-1,1),"")</f>
        <v>0</v>
      </c>
      <c r="AW518" s="899">
        <f t="shared" si="53"/>
        <v>0</v>
      </c>
      <c r="AX518" s="899">
        <f>INDEX(V518:AG518,1,MATCH(Parametres!$B$3,V$1:AG$1,0))*IF(OR(C518="L",C518="S",C518="I"),-1,1)</f>
        <v>0</v>
      </c>
      <c r="AY518" s="487" t="s">
        <v>337</v>
      </c>
      <c r="AZ518" s="487" t="e">
        <f>+VLOOKUP($AJ518,Data_Validation!$A:$E,5,0)</f>
        <v>#N/A</v>
      </c>
    </row>
    <row r="519" spans="1:52" ht="15" customHeight="1">
      <c r="A519" s="706" t="s">
        <v>1148</v>
      </c>
      <c r="B519" s="706">
        <v>2026</v>
      </c>
      <c r="C519" s="706" t="s">
        <v>2090</v>
      </c>
      <c r="D519" s="706" t="s">
        <v>2091</v>
      </c>
      <c r="E519" s="706" t="s">
        <v>333</v>
      </c>
      <c r="F519" s="706" t="s">
        <v>1135</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G32000</v>
      </c>
      <c r="AK519" s="905" t="str">
        <f t="shared" si="49"/>
        <v>INTERETS A/P</v>
      </c>
      <c r="AL519" s="905">
        <f>IFERROR(INDEX(G519:R519,1,MATCH(Parametres!$B$3,G$1:R$1,0)-1)*IF(OR(F519="L",F519="S",F519="I"),-1,1),"")</f>
        <v>0</v>
      </c>
      <c r="AM519" s="905">
        <f t="shared" si="50"/>
        <v>0</v>
      </c>
      <c r="AN519" s="905">
        <f>INDEX(G519:R519,1,MATCH(Parametres!$B$3,G$1:R$1,0))*IF(OR(F519="L",F519="S",F519="I"),-1,1)</f>
        <v>0</v>
      </c>
      <c r="AO519" s="487" t="str">
        <f>+VLOOKUP($AJ519,Data_Validation!$A:$D,1,0)</f>
        <v>G32000</v>
      </c>
      <c r="AP519" s="487">
        <f>+VLOOKUP($AJ519,Data_Validation!$A:$D,3,0)</f>
        <v>0</v>
      </c>
      <c r="AQ519" s="487">
        <f>+VLOOKUP($AJ519,Data_Validation!$A:$D,4,0)</f>
        <v>0</v>
      </c>
      <c r="AR519" s="487" t="s">
        <v>299</v>
      </c>
      <c r="AS519" s="487">
        <f>+VLOOKUP($AJ519,Data_Validation!$A:$E,5,0)</f>
        <v>0</v>
      </c>
      <c r="AT519" s="904" t="str">
        <f t="shared" si="51"/>
        <v>G32000</v>
      </c>
      <c r="AU519" s="488" t="str">
        <f t="shared" si="52"/>
        <v>INTERETS A/P</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customHeight="1">
      <c r="A520" s="706" t="s">
        <v>1148</v>
      </c>
      <c r="B520" s="706">
        <v>2026</v>
      </c>
      <c r="C520" s="706" t="s">
        <v>2092</v>
      </c>
      <c r="D520" s="706" t="s">
        <v>2093</v>
      </c>
      <c r="E520" s="706" t="s">
        <v>333</v>
      </c>
      <c r="F520" s="706" t="s">
        <v>1135</v>
      </c>
      <c r="G520" s="706">
        <v>1062.8</v>
      </c>
      <c r="H520" s="706">
        <v>-3391.68</v>
      </c>
      <c r="I520" s="706">
        <v>-8059.88</v>
      </c>
      <c r="J520" s="706">
        <v>-13546.82</v>
      </c>
      <c r="K520" s="706">
        <v>-18067.68</v>
      </c>
      <c r="L520" s="706">
        <v>-25209.439999999999</v>
      </c>
      <c r="M520" s="706">
        <v>-31301.25</v>
      </c>
      <c r="N520" s="706">
        <v>-35000.910000000003</v>
      </c>
      <c r="O520" s="706">
        <v>-46944.99</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G3210A</v>
      </c>
      <c r="AK520" s="905" t="str">
        <f t="shared" si="49"/>
        <v>ASS-COLLECTIVE A PAYER</v>
      </c>
      <c r="AL520" s="905">
        <f>IFERROR(INDEX(G520:R520,1,MATCH(Parametres!$B$3,G$1:R$1,0)-1)*IF(OR(F520="L",F520="S",F520="I"),-1,1),"")</f>
        <v>31301.25</v>
      </c>
      <c r="AM520" s="905">
        <f t="shared" si="50"/>
        <v>3699.6600000000035</v>
      </c>
      <c r="AN520" s="905">
        <f>INDEX(G520:R520,1,MATCH(Parametres!$B$3,G$1:R$1,0))*IF(OR(F520="L",F520="S",F520="I"),-1,1)</f>
        <v>35000.910000000003</v>
      </c>
      <c r="AO520" s="487" t="str">
        <f>+VLOOKUP($AJ520,Data_Validation!$A:$D,1,0)</f>
        <v>G3210A</v>
      </c>
      <c r="AP520" s="487" t="str">
        <f>+VLOOKUP($AJ520,Data_Validation!$A:$D,3,0)</f>
        <v>Bilan</v>
      </c>
      <c r="AQ520" s="487" t="str">
        <f>+VLOOKUP($AJ520,Data_Validation!$A:$D,4,0)</f>
        <v>DAS à Payer</v>
      </c>
      <c r="AR520" s="487" t="s">
        <v>299</v>
      </c>
      <c r="AS520" s="487">
        <f>+VLOOKUP($AJ520,Data_Validation!$A:$E,5,0)</f>
        <v>0</v>
      </c>
      <c r="AT520" s="904" t="str">
        <f t="shared" si="51"/>
        <v>G3210A</v>
      </c>
      <c r="AU520" s="488" t="str">
        <f t="shared" si="52"/>
        <v>ASS-COLLECTIVE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customHeight="1">
      <c r="A521" s="706" t="s">
        <v>1148</v>
      </c>
      <c r="B521" s="706">
        <v>2026</v>
      </c>
      <c r="C521" s="706" t="s">
        <v>2094</v>
      </c>
      <c r="D521" s="706" t="s">
        <v>2095</v>
      </c>
      <c r="E521" s="706" t="s">
        <v>333</v>
      </c>
      <c r="F521" s="706" t="s">
        <v>1135</v>
      </c>
      <c r="G521" s="706">
        <v>103371.93</v>
      </c>
      <c r="H521" s="706">
        <v>94570.17</v>
      </c>
      <c r="I521" s="706">
        <v>128176.38</v>
      </c>
      <c r="J521" s="706">
        <v>187289.28</v>
      </c>
      <c r="K521" s="706">
        <v>11018.44</v>
      </c>
      <c r="L521" s="706">
        <v>40919.129999999997</v>
      </c>
      <c r="M521" s="706">
        <v>88052.58</v>
      </c>
      <c r="N521" s="706">
        <v>94938.98</v>
      </c>
      <c r="O521" s="706">
        <v>1206.04</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G32100</v>
      </c>
      <c r="AK521" s="905" t="str">
        <f t="shared" si="49"/>
        <v>SALAIRES &amp; COMM. A PAYER</v>
      </c>
      <c r="AL521" s="905">
        <f>IFERROR(INDEX(G521:R521,1,MATCH(Parametres!$B$3,G$1:R$1,0)-1)*IF(OR(F521="L",F521="S",F521="I"),-1,1),"")</f>
        <v>-88052.58</v>
      </c>
      <c r="AM521" s="905">
        <f t="shared" si="50"/>
        <v>-6886.3999999999942</v>
      </c>
      <c r="AN521" s="905">
        <f>INDEX(G521:R521,1,MATCH(Parametres!$B$3,G$1:R$1,0))*IF(OR(F521="L",F521="S",F521="I"),-1,1)</f>
        <v>-94938.98</v>
      </c>
      <c r="AO521" s="487" t="str">
        <f>+VLOOKUP($AJ521,Data_Validation!$A:$D,1,0)</f>
        <v>G32100</v>
      </c>
      <c r="AP521" s="487" t="str">
        <f>+VLOOKUP($AJ521,Data_Validation!$A:$D,3,0)</f>
        <v>Bilan</v>
      </c>
      <c r="AQ521" s="487" t="str">
        <f>+VLOOKUP($AJ521,Data_Validation!$A:$D,4,0)</f>
        <v>Salaires à Payer</v>
      </c>
      <c r="AR521" s="487" t="s">
        <v>299</v>
      </c>
      <c r="AS521" s="487">
        <f>+VLOOKUP($AJ521,Data_Validation!$A:$E,5,0)</f>
        <v>0</v>
      </c>
      <c r="AT521" s="904" t="str">
        <f t="shared" si="51"/>
        <v>G32100</v>
      </c>
      <c r="AU521" s="488" t="str">
        <f t="shared" si="52"/>
        <v>SALAIRES &amp; COMM.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2096</v>
      </c>
      <c r="D522" s="706" t="s">
        <v>2097</v>
      </c>
      <c r="E522" s="706" t="s">
        <v>1146</v>
      </c>
      <c r="F522" s="706" t="s">
        <v>1135</v>
      </c>
      <c r="G522" s="706">
        <v>8276.27</v>
      </c>
      <c r="H522" s="706">
        <v>18492.98</v>
      </c>
      <c r="I522" s="706">
        <v>55868.2</v>
      </c>
      <c r="J522" s="706">
        <v>95443.83</v>
      </c>
      <c r="K522" s="706">
        <v>14169.42</v>
      </c>
      <c r="L522" s="706">
        <v>23654.52</v>
      </c>
      <c r="M522" s="706">
        <v>18493.990000000002</v>
      </c>
      <c r="N522" s="706">
        <v>6671.2</v>
      </c>
      <c r="O522" s="706">
        <v>30626.39</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G32101</v>
      </c>
      <c r="AK522" s="905" t="str">
        <f t="shared" si="49"/>
        <v>COMMISSIONS A PAYER</v>
      </c>
      <c r="AL522" s="905">
        <f>IFERROR(INDEX(G522:R522,1,MATCH(Parametres!$B$3,G$1:R$1,0)-1)*IF(OR(F522="L",F522="S",F522="I"),-1,1),"")</f>
        <v>-18493.990000000002</v>
      </c>
      <c r="AM522" s="905">
        <f t="shared" si="50"/>
        <v>11822.79</v>
      </c>
      <c r="AN522" s="905">
        <f>INDEX(G522:R522,1,MATCH(Parametres!$B$3,G$1:R$1,0))*IF(OR(F522="L",F522="S",F522="I"),-1,1)</f>
        <v>-6671.2</v>
      </c>
      <c r="AO522" s="487" t="str">
        <f>+VLOOKUP($AJ522,Data_Validation!$A:$D,1,0)</f>
        <v>G32101</v>
      </c>
      <c r="AP522" s="487" t="str">
        <f>+VLOOKUP($AJ522,Data_Validation!$A:$D,3,0)</f>
        <v>Bilan</v>
      </c>
      <c r="AQ522" s="487" t="str">
        <f>+VLOOKUP($AJ522,Data_Validation!$A:$D,4,0)</f>
        <v>Salaires à Payer</v>
      </c>
      <c r="AR522" s="487" t="s">
        <v>299</v>
      </c>
      <c r="AS522" s="487">
        <f>+VLOOKUP($AJ522,Data_Validation!$A:$E,5,0)</f>
        <v>0</v>
      </c>
      <c r="AT522" s="904" t="str">
        <f t="shared" si="51"/>
        <v>G32101</v>
      </c>
      <c r="AU522" s="488" t="str">
        <f t="shared" si="52"/>
        <v>COMMISSIONS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2098</v>
      </c>
      <c r="D523" s="706" t="s">
        <v>2099</v>
      </c>
      <c r="E523" s="706" t="s">
        <v>1104</v>
      </c>
      <c r="F523" s="706" t="s">
        <v>1135</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G32102</v>
      </c>
      <c r="AK523" s="905" t="str">
        <f t="shared" si="49"/>
        <v>SALAIRES A PAYER</v>
      </c>
      <c r="AL523" s="905">
        <f>IFERROR(INDEX(G523:R523,1,MATCH(Parametres!$B$3,G$1:R$1,0)-1)*IF(OR(F523="L",F523="S",F523="I"),-1,1),"")</f>
        <v>0</v>
      </c>
      <c r="AM523" s="905">
        <f t="shared" si="50"/>
        <v>0</v>
      </c>
      <c r="AN523" s="905">
        <f>INDEX(G523:R523,1,MATCH(Parametres!$B$3,G$1:R$1,0))*IF(OR(F523="L",F523="S",F523="I"),-1,1)</f>
        <v>0</v>
      </c>
      <c r="AO523" s="487" t="str">
        <f>+VLOOKUP($AJ523,Data_Validation!$A:$D,1,0)</f>
        <v>G32102</v>
      </c>
      <c r="AP523" s="487">
        <f>+VLOOKUP($AJ523,Data_Validation!$A:$D,3,0)</f>
        <v>0</v>
      </c>
      <c r="AQ523" s="487">
        <f>+VLOOKUP($AJ523,Data_Validation!$A:$D,4,0)</f>
        <v>0</v>
      </c>
      <c r="AR523" s="487" t="s">
        <v>299</v>
      </c>
      <c r="AS523" s="487">
        <f>+VLOOKUP($AJ523,Data_Validation!$A:$E,5,0)</f>
        <v>0</v>
      </c>
      <c r="AT523" s="904" t="str">
        <f t="shared" si="51"/>
        <v>G32102</v>
      </c>
      <c r="AU523" s="488" t="str">
        <f t="shared" si="52"/>
        <v>SALAIRES A PAYER</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customHeight="1">
      <c r="A524" s="706" t="s">
        <v>1148</v>
      </c>
      <c r="B524" s="706">
        <v>2026</v>
      </c>
      <c r="C524" s="706" t="s">
        <v>3194</v>
      </c>
      <c r="D524" s="706" t="s">
        <v>3195</v>
      </c>
      <c r="E524" s="706" t="s">
        <v>333</v>
      </c>
      <c r="F524" s="706" t="s">
        <v>1135</v>
      </c>
      <c r="G524" s="706">
        <v>0</v>
      </c>
      <c r="H524" s="706">
        <v>0</v>
      </c>
      <c r="I524" s="706">
        <v>0</v>
      </c>
      <c r="J524" s="706">
        <v>0</v>
      </c>
      <c r="K524" s="706">
        <v>0</v>
      </c>
      <c r="L524" s="706">
        <v>-637.96</v>
      </c>
      <c r="M524" s="706">
        <v>66.5</v>
      </c>
      <c r="N524" s="706">
        <v>343.99</v>
      </c>
      <c r="O524" s="706">
        <v>-468</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G32104</v>
      </c>
      <c r="AK524" s="905" t="str">
        <f t="shared" si="49"/>
        <v>COMPTES DE DEPENSES A/P</v>
      </c>
      <c r="AL524" s="905">
        <f>IFERROR(INDEX(G524:R524,1,MATCH(Parametres!$B$3,G$1:R$1,0)-1)*IF(OR(F524="L",F524="S",F524="I"),-1,1),"")</f>
        <v>-66.5</v>
      </c>
      <c r="AM524" s="905">
        <f t="shared" si="50"/>
        <v>-277.49</v>
      </c>
      <c r="AN524" s="905">
        <f>INDEX(G524:R524,1,MATCH(Parametres!$B$3,G$1:R$1,0))*IF(OR(F524="L",F524="S",F524="I"),-1,1)</f>
        <v>-343.99</v>
      </c>
      <c r="AO524" s="487" t="str">
        <f>+VLOOKUP($AJ524,Data_Validation!$A:$D,1,0)</f>
        <v>G32104</v>
      </c>
      <c r="AP524" s="487" t="str">
        <f>+VLOOKUP($AJ524,Data_Validation!$A:$D,3,0)</f>
        <v>Bilan</v>
      </c>
      <c r="AQ524" s="487" t="str">
        <f>+VLOOKUP($AJ524,Data_Validation!$A:$D,4,0)</f>
        <v>DAS à Payer</v>
      </c>
      <c r="AR524" s="487" t="s">
        <v>299</v>
      </c>
      <c r="AS524" s="487">
        <f>+VLOOKUP($AJ524,Data_Validation!$A:$E,5,0)</f>
        <v>0</v>
      </c>
      <c r="AT524" s="904" t="str">
        <f t="shared" si="51"/>
        <v>G32104</v>
      </c>
      <c r="AU524" s="488" t="str">
        <f t="shared" si="52"/>
        <v>COMPTES DE DEPENSES A/P</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customHeight="1">
      <c r="A525" s="706" t="s">
        <v>1148</v>
      </c>
      <c r="B525" s="706">
        <v>2026</v>
      </c>
      <c r="C525" s="706" t="s">
        <v>2100</v>
      </c>
      <c r="D525" s="706" t="s">
        <v>2101</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G32301</v>
      </c>
      <c r="AK525" s="905" t="str">
        <f t="shared" si="49"/>
        <v>REER COLLECTIF A PAYER</v>
      </c>
      <c r="AL525" s="905">
        <f>IFERROR(INDEX(G525:R525,1,MATCH(Parametres!$B$3,G$1:R$1,0)-1)*IF(OR(F525="L",F525="S",F525="I"),-1,1),"")</f>
        <v>0</v>
      </c>
      <c r="AM525" s="905">
        <f t="shared" si="50"/>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51"/>
        <v>G32301</v>
      </c>
      <c r="AU525" s="488" t="str">
        <f t="shared" si="52"/>
        <v>REER COLLECTIF A PAYER</v>
      </c>
      <c r="AV525" s="899">
        <f>IFERROR(INDEX(V525:AG525,1,MATCH(Parametres!$B$3,V$1:AG$1,0)-1)*IF(OR(C525="L",C525="S",C525="I"),-1,1),"")</f>
        <v>0</v>
      </c>
      <c r="AW525" s="899">
        <f t="shared" si="53"/>
        <v>0</v>
      </c>
      <c r="AX525" s="899">
        <f>INDEX(V525:AG525,1,MATCH(Parametres!$B$3,V$1:AG$1,0))*IF(OR(C525="L",C525="S",C525="I"),-1,1)</f>
        <v>0</v>
      </c>
      <c r="AY525" s="487" t="s">
        <v>337</v>
      </c>
      <c r="AZ525" s="487" t="e">
        <f>+VLOOKUP($AJ525,Data_Validation!$A:$E,5,0)</f>
        <v>#N/A</v>
      </c>
    </row>
    <row r="526" spans="1:52" ht="15" customHeight="1">
      <c r="A526" s="706" t="s">
        <v>1148</v>
      </c>
      <c r="B526" s="706">
        <v>2026</v>
      </c>
      <c r="C526" s="706" t="s">
        <v>2102</v>
      </c>
      <c r="D526" s="706" t="s">
        <v>2103</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G32302</v>
      </c>
      <c r="AK526" s="905" t="str">
        <f t="shared" si="49"/>
        <v>ASSURANCE CHOMAGE A PAYER</v>
      </c>
      <c r="AL526" s="905">
        <f>IFERROR(INDEX(G526:R526,1,MATCH(Parametres!$B$3,G$1:R$1,0)-1)*IF(OR(F526="L",F526="S",F526="I"),-1,1),"")</f>
        <v>0</v>
      </c>
      <c r="AM526" s="905">
        <f t="shared" si="50"/>
        <v>0</v>
      </c>
      <c r="AN526" s="905">
        <f>INDEX(G526:R526,1,MATCH(Parametres!$B$3,G$1:R$1,0))*IF(OR(F526="L",F526="S",F526="I"),-1,1)</f>
        <v>0</v>
      </c>
      <c r="AO526" s="487" t="str">
        <f>+VLOOKUP($AJ526,Data_Validation!$A:$D,1,0)</f>
        <v>G32302</v>
      </c>
      <c r="AP526" s="487">
        <f>+VLOOKUP($AJ526,Data_Validation!$A:$D,3,0)</f>
        <v>0</v>
      </c>
      <c r="AQ526" s="487">
        <f>+VLOOKUP($AJ526,Data_Validation!$A:$D,4,0)</f>
        <v>0</v>
      </c>
      <c r="AR526" s="487" t="s">
        <v>299</v>
      </c>
      <c r="AS526" s="487">
        <f>+VLOOKUP($AJ526,Data_Validation!$A:$E,5,0)</f>
        <v>0</v>
      </c>
      <c r="AT526" s="904" t="str">
        <f t="shared" si="51"/>
        <v>G32302</v>
      </c>
      <c r="AU526" s="488" t="str">
        <f t="shared" si="52"/>
        <v>ASSURANCE CHOMAGE A PAYER</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customHeight="1">
      <c r="A527" s="706" t="s">
        <v>1148</v>
      </c>
      <c r="B527" s="706">
        <v>2026</v>
      </c>
      <c r="C527" s="706" t="s">
        <v>2104</v>
      </c>
      <c r="D527" s="706" t="s">
        <v>2105</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G32303</v>
      </c>
      <c r="AK527" s="905" t="str">
        <f t="shared" si="49"/>
        <v>DON CHARITE A PAYER CENTR</v>
      </c>
      <c r="AL527" s="905">
        <f>IFERROR(INDEX(G527:R527,1,MATCH(Parametres!$B$3,G$1:R$1,0)-1)*IF(OR(F527="L",F527="S",F527="I"),-1,1),"")</f>
        <v>0</v>
      </c>
      <c r="AM527" s="905">
        <f t="shared" si="50"/>
        <v>0</v>
      </c>
      <c r="AN527" s="905">
        <f>INDEX(G527:R527,1,MATCH(Parametres!$B$3,G$1:R$1,0))*IF(OR(F527="L",F527="S",F527="I"),-1,1)</f>
        <v>0</v>
      </c>
      <c r="AO527" s="487" t="e">
        <f>+VLOOKUP($AJ527,Data_Validation!$A:$D,1,0)</f>
        <v>#N/A</v>
      </c>
      <c r="AP527" s="487" t="e">
        <f>+VLOOKUP($AJ527,Data_Validation!$A:$D,3,0)</f>
        <v>#N/A</v>
      </c>
      <c r="AQ527" s="487" t="e">
        <f>+VLOOKUP($AJ527,Data_Validation!$A:$D,4,0)</f>
        <v>#N/A</v>
      </c>
      <c r="AR527" s="487" t="s">
        <v>299</v>
      </c>
      <c r="AS527" s="487" t="e">
        <f>+VLOOKUP($AJ527,Data_Validation!$A:$E,5,0)</f>
        <v>#N/A</v>
      </c>
      <c r="AT527" s="904" t="str">
        <f t="shared" si="51"/>
        <v>G32303</v>
      </c>
      <c r="AU527" s="488" t="str">
        <f t="shared" si="52"/>
        <v>DON CHARITE A PAYER CENTR</v>
      </c>
      <c r="AV527" s="899">
        <f>IFERROR(INDEX(V527:AG527,1,MATCH(Parametres!$B$3,V$1:AG$1,0)-1)*IF(OR(C527="L",C527="S",C527="I"),-1,1),"")</f>
        <v>0</v>
      </c>
      <c r="AW527" s="899">
        <f t="shared" si="53"/>
        <v>0</v>
      </c>
      <c r="AX527" s="899">
        <f>INDEX(V527:AG527,1,MATCH(Parametres!$B$3,V$1:AG$1,0))*IF(OR(C527="L",C527="S",C527="I"),-1,1)</f>
        <v>0</v>
      </c>
      <c r="AY527" s="487" t="s">
        <v>337</v>
      </c>
      <c r="AZ527" s="487" t="e">
        <f>+VLOOKUP($AJ527,Data_Validation!$A:$E,5,0)</f>
        <v>#N/A</v>
      </c>
    </row>
    <row r="528" spans="1:52" ht="15" customHeight="1">
      <c r="A528" s="706" t="s">
        <v>1148</v>
      </c>
      <c r="B528" s="706">
        <v>2026</v>
      </c>
      <c r="C528" s="706" t="s">
        <v>2106</v>
      </c>
      <c r="D528" s="706" t="s">
        <v>2107</v>
      </c>
      <c r="E528" s="706" t="s">
        <v>333</v>
      </c>
      <c r="F528" s="706" t="s">
        <v>1135</v>
      </c>
      <c r="G528" s="706">
        <v>-373845.78</v>
      </c>
      <c r="H528" s="706">
        <v>-394845.78</v>
      </c>
      <c r="I528" s="706">
        <v>-767365.78</v>
      </c>
      <c r="J528" s="706">
        <v>-767365.78</v>
      </c>
      <c r="K528" s="706">
        <v>-767365.78</v>
      </c>
      <c r="L528" s="706">
        <v>-767365.78</v>
      </c>
      <c r="M528" s="706">
        <v>-217309.92</v>
      </c>
      <c r="N528" s="706">
        <v>-217309.92</v>
      </c>
      <c r="O528" s="706">
        <v>-217309.92</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G32304</v>
      </c>
      <c r="AK528" s="905" t="str">
        <f t="shared" si="49"/>
        <v>IMPOT FEDERAL A PAYER</v>
      </c>
      <c r="AL528" s="905">
        <f>IFERROR(INDEX(G528:R528,1,MATCH(Parametres!$B$3,G$1:R$1,0)-1)*IF(OR(F528="L",F528="S",F528="I"),-1,1),"")</f>
        <v>217309.92</v>
      </c>
      <c r="AM528" s="905">
        <f t="shared" si="50"/>
        <v>0</v>
      </c>
      <c r="AN528" s="905">
        <f>INDEX(G528:R528,1,MATCH(Parametres!$B$3,G$1:R$1,0))*IF(OR(F528="L",F528="S",F528="I"),-1,1)</f>
        <v>217309.92</v>
      </c>
      <c r="AO528" s="487" t="str">
        <f>+VLOOKUP($AJ528,Data_Validation!$A:$D,1,0)</f>
        <v>G32304</v>
      </c>
      <c r="AP528" s="487" t="str">
        <f>+VLOOKUP($AJ528,Data_Validation!$A:$D,3,0)</f>
        <v>Bilan</v>
      </c>
      <c r="AQ528" s="487" t="str">
        <f>+VLOOKUP($AJ528,Data_Validation!$A:$D,4,0)</f>
        <v>Frais Payés d'Avance</v>
      </c>
      <c r="AR528" s="487" t="s">
        <v>299</v>
      </c>
      <c r="AS528" s="487">
        <f>+VLOOKUP($AJ528,Data_Validation!$A:$E,5,0)</f>
        <v>0</v>
      </c>
      <c r="AT528" s="904" t="str">
        <f t="shared" si="51"/>
        <v>G32304</v>
      </c>
      <c r="AU528" s="488" t="str">
        <f t="shared" si="52"/>
        <v>IMPOT FEDERAL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customHeight="1">
      <c r="A529" s="706" t="s">
        <v>1148</v>
      </c>
      <c r="B529" s="706">
        <v>2026</v>
      </c>
      <c r="C529" s="706" t="s">
        <v>2108</v>
      </c>
      <c r="D529" s="706" t="s">
        <v>2109</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G32305</v>
      </c>
      <c r="AK529" s="905" t="str">
        <f t="shared" si="49"/>
        <v>REGIME ASS. MALADIE PAYER</v>
      </c>
      <c r="AL529" s="905">
        <f>IFERROR(INDEX(G529:R529,1,MATCH(Parametres!$B$3,G$1:R$1,0)-1)*IF(OR(F529="L",F529="S",F529="I"),-1,1),"")</f>
        <v>0</v>
      </c>
      <c r="AM529" s="905">
        <f t="shared" si="50"/>
        <v>0</v>
      </c>
      <c r="AN529" s="905">
        <f>INDEX(G529:R529,1,MATCH(Parametres!$B$3,G$1:R$1,0))*IF(OR(F529="L",F529="S",F529="I"),-1,1)</f>
        <v>0</v>
      </c>
      <c r="AO529" s="487" t="str">
        <f>+VLOOKUP($AJ529,Data_Validation!$A:$D,1,0)</f>
        <v>G32305</v>
      </c>
      <c r="AP529" s="487">
        <f>+VLOOKUP($AJ529,Data_Validation!$A:$D,3,0)</f>
        <v>0</v>
      </c>
      <c r="AQ529" s="487">
        <f>+VLOOKUP($AJ529,Data_Validation!$A:$D,4,0)</f>
        <v>0</v>
      </c>
      <c r="AR529" s="487" t="s">
        <v>299</v>
      </c>
      <c r="AS529" s="487">
        <f>+VLOOKUP($AJ529,Data_Validation!$A:$E,5,0)</f>
        <v>0</v>
      </c>
      <c r="AT529" s="904" t="str">
        <f t="shared" si="51"/>
        <v>G32305</v>
      </c>
      <c r="AU529" s="488" t="str">
        <f t="shared" si="52"/>
        <v>REGIME ASS. MALADIE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customHeight="1">
      <c r="A530" s="706" t="s">
        <v>1148</v>
      </c>
      <c r="B530" s="706">
        <v>2026</v>
      </c>
      <c r="C530" s="706" t="s">
        <v>2110</v>
      </c>
      <c r="D530" s="706" t="s">
        <v>2111</v>
      </c>
      <c r="E530" s="706" t="s">
        <v>333</v>
      </c>
      <c r="F530" s="706" t="s">
        <v>1135</v>
      </c>
      <c r="G530" s="706">
        <v>-275879.24</v>
      </c>
      <c r="H530" s="706">
        <v>-297379.24</v>
      </c>
      <c r="I530" s="706">
        <v>-606735.24</v>
      </c>
      <c r="J530" s="706">
        <v>-606735.24</v>
      </c>
      <c r="K530" s="706">
        <v>-606735.24</v>
      </c>
      <c r="L530" s="706">
        <v>-606735.24</v>
      </c>
      <c r="M530" s="706">
        <v>-172488.04</v>
      </c>
      <c r="N530" s="706">
        <v>-200576.24</v>
      </c>
      <c r="O530" s="706">
        <v>-200576.24</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G32306</v>
      </c>
      <c r="AK530" s="905" t="str">
        <f t="shared" si="49"/>
        <v>IMPOT PROVINCIAL A PAYER</v>
      </c>
      <c r="AL530" s="905">
        <f>IFERROR(INDEX(G530:R530,1,MATCH(Parametres!$B$3,G$1:R$1,0)-1)*IF(OR(F530="L",F530="S",F530="I"),-1,1),"")</f>
        <v>172488.04</v>
      </c>
      <c r="AM530" s="905">
        <f t="shared" si="50"/>
        <v>28088.199999999983</v>
      </c>
      <c r="AN530" s="905">
        <f>INDEX(G530:R530,1,MATCH(Parametres!$B$3,G$1:R$1,0))*IF(OR(F530="L",F530="S",F530="I"),-1,1)</f>
        <v>200576.24</v>
      </c>
      <c r="AO530" s="487" t="str">
        <f>+VLOOKUP($AJ530,Data_Validation!$A:$D,1,0)</f>
        <v>G32306</v>
      </c>
      <c r="AP530" s="487" t="str">
        <f>+VLOOKUP($AJ530,Data_Validation!$A:$D,3,0)</f>
        <v>Bilan</v>
      </c>
      <c r="AQ530" s="487" t="str">
        <f>+VLOOKUP($AJ530,Data_Validation!$A:$D,4,0)</f>
        <v>Frais Payés d'Avance</v>
      </c>
      <c r="AR530" s="487" t="s">
        <v>299</v>
      </c>
      <c r="AS530" s="487">
        <f>+VLOOKUP($AJ530,Data_Validation!$A:$E,5,0)</f>
        <v>0</v>
      </c>
      <c r="AT530" s="904" t="str">
        <f t="shared" si="51"/>
        <v>G32306</v>
      </c>
      <c r="AU530" s="488" t="str">
        <f t="shared" si="52"/>
        <v>IMPOT PROVINCIAL A PAYER</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customHeight="1">
      <c r="A531" s="706" t="s">
        <v>1148</v>
      </c>
      <c r="B531" s="706">
        <v>2026</v>
      </c>
      <c r="C531" s="706" t="s">
        <v>2112</v>
      </c>
      <c r="D531" s="706" t="s">
        <v>2113</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G32307</v>
      </c>
      <c r="AK531" s="905" t="str">
        <f t="shared" ref="AK531:AK594" si="55">D531</f>
        <v>REGIME DES RENTES QUEBEC</v>
      </c>
      <c r="AL531" s="905">
        <f>IFERROR(INDEX(G531:R531,1,MATCH(Parametres!$B$3,G$1:R$1,0)-1)*IF(OR(F531="L",F531="S",F531="I"),-1,1),"")</f>
        <v>0</v>
      </c>
      <c r="AM531" s="905">
        <f t="shared" si="50"/>
        <v>0</v>
      </c>
      <c r="AN531" s="905">
        <f>INDEX(G531:R531,1,MATCH(Parametres!$B$3,G$1:R$1,0))*IF(OR(F531="L",F531="S",F531="I"),-1,1)</f>
        <v>0</v>
      </c>
      <c r="AO531" s="487" t="str">
        <f>+VLOOKUP($AJ531,Data_Validation!$A:$D,1,0)</f>
        <v>G32307</v>
      </c>
      <c r="AP531" s="487">
        <f>+VLOOKUP($AJ531,Data_Validation!$A:$D,3,0)</f>
        <v>0</v>
      </c>
      <c r="AQ531" s="487">
        <f>+VLOOKUP($AJ531,Data_Validation!$A:$D,4,0)</f>
        <v>0</v>
      </c>
      <c r="AR531" s="487" t="s">
        <v>299</v>
      </c>
      <c r="AS531" s="487">
        <f>+VLOOKUP($AJ531,Data_Validation!$A:$E,5,0)</f>
        <v>0</v>
      </c>
      <c r="AT531" s="904" t="str">
        <f t="shared" si="51"/>
        <v>G32307</v>
      </c>
      <c r="AU531" s="488" t="str">
        <f t="shared" si="52"/>
        <v>REGIME DES RENTES QUEBEC</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customHeight="1">
      <c r="A532" s="706" t="s">
        <v>1148</v>
      </c>
      <c r="B532" s="706">
        <v>2026</v>
      </c>
      <c r="C532" s="706" t="s">
        <v>2114</v>
      </c>
      <c r="D532" s="706" t="s">
        <v>2115</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G32308</v>
      </c>
      <c r="AK532" s="905" t="str">
        <f t="shared" si="55"/>
        <v>COTISATIONS COMITE EMPLOY</v>
      </c>
      <c r="AL532" s="905">
        <f>IFERROR(INDEX(G532:R532,1,MATCH(Parametres!$B$3,G$1:R$1,0)-1)*IF(OR(F532="L",F532="S",F532="I"),-1,1),"")</f>
        <v>0</v>
      </c>
      <c r="AM532" s="905">
        <f t="shared" si="50"/>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51"/>
        <v>G32308</v>
      </c>
      <c r="AU532" s="488" t="str">
        <f t="shared" si="52"/>
        <v>COTISATIONS COMITE EMPLOY</v>
      </c>
      <c r="AV532" s="899">
        <f>IFERROR(INDEX(V532:AG532,1,MATCH(Parametres!$B$3,V$1:AG$1,0)-1)*IF(OR(C532="L",C532="S",C532="I"),-1,1),"")</f>
        <v>0</v>
      </c>
      <c r="AW532" s="899">
        <f t="shared" si="53"/>
        <v>0</v>
      </c>
      <c r="AX532" s="899">
        <f>INDEX(V532:AG532,1,MATCH(Parametres!$B$3,V$1:AG$1,0))*IF(OR(C532="L",C532="S",C532="I"),-1,1)</f>
        <v>0</v>
      </c>
      <c r="AY532" s="487" t="s">
        <v>337</v>
      </c>
      <c r="AZ532" s="487" t="e">
        <f>+VLOOKUP($AJ532,Data_Validation!$A:$E,5,0)</f>
        <v>#N/A</v>
      </c>
    </row>
    <row r="533" spans="1:52" ht="15" customHeight="1">
      <c r="A533" s="706" t="s">
        <v>1148</v>
      </c>
      <c r="B533" s="706">
        <v>2026</v>
      </c>
      <c r="C533" s="706" t="s">
        <v>2116</v>
      </c>
      <c r="D533" s="706" t="s">
        <v>2117</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G32309</v>
      </c>
      <c r="AK533" s="905" t="str">
        <f t="shared" si="55"/>
        <v>FONDS PENSION EMPLOYES</v>
      </c>
      <c r="AL533" s="905">
        <f>IFERROR(INDEX(G533:R533,1,MATCH(Parametres!$B$3,G$1:R$1,0)-1)*IF(OR(F533="L",F533="S",F533="I"),-1,1),"")</f>
        <v>0</v>
      </c>
      <c r="AM533" s="905">
        <f t="shared" si="50"/>
        <v>0</v>
      </c>
      <c r="AN533" s="905">
        <f>INDEX(G533:R533,1,MATCH(Parametres!$B$3,G$1:R$1,0))*IF(OR(F533="L",F533="S",F533="I"),-1,1)</f>
        <v>0</v>
      </c>
      <c r="AO533" s="487" t="str">
        <f>+VLOOKUP($AJ533,Data_Validation!$A:$D,1,0)</f>
        <v>G32309</v>
      </c>
      <c r="AP533" s="487">
        <f>+VLOOKUP($AJ533,Data_Validation!$A:$D,3,0)</f>
        <v>0</v>
      </c>
      <c r="AQ533" s="487">
        <f>+VLOOKUP($AJ533,Data_Validation!$A:$D,4,0)</f>
        <v>0</v>
      </c>
      <c r="AR533" s="487" t="s">
        <v>299</v>
      </c>
      <c r="AS533" s="487">
        <f>+VLOOKUP($AJ533,Data_Validation!$A:$E,5,0)</f>
        <v>0</v>
      </c>
      <c r="AT533" s="904" t="str">
        <f t="shared" si="51"/>
        <v>G32309</v>
      </c>
      <c r="AU533" s="488" t="str">
        <f t="shared" si="52"/>
        <v>FONDS PENSION EMPLOYES</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customHeight="1">
      <c r="A534" s="706" t="s">
        <v>1148</v>
      </c>
      <c r="B534" s="706">
        <v>2026</v>
      </c>
      <c r="C534" s="706" t="s">
        <v>2118</v>
      </c>
      <c r="D534" s="706" t="s">
        <v>2119</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G32310</v>
      </c>
      <c r="AK534" s="905" t="str">
        <f t="shared" si="55"/>
        <v>FONDS PENSION EMPLOYEUR</v>
      </c>
      <c r="AL534" s="905">
        <f>IFERROR(INDEX(G534:R534,1,MATCH(Parametres!$B$3,G$1:R$1,0)-1)*IF(OR(F534="L",F534="S",F534="I"),-1,1),"")</f>
        <v>0</v>
      </c>
      <c r="AM534" s="905">
        <f t="shared" si="50"/>
        <v>0</v>
      </c>
      <c r="AN534" s="905">
        <f>INDEX(G534:R534,1,MATCH(Parametres!$B$3,G$1:R$1,0))*IF(OR(F534="L",F534="S",F534="I"),-1,1)</f>
        <v>0</v>
      </c>
      <c r="AO534" s="487" t="str">
        <f>+VLOOKUP($AJ534,Data_Validation!$A:$D,1,0)</f>
        <v>G32310</v>
      </c>
      <c r="AP534" s="487">
        <f>+VLOOKUP($AJ534,Data_Validation!$A:$D,3,0)</f>
        <v>0</v>
      </c>
      <c r="AQ534" s="487">
        <f>+VLOOKUP($AJ534,Data_Validation!$A:$D,4,0)</f>
        <v>0</v>
      </c>
      <c r="AR534" s="487" t="s">
        <v>299</v>
      </c>
      <c r="AS534" s="487">
        <f>+VLOOKUP($AJ534,Data_Validation!$A:$E,5,0)</f>
        <v>0</v>
      </c>
      <c r="AT534" s="904" t="str">
        <f t="shared" si="51"/>
        <v>G32310</v>
      </c>
      <c r="AU534" s="488" t="str">
        <f t="shared" si="52"/>
        <v>FONDS PENSION EMPLOYEUR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customHeight="1">
      <c r="A535" s="706" t="s">
        <v>1148</v>
      </c>
      <c r="B535" s="706">
        <v>2026</v>
      </c>
      <c r="C535" s="706" t="s">
        <v>2120</v>
      </c>
      <c r="D535" s="706" t="s">
        <v>2121</v>
      </c>
      <c r="E535" s="706" t="s">
        <v>333</v>
      </c>
      <c r="F535" s="706" t="s">
        <v>1135</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G32311</v>
      </c>
      <c r="AK535" s="905" t="str">
        <f t="shared" si="55"/>
        <v>RQAP A PAYER</v>
      </c>
      <c r="AL535" s="905">
        <f>IFERROR(INDEX(G535:R535,1,MATCH(Parametres!$B$3,G$1:R$1,0)-1)*IF(OR(F535="L",F535="S",F535="I"),-1,1),"")</f>
        <v>0</v>
      </c>
      <c r="AM535" s="905">
        <f t="shared" si="50"/>
        <v>0</v>
      </c>
      <c r="AN535" s="905">
        <f>INDEX(G535:R535,1,MATCH(Parametres!$B$3,G$1:R$1,0))*IF(OR(F535="L",F535="S",F535="I"),-1,1)</f>
        <v>0</v>
      </c>
      <c r="AO535" s="487" t="str">
        <f>+VLOOKUP($AJ535,Data_Validation!$A:$D,1,0)</f>
        <v>G32311</v>
      </c>
      <c r="AP535" s="487">
        <f>+VLOOKUP($AJ535,Data_Validation!$A:$D,3,0)</f>
        <v>0</v>
      </c>
      <c r="AQ535" s="487">
        <f>+VLOOKUP($AJ535,Data_Validation!$A:$D,4,0)</f>
        <v>0</v>
      </c>
      <c r="AR535" s="487" t="s">
        <v>299</v>
      </c>
      <c r="AS535" s="487">
        <f>+VLOOKUP($AJ535,Data_Validation!$A:$E,5,0)</f>
        <v>0</v>
      </c>
      <c r="AT535" s="904" t="str">
        <f t="shared" si="51"/>
        <v>G32311</v>
      </c>
      <c r="AU535" s="488" t="str">
        <f t="shared" si="52"/>
        <v>RQAP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2122</v>
      </c>
      <c r="D536" s="706" t="s">
        <v>2123</v>
      </c>
      <c r="E536" s="706" t="s">
        <v>333</v>
      </c>
      <c r="F536" s="706" t="s">
        <v>1135</v>
      </c>
      <c r="G536" s="706">
        <v>3449.82</v>
      </c>
      <c r="H536" s="706">
        <v>3657.94</v>
      </c>
      <c r="I536" s="706">
        <v>3857.78</v>
      </c>
      <c r="J536" s="706">
        <v>12747.76</v>
      </c>
      <c r="K536" s="706">
        <v>13107.46</v>
      </c>
      <c r="L536" s="706">
        <v>13107.46</v>
      </c>
      <c r="M536" s="706">
        <v>13107.46</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G32312</v>
      </c>
      <c r="AK536" s="905" t="str">
        <f t="shared" si="55"/>
        <v>CSST A PAYER</v>
      </c>
      <c r="AL536" s="905">
        <f>IFERROR(INDEX(G536:R536,1,MATCH(Parametres!$B$3,G$1:R$1,0)-1)*IF(OR(F536="L",F536="S",F536="I"),-1,1),"")</f>
        <v>-13107.46</v>
      </c>
      <c r="AM536" s="905">
        <f t="shared" si="50"/>
        <v>13107.46</v>
      </c>
      <c r="AN536" s="905">
        <f>INDEX(G536:R536,1,MATCH(Parametres!$B$3,G$1:R$1,0))*IF(OR(F536="L",F536="S",F536="I"),-1,1)</f>
        <v>0</v>
      </c>
      <c r="AO536" s="487" t="str">
        <f>+VLOOKUP($AJ536,Data_Validation!$A:$D,1,0)</f>
        <v>G32312</v>
      </c>
      <c r="AP536" s="487" t="str">
        <f>+VLOOKUP($AJ536,Data_Validation!$A:$D,3,0)</f>
        <v>Bilan</v>
      </c>
      <c r="AQ536" s="487" t="str">
        <f>+VLOOKUP($AJ536,Data_Validation!$A:$D,4,0)</f>
        <v>DAS à Payer</v>
      </c>
      <c r="AR536" s="487" t="s">
        <v>299</v>
      </c>
      <c r="AS536" s="487">
        <f>+VLOOKUP($AJ536,Data_Validation!$A:$E,5,0)</f>
        <v>0</v>
      </c>
      <c r="AT536" s="904" t="str">
        <f t="shared" si="51"/>
        <v>G32312</v>
      </c>
      <c r="AU536" s="488" t="str">
        <f t="shared" si="52"/>
        <v>CSST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3196</v>
      </c>
      <c r="D537" s="706" t="s">
        <v>3197</v>
      </c>
      <c r="E537" s="706" t="s">
        <v>333</v>
      </c>
      <c r="F537" s="706" t="s">
        <v>1135</v>
      </c>
      <c r="G537" s="706">
        <v>0</v>
      </c>
      <c r="H537" s="706">
        <v>0</v>
      </c>
      <c r="I537" s="706">
        <v>0</v>
      </c>
      <c r="J537" s="706">
        <v>0</v>
      </c>
      <c r="K537" s="706">
        <v>0</v>
      </c>
      <c r="L537" s="706">
        <v>214.98</v>
      </c>
      <c r="M537" s="706">
        <v>427.01</v>
      </c>
      <c r="N537" s="706">
        <v>1889.09</v>
      </c>
      <c r="O537" s="706">
        <v>1982.99</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G32313</v>
      </c>
      <c r="AK537" s="905" t="str">
        <f t="shared" si="55"/>
        <v>CNT A PAYER</v>
      </c>
      <c r="AL537" s="905">
        <f>IFERROR(INDEX(G537:R537,1,MATCH(Parametres!$B$3,G$1:R$1,0)-1)*IF(OR(F537="L",F537="S",F537="I"),-1,1),"")</f>
        <v>-427.01</v>
      </c>
      <c r="AM537" s="905">
        <f t="shared" si="50"/>
        <v>-1462.08</v>
      </c>
      <c r="AN537" s="905">
        <f>INDEX(G537:R537,1,MATCH(Parametres!$B$3,G$1:R$1,0))*IF(OR(F537="L",F537="S",F537="I"),-1,1)</f>
        <v>-1889.09</v>
      </c>
      <c r="AO537" s="487" t="str">
        <f>+VLOOKUP($AJ537,Data_Validation!$A:$D,1,0)</f>
        <v>G32313</v>
      </c>
      <c r="AP537" s="487" t="str">
        <f>+VLOOKUP($AJ537,Data_Validation!$A:$D,3,0)</f>
        <v>Bilan</v>
      </c>
      <c r="AQ537" s="487" t="str">
        <f>+VLOOKUP($AJ537,Data_Validation!$A:$D,4,0)</f>
        <v>DAS à Payer</v>
      </c>
      <c r="AR537" s="487" t="s">
        <v>299</v>
      </c>
      <c r="AS537" s="487">
        <f>+VLOOKUP($AJ537,Data_Validation!$A:$E,5,0)</f>
        <v>0</v>
      </c>
      <c r="AT537" s="904" t="str">
        <f t="shared" si="51"/>
        <v>G32313</v>
      </c>
      <c r="AU537" s="488" t="str">
        <f t="shared" si="52"/>
        <v>CNT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2124</v>
      </c>
      <c r="D538" s="706" t="s">
        <v>3328</v>
      </c>
      <c r="E538" s="706" t="s">
        <v>333</v>
      </c>
      <c r="F538" s="706" t="s">
        <v>1135</v>
      </c>
      <c r="G538" s="706">
        <v>104972.94</v>
      </c>
      <c r="H538" s="706">
        <v>91135.21</v>
      </c>
      <c r="I538" s="706">
        <v>105499.53</v>
      </c>
      <c r="J538" s="706">
        <v>130073.13</v>
      </c>
      <c r="K538" s="706">
        <v>57634.14</v>
      </c>
      <c r="L538" s="706">
        <v>106096.86</v>
      </c>
      <c r="M538" s="706">
        <v>106698.28</v>
      </c>
      <c r="N538" s="706">
        <v>105747.55</v>
      </c>
      <c r="O538" s="706">
        <v>176890.85</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G32400</v>
      </c>
      <c r="AK538" s="905" t="str">
        <f t="shared" si="55"/>
        <v>T.V.Q. A PAYER</v>
      </c>
      <c r="AL538" s="905">
        <f>IFERROR(INDEX(G538:R538,1,MATCH(Parametres!$B$3,G$1:R$1,0)-1)*IF(OR(F538="L",F538="S",F538="I"),-1,1),"")</f>
        <v>-106698.28</v>
      </c>
      <c r="AM538" s="905">
        <f t="shared" si="50"/>
        <v>950.72999999999593</v>
      </c>
      <c r="AN538" s="905">
        <f>INDEX(G538:R538,1,MATCH(Parametres!$B$3,G$1:R$1,0))*IF(OR(F538="L",F538="S",F538="I"),-1,1)</f>
        <v>-105747.55</v>
      </c>
      <c r="AO538" s="487" t="str">
        <f>+VLOOKUP($AJ538,Data_Validation!$A:$D,1,0)</f>
        <v>G32400</v>
      </c>
      <c r="AP538" s="487" t="str">
        <f>+VLOOKUP($AJ538,Data_Validation!$A:$D,3,0)</f>
        <v>Bilan</v>
      </c>
      <c r="AQ538" s="487" t="str">
        <f>+VLOOKUP($AJ538,Data_Validation!$A:$D,4,0)</f>
        <v>Taxes de Vente à Payer</v>
      </c>
      <c r="AR538" s="487" t="s">
        <v>299</v>
      </c>
      <c r="AS538" s="487">
        <f>+VLOOKUP($AJ538,Data_Validation!$A:$E,5,0)</f>
        <v>0</v>
      </c>
      <c r="AT538" s="904" t="str">
        <f t="shared" si="51"/>
        <v>G32400</v>
      </c>
      <c r="AU538" s="488" t="str">
        <f t="shared" si="52"/>
        <v>T.V.Q.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2126</v>
      </c>
      <c r="D539" s="706" t="s">
        <v>2127</v>
      </c>
      <c r="E539" s="706" t="s">
        <v>333</v>
      </c>
      <c r="F539" s="706" t="s">
        <v>1135</v>
      </c>
      <c r="G539" s="706">
        <v>1076451.8400000001</v>
      </c>
      <c r="H539" s="706">
        <v>902541.32</v>
      </c>
      <c r="I539" s="706">
        <v>1152829.07</v>
      </c>
      <c r="J539" s="706">
        <v>3897674.97</v>
      </c>
      <c r="K539" s="706">
        <v>1140831.3600000001</v>
      </c>
      <c r="L539" s="706">
        <v>986858.79</v>
      </c>
      <c r="M539" s="706">
        <v>699437.82</v>
      </c>
      <c r="N539" s="706">
        <v>654244.14</v>
      </c>
      <c r="O539" s="706">
        <v>1020078.94</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G32401</v>
      </c>
      <c r="AK539" s="905" t="str">
        <f t="shared" si="55"/>
        <v>T.P.S. A PAYER</v>
      </c>
      <c r="AL539" s="905">
        <f>IFERROR(INDEX(G539:R539,1,MATCH(Parametres!$B$3,G$1:R$1,0)-1)*IF(OR(F539="L",F539="S",F539="I"),-1,1),"")</f>
        <v>-699437.82</v>
      </c>
      <c r="AM539" s="905">
        <f t="shared" si="50"/>
        <v>45193.679999999935</v>
      </c>
      <c r="AN539" s="905">
        <f>INDEX(G539:R539,1,MATCH(Parametres!$B$3,G$1:R$1,0))*IF(OR(F539="L",F539="S",F539="I"),-1,1)</f>
        <v>-654244.14</v>
      </c>
      <c r="AO539" s="487" t="str">
        <f>+VLOOKUP($AJ539,Data_Validation!$A:$D,1,0)</f>
        <v>G32401</v>
      </c>
      <c r="AP539" s="487" t="str">
        <f>+VLOOKUP($AJ539,Data_Validation!$A:$D,3,0)</f>
        <v>Bilan</v>
      </c>
      <c r="AQ539" s="487" t="str">
        <f>+VLOOKUP($AJ539,Data_Validation!$A:$D,4,0)</f>
        <v>Taxes de Vente à Payer</v>
      </c>
      <c r="AR539" s="487" t="s">
        <v>299</v>
      </c>
      <c r="AS539" s="487">
        <f>+VLOOKUP($AJ539,Data_Validation!$A:$E,5,0)</f>
        <v>0</v>
      </c>
      <c r="AT539" s="904" t="str">
        <f t="shared" si="51"/>
        <v>G32401</v>
      </c>
      <c r="AU539" s="488" t="str">
        <f t="shared" si="52"/>
        <v>T.P.S.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2128</v>
      </c>
      <c r="D540" s="706" t="s">
        <v>2129</v>
      </c>
      <c r="E540" s="706" t="s">
        <v>333</v>
      </c>
      <c r="F540" s="706" t="s">
        <v>1135</v>
      </c>
      <c r="G540" s="706">
        <v>195.93</v>
      </c>
      <c r="H540" s="706">
        <v>364.95</v>
      </c>
      <c r="I540" s="706">
        <v>275.39999999999998</v>
      </c>
      <c r="J540" s="706">
        <v>280.52999999999997</v>
      </c>
      <c r="K540" s="706">
        <v>0</v>
      </c>
      <c r="L540" s="706">
        <v>0</v>
      </c>
      <c r="M540" s="706">
        <v>609.33000000000004</v>
      </c>
      <c r="N540" s="706">
        <v>398.6</v>
      </c>
      <c r="O540" s="706">
        <v>398.6</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G32402</v>
      </c>
      <c r="AK540" s="905" t="str">
        <f t="shared" si="55"/>
        <v>TPA ASSURANCES</v>
      </c>
      <c r="AL540" s="905">
        <f>IFERROR(INDEX(G540:R540,1,MATCH(Parametres!$B$3,G$1:R$1,0)-1)*IF(OR(F540="L",F540="S",F540="I"),-1,1),"")</f>
        <v>-609.33000000000004</v>
      </c>
      <c r="AM540" s="905">
        <f t="shared" si="50"/>
        <v>210.73000000000002</v>
      </c>
      <c r="AN540" s="905">
        <f>INDEX(G540:R540,1,MATCH(Parametres!$B$3,G$1:R$1,0))*IF(OR(F540="L",F540="S",F540="I"),-1,1)</f>
        <v>-398.6</v>
      </c>
      <c r="AO540" s="487" t="str">
        <f>+VLOOKUP($AJ540,Data_Validation!$A:$D,1,0)</f>
        <v>G32402</v>
      </c>
      <c r="AP540" s="487" t="str">
        <f>+VLOOKUP($AJ540,Data_Validation!$A:$D,3,0)</f>
        <v>Bilan</v>
      </c>
      <c r="AQ540" s="487" t="str">
        <f>+VLOOKUP($AJ540,Data_Validation!$A:$D,4,0)</f>
        <v>Taxes de Vente à Payer</v>
      </c>
      <c r="AR540" s="487" t="s">
        <v>299</v>
      </c>
      <c r="AS540" s="487">
        <f>+VLOOKUP($AJ540,Data_Validation!$A:$E,5,0)</f>
        <v>0</v>
      </c>
      <c r="AT540" s="904" t="str">
        <f t="shared" si="51"/>
        <v>G32402</v>
      </c>
      <c r="AU540" s="488" t="str">
        <f t="shared" si="52"/>
        <v>TPA ASSURANCES</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2130</v>
      </c>
      <c r="D541" s="706" t="s">
        <v>2131</v>
      </c>
      <c r="E541" s="706" t="s">
        <v>333</v>
      </c>
      <c r="F541" s="706" t="s">
        <v>1135</v>
      </c>
      <c r="G541" s="706">
        <v>5030</v>
      </c>
      <c r="H541" s="706">
        <v>12525.92</v>
      </c>
      <c r="I541" s="706">
        <v>21790.14</v>
      </c>
      <c r="J541" s="706">
        <v>2267.56</v>
      </c>
      <c r="K541" s="706">
        <v>10794.43</v>
      </c>
      <c r="L541" s="706">
        <v>27004.639999999999</v>
      </c>
      <c r="M541" s="706">
        <v>12198.69</v>
      </c>
      <c r="N541" s="706">
        <v>12410.57</v>
      </c>
      <c r="O541" s="706">
        <v>15602.61</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G32500</v>
      </c>
      <c r="AK541" s="905" t="str">
        <f t="shared" si="55"/>
        <v>TAXE DELUXE A PAYER</v>
      </c>
      <c r="AL541" s="905">
        <f>IFERROR(INDEX(G541:R541,1,MATCH(Parametres!$B$3,G$1:R$1,0)-1)*IF(OR(F541="L",F541="S",F541="I"),-1,1),"")</f>
        <v>-12198.69</v>
      </c>
      <c r="AM541" s="905">
        <f t="shared" si="50"/>
        <v>-211.8799999999992</v>
      </c>
      <c r="AN541" s="905">
        <f>INDEX(G541:R541,1,MATCH(Parametres!$B$3,G$1:R$1,0))*IF(OR(F541="L",F541="S",F541="I"),-1,1)</f>
        <v>-12410.57</v>
      </c>
      <c r="AO541" s="487" t="str">
        <f>+VLOOKUP($AJ541,Data_Validation!$A:$D,1,0)</f>
        <v>G32500</v>
      </c>
      <c r="AP541" s="487" t="str">
        <f>+VLOOKUP($AJ541,Data_Validation!$A:$D,3,0)</f>
        <v>Bilan</v>
      </c>
      <c r="AQ541" s="487" t="str">
        <f>+VLOOKUP($AJ541,Data_Validation!$A:$D,4,0)</f>
        <v>Taxes de Vente à Payer</v>
      </c>
      <c r="AR541" s="487" t="s">
        <v>299</v>
      </c>
      <c r="AS541" s="487">
        <f>+VLOOKUP($AJ541,Data_Validation!$A:$E,5,0)</f>
        <v>0</v>
      </c>
      <c r="AT541" s="904" t="str">
        <f t="shared" si="51"/>
        <v>G32500</v>
      </c>
      <c r="AU541" s="488" t="str">
        <f t="shared" si="52"/>
        <v>TAXE DELUXE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2132</v>
      </c>
      <c r="D542" s="706" t="s">
        <v>1154</v>
      </c>
      <c r="E542" s="706" t="s">
        <v>333</v>
      </c>
      <c r="F542" s="706" t="s">
        <v>1135</v>
      </c>
      <c r="G542" s="706">
        <v>0</v>
      </c>
      <c r="H542" s="706">
        <v>0</v>
      </c>
      <c r="I542" s="706">
        <v>0</v>
      </c>
      <c r="J542" s="706">
        <v>0</v>
      </c>
      <c r="K542" s="706">
        <v>0</v>
      </c>
      <c r="L542" s="706">
        <v>0</v>
      </c>
      <c r="M542" s="706">
        <v>0</v>
      </c>
      <c r="N542" s="706">
        <v>0</v>
      </c>
      <c r="O542" s="706">
        <v>0</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G32700</v>
      </c>
      <c r="AK542" s="905" t="str">
        <f t="shared" si="55"/>
        <v>IMPÔTS EXIGIBLES</v>
      </c>
      <c r="AL542" s="905">
        <f>IFERROR(INDEX(G542:R542,1,MATCH(Parametres!$B$3,G$1:R$1,0)-1)*IF(OR(F542="L",F542="S",F542="I"),-1,1),"")</f>
        <v>0</v>
      </c>
      <c r="AM542" s="905">
        <f t="shared" si="50"/>
        <v>0</v>
      </c>
      <c r="AN542" s="905">
        <f>INDEX(G542:R542,1,MATCH(Parametres!$B$3,G$1:R$1,0))*IF(OR(F542="L",F542="S",F542="I"),-1,1)</f>
        <v>0</v>
      </c>
      <c r="AO542" s="487" t="str">
        <f>+VLOOKUP($AJ542,Data_Validation!$A:$D,1,0)</f>
        <v>G32700</v>
      </c>
      <c r="AP542" s="487" t="str">
        <f>+VLOOKUP($AJ542,Data_Validation!$A:$D,3,0)</f>
        <v>Bilan</v>
      </c>
      <c r="AQ542" s="487" t="str">
        <f>+VLOOKUP($AJ542,Data_Validation!$A:$D,4,0)</f>
        <v>Impôts à payer</v>
      </c>
      <c r="AR542" s="487" t="s">
        <v>299</v>
      </c>
      <c r="AS542" s="487">
        <f>+VLOOKUP($AJ542,Data_Validation!$A:$E,5,0)</f>
        <v>0</v>
      </c>
      <c r="AT542" s="904" t="str">
        <f t="shared" si="51"/>
        <v>G32700</v>
      </c>
      <c r="AU542" s="488" t="str">
        <f t="shared" si="52"/>
        <v>IMPÔTS EXIGIBLES</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2133</v>
      </c>
      <c r="D543" s="706" t="s">
        <v>1147</v>
      </c>
      <c r="E543" s="706" t="s">
        <v>333</v>
      </c>
      <c r="F543" s="706" t="s">
        <v>1135</v>
      </c>
      <c r="G543" s="706">
        <v>0</v>
      </c>
      <c r="H543" s="706">
        <v>0</v>
      </c>
      <c r="I543" s="706">
        <v>12274.51</v>
      </c>
      <c r="J543" s="706">
        <v>19394.73</v>
      </c>
      <c r="K543" s="706">
        <v>11577.99</v>
      </c>
      <c r="L543" s="706">
        <v>13279.16</v>
      </c>
      <c r="M543" s="706">
        <v>20373.650000000001</v>
      </c>
      <c r="N543" s="706">
        <v>14675.52</v>
      </c>
      <c r="O543" s="706">
        <v>-816.24</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G32800</v>
      </c>
      <c r="AK543" s="905" t="str">
        <f t="shared" si="55"/>
        <v>BONI A PAYER</v>
      </c>
      <c r="AL543" s="905">
        <f>IFERROR(INDEX(G543:R543,1,MATCH(Parametres!$B$3,G$1:R$1,0)-1)*IF(OR(F543="L",F543="S",F543="I"),-1,1),"")</f>
        <v>-20373.650000000001</v>
      </c>
      <c r="AM543" s="905">
        <f t="shared" si="50"/>
        <v>5698.130000000001</v>
      </c>
      <c r="AN543" s="905">
        <f>INDEX(G543:R543,1,MATCH(Parametres!$B$3,G$1:R$1,0))*IF(OR(F543="L",F543="S",F543="I"),-1,1)</f>
        <v>-14675.52</v>
      </c>
      <c r="AO543" s="487" t="str">
        <f>+VLOOKUP($AJ543,Data_Validation!$A:$D,1,0)</f>
        <v>G32800</v>
      </c>
      <c r="AP543" s="487" t="str">
        <f>+VLOOKUP($AJ543,Data_Validation!$A:$D,3,0)</f>
        <v>Bilan</v>
      </c>
      <c r="AQ543" s="487" t="str">
        <f>+VLOOKUP($AJ543,Data_Validation!$A:$D,4,0)</f>
        <v>Salaires à Payer</v>
      </c>
      <c r="AR543" s="487" t="s">
        <v>299</v>
      </c>
      <c r="AS543" s="487">
        <f>+VLOOKUP($AJ543,Data_Validation!$A:$E,5,0)</f>
        <v>0</v>
      </c>
      <c r="AT543" s="904" t="str">
        <f t="shared" si="51"/>
        <v>G32800</v>
      </c>
      <c r="AU543" s="488" t="str">
        <f t="shared" si="52"/>
        <v>BONI A PAYER</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2134</v>
      </c>
      <c r="D544" s="706" t="s">
        <v>2135</v>
      </c>
      <c r="E544" s="706" t="s">
        <v>333</v>
      </c>
      <c r="F544" s="706" t="s">
        <v>1135</v>
      </c>
      <c r="G544" s="706">
        <v>-2725964.6</v>
      </c>
      <c r="H544" s="706">
        <v>-3387014.6</v>
      </c>
      <c r="I544" s="706">
        <v>-3400964.6</v>
      </c>
      <c r="J544" s="706">
        <v>-3389504.24</v>
      </c>
      <c r="K544" s="706">
        <v>-3889504.24</v>
      </c>
      <c r="L544" s="706">
        <v>-3920685.29</v>
      </c>
      <c r="M544" s="706">
        <v>-3918620.97</v>
      </c>
      <c r="N544" s="706">
        <v>-3940255.42</v>
      </c>
      <c r="O544" s="706">
        <v>-3977655.42</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G32900</v>
      </c>
      <c r="AK544" s="905" t="str">
        <f t="shared" si="55"/>
        <v>BONI À PAYER PROPRIETAIRE</v>
      </c>
      <c r="AL544" s="905">
        <f>IFERROR(INDEX(G544:R544,1,MATCH(Parametres!$B$3,G$1:R$1,0)-1)*IF(OR(F544="L",F544="S",F544="I"),-1,1),"")</f>
        <v>3918620.97</v>
      </c>
      <c r="AM544" s="905">
        <f t="shared" si="50"/>
        <v>21634.449999999721</v>
      </c>
      <c r="AN544" s="905">
        <f>INDEX(G544:R544,1,MATCH(Parametres!$B$3,G$1:R$1,0))*IF(OR(F544="L",F544="S",F544="I"),-1,1)</f>
        <v>3940255.42</v>
      </c>
      <c r="AO544" s="487" t="str">
        <f>+VLOOKUP($AJ544,Data_Validation!$A:$D,1,0)</f>
        <v>G32900</v>
      </c>
      <c r="AP544" s="487" t="str">
        <f>+VLOOKUP($AJ544,Data_Validation!$A:$D,3,0)</f>
        <v>Bilan</v>
      </c>
      <c r="AQ544" s="487" t="str">
        <f>+VLOOKUP($AJ544,Data_Validation!$A:$D,4,0)</f>
        <v>Salaires à Payer</v>
      </c>
      <c r="AR544" s="487" t="s">
        <v>299</v>
      </c>
      <c r="AS544" s="487">
        <f>+VLOOKUP($AJ544,Data_Validation!$A:$E,5,0)</f>
        <v>0</v>
      </c>
      <c r="AT544" s="904" t="str">
        <f t="shared" si="51"/>
        <v>G32900</v>
      </c>
      <c r="AU544" s="488" t="str">
        <f t="shared" si="52"/>
        <v>BONI À PAYER PROPRIETAIRE</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2136</v>
      </c>
      <c r="D545" s="706" t="s">
        <v>2137</v>
      </c>
      <c r="E545" s="706" t="s">
        <v>336</v>
      </c>
      <c r="F545" s="706" t="s">
        <v>1135</v>
      </c>
      <c r="G545" s="706">
        <v>0</v>
      </c>
      <c r="H545" s="706">
        <v>0</v>
      </c>
      <c r="I545" s="706">
        <v>0</v>
      </c>
      <c r="J545" s="706">
        <v>0</v>
      </c>
      <c r="K545" s="706">
        <v>0</v>
      </c>
      <c r="L545" s="706">
        <v>41642.04</v>
      </c>
      <c r="M545" s="706">
        <v>0</v>
      </c>
      <c r="N545" s="706">
        <v>42402.54</v>
      </c>
      <c r="O545" s="706">
        <v>0</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G33030</v>
      </c>
      <c r="AK545" s="905" t="str">
        <f t="shared" si="55"/>
        <v>AP VEH. HAWKESBURY GM</v>
      </c>
      <c r="AL545" s="905">
        <f>IFERROR(INDEX(G545:R545,1,MATCH(Parametres!$B$3,G$1:R$1,0)-1)*IF(OR(F545="L",F545="S",F545="I"),-1,1),"")</f>
        <v>0</v>
      </c>
      <c r="AM545" s="905">
        <f t="shared" si="50"/>
        <v>-42402.54</v>
      </c>
      <c r="AN545" s="905">
        <f>INDEX(G545:R545,1,MATCH(Parametres!$B$3,G$1:R$1,0))*IF(OR(F545="L",F545="S",F545="I"),-1,1)</f>
        <v>-42402.54</v>
      </c>
      <c r="AO545" s="487" t="str">
        <f>+VLOOKUP($AJ545,Data_Validation!$A:$D,1,0)</f>
        <v>G33030</v>
      </c>
      <c r="AP545" s="487" t="str">
        <f>+VLOOKUP($AJ545,Data_Validation!$A:$D,3,0)</f>
        <v>Bilan</v>
      </c>
      <c r="AQ545" s="487" t="str">
        <f>+VLOOKUP($AJ545,Data_Validation!$A:$D,4,0)</f>
        <v>Payables Intercos</v>
      </c>
      <c r="AR545" s="487" t="s">
        <v>299</v>
      </c>
      <c r="AS545" s="487">
        <f>+VLOOKUP($AJ545,Data_Validation!$A:$E,5,0)</f>
        <v>0</v>
      </c>
      <c r="AT545" s="904" t="str">
        <f t="shared" si="51"/>
        <v>G33030</v>
      </c>
      <c r="AU545" s="488" t="str">
        <f t="shared" si="52"/>
        <v>AP VEH. HAWKESBURY GM</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2138</v>
      </c>
      <c r="D546" s="706" t="s">
        <v>2139</v>
      </c>
      <c r="E546" s="706" t="s">
        <v>336</v>
      </c>
      <c r="F546" s="706" t="s">
        <v>1135</v>
      </c>
      <c r="G546" s="706">
        <v>0</v>
      </c>
      <c r="H546" s="706">
        <v>0</v>
      </c>
      <c r="I546" s="706">
        <v>0</v>
      </c>
      <c r="J546" s="706">
        <v>0</v>
      </c>
      <c r="K546" s="706">
        <v>0</v>
      </c>
      <c r="L546" s="706">
        <v>164000</v>
      </c>
      <c r="M546" s="706">
        <v>0</v>
      </c>
      <c r="N546" s="706">
        <v>0</v>
      </c>
      <c r="O546" s="706">
        <v>0</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G33035</v>
      </c>
      <c r="AK546" s="905" t="str">
        <f t="shared" si="55"/>
        <v>AP VEH. BMW SHERBROOKE</v>
      </c>
      <c r="AL546" s="905">
        <f>IFERROR(INDEX(G546:R546,1,MATCH(Parametres!$B$3,G$1:R$1,0)-1)*IF(OR(F546="L",F546="S",F546="I"),-1,1),"")</f>
        <v>0</v>
      </c>
      <c r="AM546" s="905">
        <f t="shared" si="50"/>
        <v>0</v>
      </c>
      <c r="AN546" s="905">
        <f>INDEX(G546:R546,1,MATCH(Parametres!$B$3,G$1:R$1,0))*IF(OR(F546="L",F546="S",F546="I"),-1,1)</f>
        <v>0</v>
      </c>
      <c r="AO546" s="487" t="str">
        <f>+VLOOKUP($AJ546,Data_Validation!$A:$D,1,0)</f>
        <v>G33035</v>
      </c>
      <c r="AP546" s="487" t="str">
        <f>+VLOOKUP($AJ546,Data_Validation!$A:$D,3,0)</f>
        <v>Bilan</v>
      </c>
      <c r="AQ546" s="487" t="str">
        <f>+VLOOKUP($AJ546,Data_Validation!$A:$D,4,0)</f>
        <v>Payables Intercos</v>
      </c>
      <c r="AR546" s="487" t="s">
        <v>299</v>
      </c>
      <c r="AS546" s="487">
        <f>+VLOOKUP($AJ546,Data_Validation!$A:$E,5,0)</f>
        <v>0</v>
      </c>
      <c r="AT546" s="904" t="str">
        <f t="shared" si="51"/>
        <v>G33035</v>
      </c>
      <c r="AU546" s="488" t="str">
        <f t="shared" si="52"/>
        <v>AP VEH. BMW SHERBROOKE</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2140</v>
      </c>
      <c r="D547" s="706" t="s">
        <v>2141</v>
      </c>
      <c r="E547" s="706" t="s">
        <v>336</v>
      </c>
      <c r="F547" s="706" t="s">
        <v>1135</v>
      </c>
      <c r="G547" s="706">
        <v>0</v>
      </c>
      <c r="H547" s="706">
        <v>0</v>
      </c>
      <c r="I547" s="706">
        <v>0</v>
      </c>
      <c r="J547" s="706">
        <v>0</v>
      </c>
      <c r="K547" s="706">
        <v>0</v>
      </c>
      <c r="L547" s="706">
        <v>0</v>
      </c>
      <c r="M547" s="706">
        <v>269445.07</v>
      </c>
      <c r="N547" s="706">
        <v>605146.31999999995</v>
      </c>
      <c r="O547" s="706">
        <v>215199.39</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G33040</v>
      </c>
      <c r="AK547" s="905" t="str">
        <f t="shared" si="55"/>
        <v>AP VEH. LOCATION LMB</v>
      </c>
      <c r="AL547" s="905">
        <f>IFERROR(INDEX(G547:R547,1,MATCH(Parametres!$B$3,G$1:R$1,0)-1)*IF(OR(F547="L",F547="S",F547="I"),-1,1),"")</f>
        <v>-269445.07</v>
      </c>
      <c r="AM547" s="905">
        <f t="shared" si="50"/>
        <v>-335701.24999999994</v>
      </c>
      <c r="AN547" s="905">
        <f>INDEX(G547:R547,1,MATCH(Parametres!$B$3,G$1:R$1,0))*IF(OR(F547="L",F547="S",F547="I"),-1,1)</f>
        <v>-605146.31999999995</v>
      </c>
      <c r="AO547" s="487" t="str">
        <f>+VLOOKUP($AJ547,Data_Validation!$A:$D,1,0)</f>
        <v>G33040</v>
      </c>
      <c r="AP547" s="487" t="str">
        <f>+VLOOKUP($AJ547,Data_Validation!$A:$D,3,0)</f>
        <v>Bilan</v>
      </c>
      <c r="AQ547" s="487" t="str">
        <f>+VLOOKUP($AJ547,Data_Validation!$A:$D,4,0)</f>
        <v>Payables Intercos</v>
      </c>
      <c r="AR547" s="487" t="s">
        <v>299</v>
      </c>
      <c r="AS547" s="487">
        <f>+VLOOKUP($AJ547,Data_Validation!$A:$E,5,0)</f>
        <v>0</v>
      </c>
      <c r="AT547" s="904" t="str">
        <f t="shared" si="51"/>
        <v>G33040</v>
      </c>
      <c r="AU547" s="488" t="str">
        <f t="shared" si="52"/>
        <v>AP VEH. LOCATION LMB</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2142</v>
      </c>
      <c r="D548" s="706" t="s">
        <v>2143</v>
      </c>
      <c r="E548" s="706" t="s">
        <v>336</v>
      </c>
      <c r="F548" s="706" t="s">
        <v>1135</v>
      </c>
      <c r="G548" s="706">
        <v>0</v>
      </c>
      <c r="H548" s="706">
        <v>0</v>
      </c>
      <c r="I548" s="706">
        <v>0</v>
      </c>
      <c r="J548" s="706">
        <v>0</v>
      </c>
      <c r="K548" s="706">
        <v>0</v>
      </c>
      <c r="L548" s="706">
        <v>42500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G33045</v>
      </c>
      <c r="AK548" s="905" t="str">
        <f t="shared" si="55"/>
        <v>AP VEH. VOLKS BROSSARD</v>
      </c>
      <c r="AL548" s="905">
        <f>IFERROR(INDEX(G548:R548,1,MATCH(Parametres!$B$3,G$1:R$1,0)-1)*IF(OR(F548="L",F548="S",F548="I"),-1,1),"")</f>
        <v>0</v>
      </c>
      <c r="AM548" s="905">
        <f t="shared" si="50"/>
        <v>0</v>
      </c>
      <c r="AN548" s="905">
        <f>INDEX(G548:R548,1,MATCH(Parametres!$B$3,G$1:R$1,0))*IF(OR(F548="L",F548="S",F548="I"),-1,1)</f>
        <v>0</v>
      </c>
      <c r="AO548" s="487" t="str">
        <f>+VLOOKUP($AJ548,Data_Validation!$A:$D,1,0)</f>
        <v>G33045</v>
      </c>
      <c r="AP548" s="487" t="str">
        <f>+VLOOKUP($AJ548,Data_Validation!$A:$D,3,0)</f>
        <v>Bilan</v>
      </c>
      <c r="AQ548" s="487" t="str">
        <f>+VLOOKUP($AJ548,Data_Validation!$A:$D,4,0)</f>
        <v>Payables Intercos</v>
      </c>
      <c r="AR548" s="487" t="s">
        <v>299</v>
      </c>
      <c r="AS548" s="487">
        <f>+VLOOKUP($AJ548,Data_Validation!$A:$E,5,0)</f>
        <v>0</v>
      </c>
      <c r="AT548" s="904" t="str">
        <f t="shared" si="51"/>
        <v>G33045</v>
      </c>
      <c r="AU548" s="488" t="str">
        <f t="shared" si="52"/>
        <v>AP VEH. VOLKS BROSSARD</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2144</v>
      </c>
      <c r="D549" s="706" t="s">
        <v>2145</v>
      </c>
      <c r="E549" s="706" t="s">
        <v>336</v>
      </c>
      <c r="F549" s="706" t="s">
        <v>1135</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G33050</v>
      </c>
      <c r="AK549" s="905" t="str">
        <f t="shared" si="55"/>
        <v>AP VEH. LONGUEUIL HUYNDAI</v>
      </c>
      <c r="AL549" s="905">
        <f>IFERROR(INDEX(G549:R549,1,MATCH(Parametres!$B$3,G$1:R$1,0)-1)*IF(OR(F549="L",F549="S",F549="I"),-1,1),"")</f>
        <v>0</v>
      </c>
      <c r="AM549" s="905">
        <f t="shared" si="50"/>
        <v>0</v>
      </c>
      <c r="AN549" s="905">
        <f>INDEX(G549:R549,1,MATCH(Parametres!$B$3,G$1:R$1,0))*IF(OR(F549="L",F549="S",F549="I"),-1,1)</f>
        <v>0</v>
      </c>
      <c r="AO549" s="487" t="str">
        <f>+VLOOKUP($AJ549,Data_Validation!$A:$D,1,0)</f>
        <v>G33050</v>
      </c>
      <c r="AP549" s="487" t="str">
        <f>+VLOOKUP($AJ549,Data_Validation!$A:$D,3,0)</f>
        <v>Bilan</v>
      </c>
      <c r="AQ549" s="487" t="str">
        <f>+VLOOKUP($AJ549,Data_Validation!$A:$D,4,0)</f>
        <v>Payables Intercos</v>
      </c>
      <c r="AR549" s="487" t="s">
        <v>299</v>
      </c>
      <c r="AS549" s="487">
        <f>+VLOOKUP($AJ549,Data_Validation!$A:$E,5,0)</f>
        <v>0</v>
      </c>
      <c r="AT549" s="904" t="str">
        <f t="shared" si="51"/>
        <v>G33050</v>
      </c>
      <c r="AU549" s="488" t="str">
        <f t="shared" si="52"/>
        <v>AP VEH. LONGUEUIL HUYNDAI</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2146</v>
      </c>
      <c r="D550" s="706" t="s">
        <v>3329</v>
      </c>
      <c r="E550" s="706" t="s">
        <v>1139</v>
      </c>
      <c r="F550" s="706" t="s">
        <v>1135</v>
      </c>
      <c r="G550" s="706">
        <v>4700.8500000000004</v>
      </c>
      <c r="H550" s="706">
        <v>6127.32</v>
      </c>
      <c r="I550" s="706">
        <v>312.14</v>
      </c>
      <c r="J550" s="706">
        <v>4525.93</v>
      </c>
      <c r="K550" s="706">
        <v>7740.16</v>
      </c>
      <c r="L550" s="706">
        <v>9222.64</v>
      </c>
      <c r="M550" s="706">
        <v>7659.56</v>
      </c>
      <c r="N550" s="706">
        <v>10943.55</v>
      </c>
      <c r="O550" s="706">
        <v>12901.68</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G33100</v>
      </c>
      <c r="AK550" s="905" t="str">
        <f t="shared" si="55"/>
        <v>ACC VENDU NON INSTALLE</v>
      </c>
      <c r="AL550" s="905">
        <f>IFERROR(INDEX(G550:R550,1,MATCH(Parametres!$B$3,G$1:R$1,0)-1)*IF(OR(F550="L",F550="S",F550="I"),-1,1),"")</f>
        <v>-7659.56</v>
      </c>
      <c r="AM550" s="905">
        <f t="shared" si="50"/>
        <v>-3283.9899999999989</v>
      </c>
      <c r="AN550" s="905">
        <f>INDEX(G550:R550,1,MATCH(Parametres!$B$3,G$1:R$1,0))*IF(OR(F550="L",F550="S",F550="I"),-1,1)</f>
        <v>-10943.55</v>
      </c>
      <c r="AO550" s="487" t="str">
        <f>+VLOOKUP($AJ550,Data_Validation!$A:$D,1,0)</f>
        <v>G33100</v>
      </c>
      <c r="AP550" s="487" t="str">
        <f>+VLOOKUP($AJ550,Data_Validation!$A:$D,3,0)</f>
        <v>Bilan</v>
      </c>
      <c r="AQ550" s="487" t="str">
        <f>+VLOOKUP($AJ550,Data_Validation!$A:$D,4,0)</f>
        <v>Autres Courus</v>
      </c>
      <c r="AR550" s="487" t="s">
        <v>299</v>
      </c>
      <c r="AS550" s="487">
        <f>+VLOOKUP($AJ550,Data_Validation!$A:$E,5,0)</f>
        <v>0</v>
      </c>
      <c r="AT550" s="904" t="str">
        <f t="shared" si="51"/>
        <v>G33100</v>
      </c>
      <c r="AU550" s="488" t="str">
        <f t="shared" si="52"/>
        <v>ACC VENDU NON INSTALLE</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2148</v>
      </c>
      <c r="D551" s="706" t="s">
        <v>2149</v>
      </c>
      <c r="E551" s="706" t="s">
        <v>333</v>
      </c>
      <c r="F551" s="706" t="s">
        <v>1135</v>
      </c>
      <c r="G551" s="706">
        <v>0</v>
      </c>
      <c r="H551" s="706">
        <v>0</v>
      </c>
      <c r="I551" s="706">
        <v>0</v>
      </c>
      <c r="J551" s="706">
        <v>0</v>
      </c>
      <c r="K551" s="706">
        <v>0</v>
      </c>
      <c r="L551" s="706">
        <v>0</v>
      </c>
      <c r="M551" s="706">
        <v>0</v>
      </c>
      <c r="N551" s="706">
        <v>0</v>
      </c>
      <c r="O551" s="706">
        <v>0</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G33101</v>
      </c>
      <c r="AK551" s="905" t="str">
        <f t="shared" si="55"/>
        <v>PROVISION PUBLICITE</v>
      </c>
      <c r="AL551" s="905">
        <f>IFERROR(INDEX(G551:R551,1,MATCH(Parametres!$B$3,G$1:R$1,0)-1)*IF(OR(F551="L",F551="S",F551="I"),-1,1),"")</f>
        <v>0</v>
      </c>
      <c r="AM551" s="905">
        <f t="shared" si="50"/>
        <v>0</v>
      </c>
      <c r="AN551" s="905">
        <f>INDEX(G551:R551,1,MATCH(Parametres!$B$3,G$1:R$1,0))*IF(OR(F551="L",F551="S",F551="I"),-1,1)</f>
        <v>0</v>
      </c>
      <c r="AO551" s="487" t="str">
        <f>+VLOOKUP($AJ551,Data_Validation!$A:$D,1,0)</f>
        <v>G33101</v>
      </c>
      <c r="AP551" s="487" t="str">
        <f>+VLOOKUP($AJ551,Data_Validation!$A:$D,3,0)</f>
        <v>Bilan</v>
      </c>
      <c r="AQ551" s="487" t="str">
        <f>+VLOOKUP($AJ551,Data_Validation!$A:$D,4,0)</f>
        <v>Autres Courus</v>
      </c>
      <c r="AR551" s="487" t="s">
        <v>299</v>
      </c>
      <c r="AS551" s="487">
        <f>+VLOOKUP($AJ551,Data_Validation!$A:$E,5,0)</f>
        <v>0</v>
      </c>
      <c r="AT551" s="904" t="str">
        <f t="shared" si="51"/>
        <v>G33101</v>
      </c>
      <c r="AU551" s="488" t="str">
        <f t="shared" si="52"/>
        <v>PROVISION PUBLICITE</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2150</v>
      </c>
      <c r="D552" s="706" t="s">
        <v>2151</v>
      </c>
      <c r="E552" s="706" t="s">
        <v>333</v>
      </c>
      <c r="F552" s="706" t="s">
        <v>1135</v>
      </c>
      <c r="G552" s="706">
        <v>258113.68</v>
      </c>
      <c r="H552" s="706">
        <v>276039.8</v>
      </c>
      <c r="I552" s="706">
        <v>276197.55</v>
      </c>
      <c r="J552" s="706">
        <v>282895.93</v>
      </c>
      <c r="K552" s="706">
        <v>273009.69</v>
      </c>
      <c r="L552" s="706">
        <v>275839.28999999998</v>
      </c>
      <c r="M552" s="706">
        <v>193376.23</v>
      </c>
      <c r="N552" s="706">
        <v>182643.4</v>
      </c>
      <c r="O552" s="706">
        <v>180264.93</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G33102</v>
      </c>
      <c r="AK552" s="905" t="str">
        <f t="shared" si="55"/>
        <v>PROVISIONS POUR VACANCES</v>
      </c>
      <c r="AL552" s="905">
        <f>IFERROR(INDEX(G552:R552,1,MATCH(Parametres!$B$3,G$1:R$1,0)-1)*IF(OR(F552="L",F552="S",F552="I"),-1,1),"")</f>
        <v>-193376.23</v>
      </c>
      <c r="AM552" s="905">
        <f t="shared" si="50"/>
        <v>10732.830000000016</v>
      </c>
      <c r="AN552" s="905">
        <f>INDEX(G552:R552,1,MATCH(Parametres!$B$3,G$1:R$1,0))*IF(OR(F552="L",F552="S",F552="I"),-1,1)</f>
        <v>-182643.4</v>
      </c>
      <c r="AO552" s="487" t="str">
        <f>+VLOOKUP($AJ552,Data_Validation!$A:$D,1,0)</f>
        <v>G33102</v>
      </c>
      <c r="AP552" s="487" t="str">
        <f>+VLOOKUP($AJ552,Data_Validation!$A:$D,3,0)</f>
        <v>Bilan</v>
      </c>
      <c r="AQ552" s="487" t="str">
        <f>+VLOOKUP($AJ552,Data_Validation!$A:$D,4,0)</f>
        <v>Salaires à Payer</v>
      </c>
      <c r="AR552" s="487" t="s">
        <v>299</v>
      </c>
      <c r="AS552" s="487">
        <f>+VLOOKUP($AJ552,Data_Validation!$A:$E,5,0)</f>
        <v>0</v>
      </c>
      <c r="AT552" s="904" t="str">
        <f t="shared" si="51"/>
        <v>G33102</v>
      </c>
      <c r="AU552" s="488" t="str">
        <f t="shared" si="52"/>
        <v>PROVISIONS POUR VACANCES</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2152</v>
      </c>
      <c r="D553" s="706" t="s">
        <v>2153</v>
      </c>
      <c r="E553" s="706" t="s">
        <v>336</v>
      </c>
      <c r="F553" s="706" t="s">
        <v>1135</v>
      </c>
      <c r="G553" s="706">
        <v>0</v>
      </c>
      <c r="H553" s="706">
        <v>900</v>
      </c>
      <c r="I553" s="706">
        <v>7000</v>
      </c>
      <c r="J553" s="706">
        <v>4068.52</v>
      </c>
      <c r="K553" s="706">
        <v>9993.52</v>
      </c>
      <c r="L553" s="706">
        <v>12361.57</v>
      </c>
      <c r="M553" s="706">
        <v>26665.25</v>
      </c>
      <c r="N553" s="706">
        <v>55110.42</v>
      </c>
      <c r="O553" s="706">
        <v>24520.98</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G33103</v>
      </c>
      <c r="AK553" s="905" t="str">
        <f t="shared" si="55"/>
        <v>RESERVE USA</v>
      </c>
      <c r="AL553" s="905">
        <f>IFERROR(INDEX(G553:R553,1,MATCH(Parametres!$B$3,G$1:R$1,0)-1)*IF(OR(F553="L",F553="S",F553="I"),-1,1),"")</f>
        <v>-26665.25</v>
      </c>
      <c r="AM553" s="905">
        <f t="shared" si="50"/>
        <v>-28445.17</v>
      </c>
      <c r="AN553" s="905">
        <f>INDEX(G553:R553,1,MATCH(Parametres!$B$3,G$1:R$1,0))*IF(OR(F553="L",F553="S",F553="I"),-1,1)</f>
        <v>-55110.42</v>
      </c>
      <c r="AO553" s="487" t="str">
        <f>+VLOOKUP($AJ553,Data_Validation!$A:$D,1,0)</f>
        <v>G33103</v>
      </c>
      <c r="AP553" s="487" t="str">
        <f>+VLOOKUP($AJ553,Data_Validation!$A:$D,3,0)</f>
        <v>Bilan</v>
      </c>
      <c r="AQ553" s="487" t="str">
        <f>+VLOOKUP($AJ553,Data_Validation!$A:$D,4,0)</f>
        <v>Autres Courus</v>
      </c>
      <c r="AR553" s="487" t="s">
        <v>299</v>
      </c>
      <c r="AS553" s="487">
        <f>+VLOOKUP($AJ553,Data_Validation!$A:$E,5,0)</f>
        <v>0</v>
      </c>
      <c r="AT553" s="904" t="str">
        <f t="shared" si="51"/>
        <v>G33103</v>
      </c>
      <c r="AU553" s="488" t="str">
        <f t="shared" si="52"/>
        <v>RESERVE USA</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2154</v>
      </c>
      <c r="D554" s="706" t="s">
        <v>2155</v>
      </c>
      <c r="E554" s="706" t="s">
        <v>1139</v>
      </c>
      <c r="F554" s="706" t="s">
        <v>1135</v>
      </c>
      <c r="G554" s="706">
        <v>11405</v>
      </c>
      <c r="H554" s="706">
        <v>14155</v>
      </c>
      <c r="I554" s="706">
        <v>16155</v>
      </c>
      <c r="J554" s="706">
        <v>17655</v>
      </c>
      <c r="K554" s="706">
        <v>18155</v>
      </c>
      <c r="L554" s="706">
        <v>18155</v>
      </c>
      <c r="M554" s="706">
        <v>18155</v>
      </c>
      <c r="N554" s="706">
        <v>18155</v>
      </c>
      <c r="O554" s="706">
        <v>18155</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G33104</v>
      </c>
      <c r="AK554" s="905" t="str">
        <f t="shared" si="55"/>
        <v>RESERVE FLOTTES</v>
      </c>
      <c r="AL554" s="905">
        <f>IFERROR(INDEX(G554:R554,1,MATCH(Parametres!$B$3,G$1:R$1,0)-1)*IF(OR(F554="L",F554="S",F554="I"),-1,1),"")</f>
        <v>-18155</v>
      </c>
      <c r="AM554" s="905">
        <f t="shared" si="50"/>
        <v>0</v>
      </c>
      <c r="AN554" s="905">
        <f>INDEX(G554:R554,1,MATCH(Parametres!$B$3,G$1:R$1,0))*IF(OR(F554="L",F554="S",F554="I"),-1,1)</f>
        <v>-18155</v>
      </c>
      <c r="AO554" s="487" t="str">
        <f>+VLOOKUP($AJ554,Data_Validation!$A:$D,1,0)</f>
        <v>G33104</v>
      </c>
      <c r="AP554" s="487" t="str">
        <f>+VLOOKUP($AJ554,Data_Validation!$A:$D,3,0)</f>
        <v>Bilan</v>
      </c>
      <c r="AQ554" s="487" t="str">
        <f>+VLOOKUP($AJ554,Data_Validation!$A:$D,4,0)</f>
        <v>Autres Courus</v>
      </c>
      <c r="AR554" s="487" t="s">
        <v>299</v>
      </c>
      <c r="AS554" s="487">
        <f>+VLOOKUP($AJ554,Data_Validation!$A:$E,5,0)</f>
        <v>0</v>
      </c>
      <c r="AT554" s="904" t="str">
        <f t="shared" si="51"/>
        <v>G33104</v>
      </c>
      <c r="AU554" s="488" t="str">
        <f t="shared" si="52"/>
        <v>RESERVE FLOTTES</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2156</v>
      </c>
      <c r="D555" s="706" t="s">
        <v>2157</v>
      </c>
      <c r="E555" s="706" t="s">
        <v>336</v>
      </c>
      <c r="F555" s="706" t="s">
        <v>1135</v>
      </c>
      <c r="G555" s="706">
        <v>2230.75</v>
      </c>
      <c r="H555" s="706">
        <v>2230.75</v>
      </c>
      <c r="I555" s="706">
        <v>2230.75</v>
      </c>
      <c r="J555" s="706">
        <v>2230.75</v>
      </c>
      <c r="K555" s="706">
        <v>2230.75</v>
      </c>
      <c r="L555" s="706">
        <v>2230.75</v>
      </c>
      <c r="M555" s="706">
        <v>2230.75</v>
      </c>
      <c r="N555" s="706">
        <v>0</v>
      </c>
      <c r="O555" s="706">
        <v>0</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G33105</v>
      </c>
      <c r="AK555" s="905" t="str">
        <f t="shared" si="55"/>
        <v>RESERVE TRANSP.WHOLESALE</v>
      </c>
      <c r="AL555" s="905">
        <f>IFERROR(INDEX(G555:R555,1,MATCH(Parametres!$B$3,G$1:R$1,0)-1)*IF(OR(F555="L",F555="S",F555="I"),-1,1),"")</f>
        <v>-2230.75</v>
      </c>
      <c r="AM555" s="905">
        <f t="shared" si="50"/>
        <v>2230.75</v>
      </c>
      <c r="AN555" s="905">
        <f>INDEX(G555:R555,1,MATCH(Parametres!$B$3,G$1:R$1,0))*IF(OR(F555="L",F555="S",F555="I"),-1,1)</f>
        <v>0</v>
      </c>
      <c r="AO555" s="487" t="str">
        <f>+VLOOKUP($AJ555,Data_Validation!$A:$D,1,0)</f>
        <v>G33105</v>
      </c>
      <c r="AP555" s="487" t="str">
        <f>+VLOOKUP($AJ555,Data_Validation!$A:$D,3,0)</f>
        <v>Bilan</v>
      </c>
      <c r="AQ555" s="487" t="str">
        <f>+VLOOKUP($AJ555,Data_Validation!$A:$D,4,0)</f>
        <v>Autres Courus</v>
      </c>
      <c r="AR555" s="487" t="s">
        <v>299</v>
      </c>
      <c r="AS555" s="487">
        <f>+VLOOKUP($AJ555,Data_Validation!$A:$E,5,0)</f>
        <v>0</v>
      </c>
      <c r="AT555" s="904" t="str">
        <f t="shared" si="51"/>
        <v>G33105</v>
      </c>
      <c r="AU555" s="488" t="str">
        <f t="shared" si="52"/>
        <v>RESERVE TRANSP.WHOLESALE</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2158</v>
      </c>
      <c r="D556" s="706" t="s">
        <v>2159</v>
      </c>
      <c r="E556" s="706" t="s">
        <v>1139</v>
      </c>
      <c r="F556" s="706" t="s">
        <v>1135</v>
      </c>
      <c r="G556" s="706">
        <v>-59856.17</v>
      </c>
      <c r="H556" s="706">
        <v>-56377.41</v>
      </c>
      <c r="I556" s="706">
        <v>-51741.85</v>
      </c>
      <c r="J556" s="706">
        <v>-41059.89</v>
      </c>
      <c r="K556" s="706">
        <v>-27006.69</v>
      </c>
      <c r="L556" s="706">
        <v>-17971.02</v>
      </c>
      <c r="M556" s="706">
        <v>34811.379999999997</v>
      </c>
      <c r="N556" s="706">
        <v>60914.29</v>
      </c>
      <c r="O556" s="706">
        <v>65990.070000000007</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G33106</v>
      </c>
      <c r="AK556" s="905" t="str">
        <f t="shared" si="55"/>
        <v>RESERVE DEMO</v>
      </c>
      <c r="AL556" s="905">
        <f>IFERROR(INDEX(G556:R556,1,MATCH(Parametres!$B$3,G$1:R$1,0)-1)*IF(OR(F556="L",F556="S",F556="I"),-1,1),"")</f>
        <v>-34811.379999999997</v>
      </c>
      <c r="AM556" s="905">
        <f t="shared" si="50"/>
        <v>-26102.910000000003</v>
      </c>
      <c r="AN556" s="905">
        <f>INDEX(G556:R556,1,MATCH(Parametres!$B$3,G$1:R$1,0))*IF(OR(F556="L",F556="S",F556="I"),-1,1)</f>
        <v>-60914.29</v>
      </c>
      <c r="AO556" s="487" t="str">
        <f>+VLOOKUP($AJ556,Data_Validation!$A:$D,1,0)</f>
        <v>G33106</v>
      </c>
      <c r="AP556" s="487" t="str">
        <f>+VLOOKUP($AJ556,Data_Validation!$A:$D,3,0)</f>
        <v>Bilan</v>
      </c>
      <c r="AQ556" s="487" t="str">
        <f>+VLOOKUP($AJ556,Data_Validation!$A:$D,4,0)</f>
        <v>Autres Courus</v>
      </c>
      <c r="AR556" s="487" t="s">
        <v>299</v>
      </c>
      <c r="AS556" s="487">
        <f>+VLOOKUP($AJ556,Data_Validation!$A:$E,5,0)</f>
        <v>0</v>
      </c>
      <c r="AT556" s="904" t="str">
        <f t="shared" si="51"/>
        <v>G33106</v>
      </c>
      <c r="AU556" s="488" t="str">
        <f t="shared" si="52"/>
        <v>RESERVE DEMO</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2160</v>
      </c>
      <c r="D557" s="706" t="s">
        <v>2161</v>
      </c>
      <c r="E557" s="706" t="s">
        <v>1139</v>
      </c>
      <c r="F557" s="706" t="s">
        <v>1135</v>
      </c>
      <c r="G557" s="706">
        <v>-79159.12</v>
      </c>
      <c r="H557" s="706">
        <v>-79159.12</v>
      </c>
      <c r="I557" s="706">
        <v>-79633.53</v>
      </c>
      <c r="J557" s="706">
        <v>-77159.12</v>
      </c>
      <c r="K557" s="706">
        <v>-77660.12</v>
      </c>
      <c r="L557" s="706">
        <v>-77257</v>
      </c>
      <c r="M557" s="706">
        <v>-77257</v>
      </c>
      <c r="N557" s="706">
        <v>-77257</v>
      </c>
      <c r="O557" s="706">
        <v>-77257</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G33107</v>
      </c>
      <c r="AK557" s="905" t="str">
        <f t="shared" si="55"/>
        <v>ACCESSOIRES FLOTTES</v>
      </c>
      <c r="AL557" s="905">
        <f>IFERROR(INDEX(G557:R557,1,MATCH(Parametres!$B$3,G$1:R$1,0)-1)*IF(OR(F557="L",F557="S",F557="I"),-1,1),"")</f>
        <v>77257</v>
      </c>
      <c r="AM557" s="905">
        <f t="shared" si="50"/>
        <v>0</v>
      </c>
      <c r="AN557" s="905">
        <f>INDEX(G557:R557,1,MATCH(Parametres!$B$3,G$1:R$1,0))*IF(OR(F557="L",F557="S",F557="I"),-1,1)</f>
        <v>77257</v>
      </c>
      <c r="AO557" s="487" t="str">
        <f>+VLOOKUP($AJ557,Data_Validation!$A:$D,1,0)</f>
        <v>G33107</v>
      </c>
      <c r="AP557" s="487" t="str">
        <f>+VLOOKUP($AJ557,Data_Validation!$A:$D,3,0)</f>
        <v>Bilan</v>
      </c>
      <c r="AQ557" s="487" t="str">
        <f>+VLOOKUP($AJ557,Data_Validation!$A:$D,4,0)</f>
        <v>Autres Comptes à Payer</v>
      </c>
      <c r="AR557" s="487" t="s">
        <v>299</v>
      </c>
      <c r="AS557" s="487">
        <f>+VLOOKUP($AJ557,Data_Validation!$A:$E,5,0)</f>
        <v>0</v>
      </c>
      <c r="AT557" s="904" t="str">
        <f t="shared" si="51"/>
        <v>G33107</v>
      </c>
      <c r="AU557" s="488" t="str">
        <f t="shared" si="52"/>
        <v>ACCESSOIRES FLOTTES</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2162</v>
      </c>
      <c r="D558" s="706" t="s">
        <v>2163</v>
      </c>
      <c r="E558" s="706" t="s">
        <v>336</v>
      </c>
      <c r="F558" s="706" t="s">
        <v>1135</v>
      </c>
      <c r="G558" s="706">
        <v>0</v>
      </c>
      <c r="H558" s="706">
        <v>0</v>
      </c>
      <c r="I558" s="706">
        <v>0</v>
      </c>
      <c r="J558" s="706">
        <v>0</v>
      </c>
      <c r="K558" s="706">
        <v>0</v>
      </c>
      <c r="L558" s="706">
        <v>0</v>
      </c>
      <c r="M558" s="706">
        <v>0</v>
      </c>
      <c r="N558" s="706">
        <v>0</v>
      </c>
      <c r="O558" s="706">
        <v>0</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G33110</v>
      </c>
      <c r="AK558" s="905" t="str">
        <f t="shared" si="55"/>
        <v>RABAIS LOCATION LMB INC</v>
      </c>
      <c r="AL558" s="905">
        <f>IFERROR(INDEX(G558:R558,1,MATCH(Parametres!$B$3,G$1:R$1,0)-1)*IF(OR(F558="L",F558="S",F558="I"),-1,1),"")</f>
        <v>0</v>
      </c>
      <c r="AM558" s="905">
        <f t="shared" si="50"/>
        <v>0</v>
      </c>
      <c r="AN558" s="905">
        <f>INDEX(G558:R558,1,MATCH(Parametres!$B$3,G$1:R$1,0))*IF(OR(F558="L",F558="S",F558="I"),-1,1)</f>
        <v>0</v>
      </c>
      <c r="AO558" s="487" t="str">
        <f>+VLOOKUP($AJ558,Data_Validation!$A:$D,1,0)</f>
        <v>G33110</v>
      </c>
      <c r="AP558" s="487">
        <f>+VLOOKUP($AJ558,Data_Validation!$A:$D,3,0)</f>
        <v>0</v>
      </c>
      <c r="AQ558" s="487">
        <f>+VLOOKUP($AJ558,Data_Validation!$A:$D,4,0)</f>
        <v>0</v>
      </c>
      <c r="AR558" s="487" t="s">
        <v>299</v>
      </c>
      <c r="AS558" s="487">
        <f>+VLOOKUP($AJ558,Data_Validation!$A:$E,5,0)</f>
        <v>0</v>
      </c>
      <c r="AT558" s="904" t="str">
        <f t="shared" si="51"/>
        <v>G33110</v>
      </c>
      <c r="AU558" s="488" t="str">
        <f t="shared" si="52"/>
        <v>RABAIS LOCATION LMB INC</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2164</v>
      </c>
      <c r="D559" s="706" t="s">
        <v>2165</v>
      </c>
      <c r="E559" s="706" t="s">
        <v>333</v>
      </c>
      <c r="F559" s="706" t="s">
        <v>1135</v>
      </c>
      <c r="G559" s="706">
        <v>-200</v>
      </c>
      <c r="H559" s="706">
        <v>-200</v>
      </c>
      <c r="I559" s="706">
        <v>-200</v>
      </c>
      <c r="J559" s="706">
        <v>-200</v>
      </c>
      <c r="K559" s="706">
        <v>750</v>
      </c>
      <c r="L559" s="706">
        <v>1550</v>
      </c>
      <c r="M559" s="706">
        <v>6196</v>
      </c>
      <c r="N559" s="706">
        <v>21136</v>
      </c>
      <c r="O559" s="706">
        <v>28886</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G33111</v>
      </c>
      <c r="AK559" s="905" t="str">
        <f t="shared" si="55"/>
        <v>PROVISION WHOLESSALE</v>
      </c>
      <c r="AL559" s="905">
        <f>IFERROR(INDEX(G559:R559,1,MATCH(Parametres!$B$3,G$1:R$1,0)-1)*IF(OR(F559="L",F559="S",F559="I"),-1,1),"")</f>
        <v>-6196</v>
      </c>
      <c r="AM559" s="905">
        <f t="shared" si="50"/>
        <v>-14940</v>
      </c>
      <c r="AN559" s="905">
        <f>INDEX(G559:R559,1,MATCH(Parametres!$B$3,G$1:R$1,0))*IF(OR(F559="L",F559="S",F559="I"),-1,1)</f>
        <v>-21136</v>
      </c>
      <c r="AO559" s="487" t="str">
        <f>+VLOOKUP($AJ559,Data_Validation!$A:$D,1,0)</f>
        <v>G33111</v>
      </c>
      <c r="AP559" s="487" t="str">
        <f>+VLOOKUP($AJ559,Data_Validation!$A:$D,3,0)</f>
        <v>Bilan</v>
      </c>
      <c r="AQ559" s="487" t="str">
        <f>+VLOOKUP($AJ559,Data_Validation!$A:$D,4,0)</f>
        <v>Autres Courus</v>
      </c>
      <c r="AR559" s="487" t="s">
        <v>299</v>
      </c>
      <c r="AS559" s="487">
        <f>+VLOOKUP($AJ559,Data_Validation!$A:$E,5,0)</f>
        <v>0</v>
      </c>
      <c r="AT559" s="904" t="str">
        <f t="shared" si="51"/>
        <v>G33111</v>
      </c>
      <c r="AU559" s="488" t="str">
        <f t="shared" si="52"/>
        <v>PROVISION WHOLESSALE</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2166</v>
      </c>
      <c r="D560" s="706" t="s">
        <v>2167</v>
      </c>
      <c r="E560" s="706" t="s">
        <v>333</v>
      </c>
      <c r="F560" s="706" t="s">
        <v>1135</v>
      </c>
      <c r="G560" s="706">
        <v>0</v>
      </c>
      <c r="H560" s="706">
        <v>0</v>
      </c>
      <c r="I560" s="706">
        <v>0</v>
      </c>
      <c r="J560" s="706">
        <v>0</v>
      </c>
      <c r="K560" s="706">
        <v>0</v>
      </c>
      <c r="L560" s="706">
        <v>0</v>
      </c>
      <c r="M560" s="706">
        <v>0</v>
      </c>
      <c r="N560" s="706">
        <v>0</v>
      </c>
      <c r="O560" s="706">
        <v>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G33112</v>
      </c>
      <c r="AK560" s="905" t="str">
        <f t="shared" si="55"/>
        <v>PROVISION DETAIL</v>
      </c>
      <c r="AL560" s="905">
        <f>IFERROR(INDEX(G560:R560,1,MATCH(Parametres!$B$3,G$1:R$1,0)-1)*IF(OR(F560="L",F560="S",F560="I"),-1,1),"")</f>
        <v>0</v>
      </c>
      <c r="AM560" s="905">
        <f t="shared" si="50"/>
        <v>0</v>
      </c>
      <c r="AN560" s="905">
        <f>INDEX(G560:R560,1,MATCH(Parametres!$B$3,G$1:R$1,0))*IF(OR(F560="L",F560="S",F560="I"),-1,1)</f>
        <v>0</v>
      </c>
      <c r="AO560" s="487" t="str">
        <f>+VLOOKUP($AJ560,Data_Validation!$A:$D,1,0)</f>
        <v>G33112</v>
      </c>
      <c r="AP560" s="487" t="str">
        <f>+VLOOKUP($AJ560,Data_Validation!$A:$D,3,0)</f>
        <v>Bilan</v>
      </c>
      <c r="AQ560" s="487" t="str">
        <f>+VLOOKUP($AJ560,Data_Validation!$A:$D,4,0)</f>
        <v>Autres Courus</v>
      </c>
      <c r="AR560" s="487" t="s">
        <v>299</v>
      </c>
      <c r="AS560" s="487">
        <f>+VLOOKUP($AJ560,Data_Validation!$A:$E,5,0)</f>
        <v>0</v>
      </c>
      <c r="AT560" s="904" t="str">
        <f t="shared" si="51"/>
        <v>G33112</v>
      </c>
      <c r="AU560" s="488" t="str">
        <f t="shared" si="52"/>
        <v>PROVISION DETAIL</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2168</v>
      </c>
      <c r="D561" s="706" t="s">
        <v>2169</v>
      </c>
      <c r="E561" s="706" t="s">
        <v>333</v>
      </c>
      <c r="F561" s="706" t="s">
        <v>1135</v>
      </c>
      <c r="G561" s="706">
        <v>6050</v>
      </c>
      <c r="H561" s="706">
        <v>7800</v>
      </c>
      <c r="I561" s="706">
        <v>11050</v>
      </c>
      <c r="J561" s="706">
        <v>18950</v>
      </c>
      <c r="K561" s="706">
        <v>48850</v>
      </c>
      <c r="L561" s="706">
        <v>70500</v>
      </c>
      <c r="M561" s="706">
        <v>79450</v>
      </c>
      <c r="N561" s="706">
        <v>91750</v>
      </c>
      <c r="O561" s="706">
        <v>92400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G33113</v>
      </c>
      <c r="AK561" s="905" t="str">
        <f t="shared" si="55"/>
        <v>PROVISION USA</v>
      </c>
      <c r="AL561" s="905">
        <f>IFERROR(INDEX(G561:R561,1,MATCH(Parametres!$B$3,G$1:R$1,0)-1)*IF(OR(F561="L",F561="S",F561="I"),-1,1),"")</f>
        <v>-79450</v>
      </c>
      <c r="AM561" s="905">
        <f t="shared" si="50"/>
        <v>-12300</v>
      </c>
      <c r="AN561" s="905">
        <f>INDEX(G561:R561,1,MATCH(Parametres!$B$3,G$1:R$1,0))*IF(OR(F561="L",F561="S",F561="I"),-1,1)</f>
        <v>-91750</v>
      </c>
      <c r="AO561" s="487" t="str">
        <f>+VLOOKUP($AJ561,Data_Validation!$A:$D,1,0)</f>
        <v>G33113</v>
      </c>
      <c r="AP561" s="487" t="str">
        <f>+VLOOKUP($AJ561,Data_Validation!$A:$D,3,0)</f>
        <v>Bilan</v>
      </c>
      <c r="AQ561" s="487" t="str">
        <f>+VLOOKUP($AJ561,Data_Validation!$A:$D,4,0)</f>
        <v>Autres Courus</v>
      </c>
      <c r="AR561" s="487" t="s">
        <v>299</v>
      </c>
      <c r="AS561" s="487">
        <f>+VLOOKUP($AJ561,Data_Validation!$A:$E,5,0)</f>
        <v>0</v>
      </c>
      <c r="AT561" s="904" t="str">
        <f t="shared" si="51"/>
        <v>G33113</v>
      </c>
      <c r="AU561" s="488" t="str">
        <f t="shared" si="52"/>
        <v>PROVISION USA</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2170</v>
      </c>
      <c r="D562" s="706" t="s">
        <v>2171</v>
      </c>
      <c r="E562" s="706" t="s">
        <v>333</v>
      </c>
      <c r="F562" s="706" t="s">
        <v>1135</v>
      </c>
      <c r="G562" s="706">
        <v>0</v>
      </c>
      <c r="H562" s="706">
        <v>0</v>
      </c>
      <c r="I562" s="706">
        <v>0</v>
      </c>
      <c r="J562" s="706">
        <v>0</v>
      </c>
      <c r="K562" s="706">
        <v>0</v>
      </c>
      <c r="L562" s="706">
        <v>0</v>
      </c>
      <c r="M562" s="706">
        <v>0</v>
      </c>
      <c r="N562" s="706">
        <v>0</v>
      </c>
      <c r="O562" s="706">
        <v>0</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G33114</v>
      </c>
      <c r="AK562" s="905" t="str">
        <f t="shared" si="55"/>
        <v>PROVISION HERELLE</v>
      </c>
      <c r="AL562" s="905">
        <f>IFERROR(INDEX(G562:R562,1,MATCH(Parametres!$B$3,G$1:R$1,0)-1)*IF(OR(F562="L",F562="S",F562="I"),-1,1),"")</f>
        <v>0</v>
      </c>
      <c r="AM562" s="905">
        <f t="shared" si="50"/>
        <v>0</v>
      </c>
      <c r="AN562" s="905">
        <f>INDEX(G562:R562,1,MATCH(Parametres!$B$3,G$1:R$1,0))*IF(OR(F562="L",F562="S",F562="I"),-1,1)</f>
        <v>0</v>
      </c>
      <c r="AO562" s="487" t="str">
        <f>+VLOOKUP($AJ562,Data_Validation!$A:$D,1,0)</f>
        <v>G33114</v>
      </c>
      <c r="AP562" s="487" t="str">
        <f>+VLOOKUP($AJ562,Data_Validation!$A:$D,3,0)</f>
        <v>Bilan</v>
      </c>
      <c r="AQ562" s="487" t="str">
        <f>+VLOOKUP($AJ562,Data_Validation!$A:$D,4,0)</f>
        <v>Autres Courus</v>
      </c>
      <c r="AR562" s="487" t="s">
        <v>299</v>
      </c>
      <c r="AS562" s="487">
        <f>+VLOOKUP($AJ562,Data_Validation!$A:$E,5,0)</f>
        <v>0</v>
      </c>
      <c r="AT562" s="904" t="str">
        <f t="shared" si="51"/>
        <v>G33114</v>
      </c>
      <c r="AU562" s="488" t="str">
        <f t="shared" si="52"/>
        <v>PROVISION HERELLE</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2172</v>
      </c>
      <c r="D563" s="706" t="s">
        <v>2173</v>
      </c>
      <c r="E563" s="706" t="s">
        <v>336</v>
      </c>
      <c r="F563" s="706" t="s">
        <v>1135</v>
      </c>
      <c r="G563" s="706">
        <v>-401.17</v>
      </c>
      <c r="H563" s="706">
        <v>20908.189999999999</v>
      </c>
      <c r="I563" s="706">
        <v>-0.02</v>
      </c>
      <c r="J563" s="706">
        <v>9.4</v>
      </c>
      <c r="K563" s="706">
        <v>37602.910000000003</v>
      </c>
      <c r="L563" s="706">
        <v>49318.7</v>
      </c>
      <c r="M563" s="706">
        <v>49318.7</v>
      </c>
      <c r="N563" s="706">
        <v>0</v>
      </c>
      <c r="O563" s="706">
        <v>-25524.32</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G33115</v>
      </c>
      <c r="AK563" s="905" t="str">
        <f t="shared" si="55"/>
        <v>PROVISION LMB</v>
      </c>
      <c r="AL563" s="905">
        <f>IFERROR(INDEX(G563:R563,1,MATCH(Parametres!$B$3,G$1:R$1,0)-1)*IF(OR(F563="L",F563="S",F563="I"),-1,1),"")</f>
        <v>-49318.7</v>
      </c>
      <c r="AM563" s="905">
        <f t="shared" si="50"/>
        <v>49318.7</v>
      </c>
      <c r="AN563" s="905">
        <f>INDEX(G563:R563,1,MATCH(Parametres!$B$3,G$1:R$1,0))*IF(OR(F563="L",F563="S",F563="I"),-1,1)</f>
        <v>0</v>
      </c>
      <c r="AO563" s="487" t="str">
        <f>+VLOOKUP($AJ563,Data_Validation!$A:$D,1,0)</f>
        <v>G33115</v>
      </c>
      <c r="AP563" s="487" t="str">
        <f>+VLOOKUP($AJ563,Data_Validation!$A:$D,3,0)</f>
        <v>Bilan</v>
      </c>
      <c r="AQ563" s="487" t="str">
        <f>+VLOOKUP($AJ563,Data_Validation!$A:$D,4,0)</f>
        <v>Autres Courus</v>
      </c>
      <c r="AR563" s="487" t="s">
        <v>299</v>
      </c>
      <c r="AS563" s="487">
        <f>+VLOOKUP($AJ563,Data_Validation!$A:$E,5,0)</f>
        <v>0</v>
      </c>
      <c r="AT563" s="904" t="str">
        <f t="shared" si="51"/>
        <v>G33115</v>
      </c>
      <c r="AU563" s="488" t="str">
        <f t="shared" si="52"/>
        <v>PROVISION LMB</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2174</v>
      </c>
      <c r="D564" s="706" t="s">
        <v>2175</v>
      </c>
      <c r="E564" s="706" t="s">
        <v>336</v>
      </c>
      <c r="F564" s="706" t="s">
        <v>1135</v>
      </c>
      <c r="G564" s="706">
        <v>0</v>
      </c>
      <c r="H564" s="706">
        <v>0</v>
      </c>
      <c r="I564" s="706">
        <v>0</v>
      </c>
      <c r="J564" s="706">
        <v>0</v>
      </c>
      <c r="K564" s="706">
        <v>410.14</v>
      </c>
      <c r="L564" s="706">
        <v>391.57</v>
      </c>
      <c r="M564" s="706">
        <v>391.57</v>
      </c>
      <c r="N564" s="706">
        <v>0</v>
      </c>
      <c r="O564" s="706">
        <v>-20461.14</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G33116</v>
      </c>
      <c r="AK564" s="905" t="str">
        <f t="shared" si="55"/>
        <v>PROVISION USA LMB</v>
      </c>
      <c r="AL564" s="905">
        <f>IFERROR(INDEX(G564:R564,1,MATCH(Parametres!$B$3,G$1:R$1,0)-1)*IF(OR(F564="L",F564="S",F564="I"),-1,1),"")</f>
        <v>-391.57</v>
      </c>
      <c r="AM564" s="905">
        <f t="shared" si="50"/>
        <v>391.57</v>
      </c>
      <c r="AN564" s="905">
        <f>INDEX(G564:R564,1,MATCH(Parametres!$B$3,G$1:R$1,0))*IF(OR(F564="L",F564="S",F564="I"),-1,1)</f>
        <v>0</v>
      </c>
      <c r="AO564" s="487" t="str">
        <f>+VLOOKUP($AJ564,Data_Validation!$A:$D,1,0)</f>
        <v>G33116</v>
      </c>
      <c r="AP564" s="487" t="str">
        <f>+VLOOKUP($AJ564,Data_Validation!$A:$D,3,0)</f>
        <v>Bilan</v>
      </c>
      <c r="AQ564" s="487" t="str">
        <f>+VLOOKUP($AJ564,Data_Validation!$A:$D,4,0)</f>
        <v>Autres Courus</v>
      </c>
      <c r="AR564" s="487" t="s">
        <v>299</v>
      </c>
      <c r="AS564" s="487">
        <f>+VLOOKUP($AJ564,Data_Validation!$A:$E,5,0)</f>
        <v>0</v>
      </c>
      <c r="AT564" s="904" t="str">
        <f t="shared" si="51"/>
        <v>G33116</v>
      </c>
      <c r="AU564" s="488" t="str">
        <f t="shared" si="52"/>
        <v>PROVISION USA LMB</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customHeight="1">
      <c r="A565" s="706" t="s">
        <v>1148</v>
      </c>
      <c r="B565" s="706">
        <v>2026</v>
      </c>
      <c r="C565" s="706" t="s">
        <v>2176</v>
      </c>
      <c r="D565" s="706" t="s">
        <v>2177</v>
      </c>
      <c r="E565" s="706" t="s">
        <v>336</v>
      </c>
      <c r="F565" s="706" t="s">
        <v>1135</v>
      </c>
      <c r="G565" s="706">
        <v>0</v>
      </c>
      <c r="H565" s="706">
        <v>0</v>
      </c>
      <c r="I565" s="706">
        <v>0</v>
      </c>
      <c r="J565" s="706">
        <v>0</v>
      </c>
      <c r="K565" s="706">
        <v>1108.44</v>
      </c>
      <c r="L565" s="706">
        <v>0</v>
      </c>
      <c r="M565" s="706">
        <v>0</v>
      </c>
      <c r="N565" s="706">
        <v>0</v>
      </c>
      <c r="O565" s="706">
        <v>4367.3100000000004</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G33117</v>
      </c>
      <c r="AK565" s="905" t="str">
        <f t="shared" si="55"/>
        <v>PROVISION USA BMW</v>
      </c>
      <c r="AL565" s="905">
        <f>IFERROR(INDEX(G565:R565,1,MATCH(Parametres!$B$3,G$1:R$1,0)-1)*IF(OR(F565="L",F565="S",F565="I"),-1,1),"")</f>
        <v>0</v>
      </c>
      <c r="AM565" s="905">
        <f t="shared" si="50"/>
        <v>0</v>
      </c>
      <c r="AN565" s="905">
        <f>INDEX(G565:R565,1,MATCH(Parametres!$B$3,G$1:R$1,0))*IF(OR(F565="L",F565="S",F565="I"),-1,1)</f>
        <v>0</v>
      </c>
      <c r="AO565" s="487" t="str">
        <f>+VLOOKUP($AJ565,Data_Validation!$A:$D,1,0)</f>
        <v>G33117</v>
      </c>
      <c r="AP565" s="487" t="str">
        <f>+VLOOKUP($AJ565,Data_Validation!$A:$D,3,0)</f>
        <v>Bilan</v>
      </c>
      <c r="AQ565" s="487" t="str">
        <f>+VLOOKUP($AJ565,Data_Validation!$A:$D,4,0)</f>
        <v>Autres Courus</v>
      </c>
      <c r="AR565" s="487" t="s">
        <v>299</v>
      </c>
      <c r="AS565" s="487">
        <f>+VLOOKUP($AJ565,Data_Validation!$A:$E,5,0)</f>
        <v>0</v>
      </c>
      <c r="AT565" s="904" t="str">
        <f t="shared" si="51"/>
        <v>G33117</v>
      </c>
      <c r="AU565" s="488" t="str">
        <f t="shared" si="52"/>
        <v>PROVISION USA BMW</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customHeight="1">
      <c r="A566" s="706" t="s">
        <v>1148</v>
      </c>
      <c r="B566" s="706">
        <v>2026</v>
      </c>
      <c r="C566" s="706" t="s">
        <v>3440</v>
      </c>
      <c r="D566" s="706" t="s">
        <v>3441</v>
      </c>
      <c r="E566" s="706" t="s">
        <v>336</v>
      </c>
      <c r="F566" s="706" t="s">
        <v>1135</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G33119</v>
      </c>
      <c r="AK566" s="905" t="str">
        <f t="shared" si="55"/>
        <v>RESERVE WHOLESALE - AJOUT</v>
      </c>
      <c r="AL566" s="905">
        <f>IFERROR(INDEX(G566:R566,1,MATCH(Parametres!$B$3,G$1:R$1,0)-1)*IF(OR(F566="L",F566="S",F566="I"),-1,1),"")</f>
        <v>0</v>
      </c>
      <c r="AM566" s="905">
        <f t="shared" si="50"/>
        <v>0</v>
      </c>
      <c r="AN566" s="905">
        <f>INDEX(G566:R566,1,MATCH(Parametres!$B$3,G$1:R$1,0))*IF(OR(F566="L",F566="S",F566="I"),-1,1)</f>
        <v>0</v>
      </c>
      <c r="AO566" s="487" t="e">
        <f>+VLOOKUP($AJ566,Data_Validation!$A:$D,1,0)</f>
        <v>#N/A</v>
      </c>
      <c r="AP566" s="487" t="e">
        <f>+VLOOKUP($AJ566,Data_Validation!$A:$D,3,0)</f>
        <v>#N/A</v>
      </c>
      <c r="AQ566" s="487" t="e">
        <f>+VLOOKUP($AJ566,Data_Validation!$A:$D,4,0)</f>
        <v>#N/A</v>
      </c>
      <c r="AR566" s="487" t="s">
        <v>299</v>
      </c>
      <c r="AS566" s="487" t="e">
        <f>+VLOOKUP($AJ566,Data_Validation!$A:$E,5,0)</f>
        <v>#N/A</v>
      </c>
      <c r="AT566" s="904" t="str">
        <f t="shared" si="51"/>
        <v>G33119</v>
      </c>
      <c r="AU566" s="488" t="str">
        <f t="shared" si="52"/>
        <v>RESERVE WHOLESALE - AJOUT</v>
      </c>
      <c r="AV566" s="899">
        <f>IFERROR(INDEX(V566:AG566,1,MATCH(Parametres!$B$3,V$1:AG$1,0)-1)*IF(OR(C566="L",C566="S",C566="I"),-1,1),"")</f>
        <v>0</v>
      </c>
      <c r="AW566" s="899">
        <f t="shared" si="53"/>
        <v>0</v>
      </c>
      <c r="AX566" s="899">
        <f>INDEX(V566:AG566,1,MATCH(Parametres!$B$3,V$1:AG$1,0))*IF(OR(C566="L",C566="S",C566="I"),-1,1)</f>
        <v>0</v>
      </c>
      <c r="AY566" s="487" t="s">
        <v>337</v>
      </c>
      <c r="AZ566" s="487" t="e">
        <f>+VLOOKUP($AJ566,Data_Validation!$A:$E,5,0)</f>
        <v>#N/A</v>
      </c>
    </row>
    <row r="567" spans="1:52" ht="15" customHeight="1">
      <c r="A567" s="706" t="s">
        <v>1148</v>
      </c>
      <c r="B567" s="706">
        <v>2026</v>
      </c>
      <c r="C567" s="706" t="s">
        <v>3423</v>
      </c>
      <c r="D567" s="706" t="s">
        <v>3424</v>
      </c>
      <c r="E567" s="706" t="s">
        <v>333</v>
      </c>
      <c r="F567" s="706" t="s">
        <v>1135</v>
      </c>
      <c r="G567" s="706">
        <v>0</v>
      </c>
      <c r="H567" s="706">
        <v>0</v>
      </c>
      <c r="I567" s="706">
        <v>0</v>
      </c>
      <c r="J567" s="706">
        <v>0</v>
      </c>
      <c r="K567" s="706">
        <v>0</v>
      </c>
      <c r="L567" s="706">
        <v>0</v>
      </c>
      <c r="M567" s="706">
        <v>-23333.35</v>
      </c>
      <c r="N567" s="706">
        <v>-18666.68</v>
      </c>
      <c r="O567" s="706">
        <v>-18666.68</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G33120</v>
      </c>
      <c r="AK567" s="905" t="str">
        <f t="shared" si="55"/>
        <v>HONORAIRE VERIFICATION</v>
      </c>
      <c r="AL567" s="905">
        <f>IFERROR(INDEX(G567:R567,1,MATCH(Parametres!$B$3,G$1:R$1,0)-1)*IF(OR(F567="L",F567="S",F567="I"),-1,1),"")</f>
        <v>23333.35</v>
      </c>
      <c r="AM567" s="905">
        <f t="shared" si="50"/>
        <v>-4666.6699999999983</v>
      </c>
      <c r="AN567" s="905">
        <f>INDEX(G567:R567,1,MATCH(Parametres!$B$3,G$1:R$1,0))*IF(OR(F567="L",F567="S",F567="I"),-1,1)</f>
        <v>18666.68</v>
      </c>
      <c r="AO567" s="487" t="str">
        <f>+VLOOKUP($AJ567,Data_Validation!$A:$D,1,0)</f>
        <v>G33120</v>
      </c>
      <c r="AP567" s="487" t="str">
        <f>+VLOOKUP($AJ567,Data_Validation!$A:$D,3,0)</f>
        <v>Bilan</v>
      </c>
      <c r="AQ567" s="487" t="str">
        <f>+VLOOKUP($AJ567,Data_Validation!$A:$D,4,0)</f>
        <v>Autres Courus</v>
      </c>
      <c r="AR567" s="487" t="s">
        <v>299</v>
      </c>
      <c r="AS567" s="487">
        <f>+VLOOKUP($AJ567,Data_Validation!$A:$E,5,0)</f>
        <v>0</v>
      </c>
      <c r="AT567" s="904" t="str">
        <f t="shared" si="51"/>
        <v>G33120</v>
      </c>
      <c r="AU567" s="488" t="str">
        <f t="shared" si="52"/>
        <v>HONORAIRE VERIFICATION</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customHeight="1">
      <c r="A568" s="706" t="s">
        <v>1148</v>
      </c>
      <c r="B568" s="706">
        <v>2026</v>
      </c>
      <c r="C568" s="706" t="s">
        <v>2178</v>
      </c>
      <c r="D568" s="706" t="s">
        <v>2179</v>
      </c>
      <c r="E568" s="706" t="s">
        <v>1139</v>
      </c>
      <c r="F568" s="706" t="s">
        <v>1135</v>
      </c>
      <c r="G568" s="706">
        <v>4200</v>
      </c>
      <c r="H568" s="706">
        <v>1950</v>
      </c>
      <c r="I568" s="706">
        <v>4700</v>
      </c>
      <c r="J568" s="706">
        <v>8700</v>
      </c>
      <c r="K568" s="706">
        <v>12824</v>
      </c>
      <c r="L568" s="706">
        <v>12824</v>
      </c>
      <c r="M568" s="706">
        <v>12824</v>
      </c>
      <c r="N568" s="706">
        <v>6575</v>
      </c>
      <c r="O568" s="706">
        <v>6575</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G33150</v>
      </c>
      <c r="AK568" s="905" t="str">
        <f t="shared" si="55"/>
        <v>SIMPLICITÉ RABAIS À PAYER</v>
      </c>
      <c r="AL568" s="905">
        <f>IFERROR(INDEX(G568:R568,1,MATCH(Parametres!$B$3,G$1:R$1,0)-1)*IF(OR(F568="L",F568="S",F568="I"),-1,1),"")</f>
        <v>-12824</v>
      </c>
      <c r="AM568" s="905">
        <f t="shared" si="50"/>
        <v>6249</v>
      </c>
      <c r="AN568" s="905">
        <f>INDEX(G568:R568,1,MATCH(Parametres!$B$3,G$1:R$1,0))*IF(OR(F568="L",F568="S",F568="I"),-1,1)</f>
        <v>-6575</v>
      </c>
      <c r="AO568" s="487" t="str">
        <f>+VLOOKUP($AJ568,Data_Validation!$A:$D,1,0)</f>
        <v>G33150</v>
      </c>
      <c r="AP568" s="487" t="str">
        <f>+VLOOKUP($AJ568,Data_Validation!$A:$D,3,0)</f>
        <v>Bilan</v>
      </c>
      <c r="AQ568" s="487" t="str">
        <f>+VLOOKUP($AJ568,Data_Validation!$A:$D,4,0)</f>
        <v>Autres Courus</v>
      </c>
      <c r="AR568" s="487" t="s">
        <v>299</v>
      </c>
      <c r="AS568" s="487">
        <f>+VLOOKUP($AJ568,Data_Validation!$A:$E,5,0)</f>
        <v>0</v>
      </c>
      <c r="AT568" s="904" t="str">
        <f t="shared" si="51"/>
        <v>G33150</v>
      </c>
      <c r="AU568" s="488" t="str">
        <f t="shared" si="52"/>
        <v>SIMPLICITÉ RABAIS À PAYER</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customHeight="1">
      <c r="A569" s="706" t="s">
        <v>1148</v>
      </c>
      <c r="B569" s="706">
        <v>2026</v>
      </c>
      <c r="C569" s="706" t="s">
        <v>2180</v>
      </c>
      <c r="D569" s="706" t="s">
        <v>2181</v>
      </c>
      <c r="E569" s="706" t="s">
        <v>333</v>
      </c>
      <c r="F569" s="706" t="s">
        <v>1135</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G33200</v>
      </c>
      <c r="AK569" s="905" t="str">
        <f t="shared" si="55"/>
        <v>RACHAT ACTIONS PRIVILEGIE</v>
      </c>
      <c r="AL569" s="905">
        <f>IFERROR(INDEX(G569:R569,1,MATCH(Parametres!$B$3,G$1:R$1,0)-1)*IF(OR(F569="L",F569="S",F569="I"),-1,1),"")</f>
        <v>0</v>
      </c>
      <c r="AM569" s="905">
        <f t="shared" si="50"/>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51"/>
        <v>G33200</v>
      </c>
      <c r="AU569" s="488" t="str">
        <f t="shared" si="52"/>
        <v>RACHAT ACTIONS PRIVILEGIE</v>
      </c>
      <c r="AV569" s="899">
        <f>IFERROR(INDEX(V569:AG569,1,MATCH(Parametres!$B$3,V$1:AG$1,0)-1)*IF(OR(C569="L",C569="S",C569="I"),-1,1),"")</f>
        <v>0</v>
      </c>
      <c r="AW569" s="899">
        <f t="shared" si="53"/>
        <v>0</v>
      </c>
      <c r="AX569" s="899">
        <f>INDEX(V569:AG569,1,MATCH(Parametres!$B$3,V$1:AG$1,0))*IF(OR(C569="L",C569="S",C569="I"),-1,1)</f>
        <v>0</v>
      </c>
      <c r="AY569" s="487" t="s">
        <v>337</v>
      </c>
      <c r="AZ569" s="487" t="e">
        <f>+VLOOKUP($AJ569,Data_Validation!$A:$E,5,0)</f>
        <v>#N/A</v>
      </c>
    </row>
    <row r="570" spans="1:52" ht="15" customHeight="1">
      <c r="A570" s="706" t="s">
        <v>1148</v>
      </c>
      <c r="B570" s="706">
        <v>2026</v>
      </c>
      <c r="C570" s="706" t="s">
        <v>3451</v>
      </c>
      <c r="D570" s="706" t="s">
        <v>3452</v>
      </c>
      <c r="E570" s="706" t="s">
        <v>333</v>
      </c>
      <c r="F570" s="706" t="s">
        <v>1135</v>
      </c>
      <c r="G570" s="706">
        <v>0</v>
      </c>
      <c r="H570" s="706">
        <v>0</v>
      </c>
      <c r="I570" s="706">
        <v>0</v>
      </c>
      <c r="J570" s="706">
        <v>0</v>
      </c>
      <c r="K570" s="706">
        <v>0</v>
      </c>
      <c r="L570" s="706">
        <v>0</v>
      </c>
      <c r="M570" s="706">
        <v>0</v>
      </c>
      <c r="N570" s="706">
        <v>144000</v>
      </c>
      <c r="O570" s="706">
        <v>144000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G33250</v>
      </c>
      <c r="AK570" s="905" t="str">
        <f t="shared" si="55"/>
        <v>RISTOURNE AXALTA</v>
      </c>
      <c r="AL570" s="905">
        <f>IFERROR(INDEX(G570:R570,1,MATCH(Parametres!$B$3,G$1:R$1,0)-1)*IF(OR(F570="L",F570="S",F570="I"),-1,1),"")</f>
        <v>0</v>
      </c>
      <c r="AM570" s="905">
        <f t="shared" si="50"/>
        <v>-144000</v>
      </c>
      <c r="AN570" s="905">
        <f>INDEX(G570:R570,1,MATCH(Parametres!$B$3,G$1:R$1,0))*IF(OR(F570="L",F570="S",F570="I"),-1,1)</f>
        <v>-144000</v>
      </c>
      <c r="AO570" s="487" t="str">
        <f>+VLOOKUP($AJ570,Data_Validation!$A:$D,1,0)</f>
        <v>G33250</v>
      </c>
      <c r="AP570" s="487" t="str">
        <f>+VLOOKUP($AJ570,Data_Validation!$A:$D,3,0)</f>
        <v>Bilan</v>
      </c>
      <c r="AQ570" s="487" t="str">
        <f>+VLOOKUP($AJ570,Data_Validation!$A:$D,4,0)</f>
        <v>Autres Courus</v>
      </c>
      <c r="AR570" s="487" t="s">
        <v>299</v>
      </c>
      <c r="AS570" s="487">
        <f>+VLOOKUP($AJ570,Data_Validation!$A:$E,5,0)</f>
        <v>0</v>
      </c>
      <c r="AT570" s="904" t="str">
        <f t="shared" si="51"/>
        <v>G33250</v>
      </c>
      <c r="AU570" s="488" t="str">
        <f t="shared" si="52"/>
        <v>RISTOURNE AXALTA</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customHeight="1">
      <c r="A571" s="706" t="s">
        <v>1148</v>
      </c>
      <c r="B571" s="706">
        <v>2026</v>
      </c>
      <c r="C571" s="706" t="s">
        <v>2182</v>
      </c>
      <c r="D571" s="706" t="s">
        <v>2183</v>
      </c>
      <c r="E571" s="706" t="s">
        <v>333</v>
      </c>
      <c r="F571" s="706" t="s">
        <v>1135</v>
      </c>
      <c r="G571" s="706">
        <v>-30962</v>
      </c>
      <c r="H571" s="706">
        <v>-30962</v>
      </c>
      <c r="I571" s="706">
        <v>-30962</v>
      </c>
      <c r="J571" s="706">
        <v>-30962</v>
      </c>
      <c r="K571" s="706">
        <v>-30962</v>
      </c>
      <c r="L571" s="706">
        <v>-30962</v>
      </c>
      <c r="M571" s="706">
        <v>88167</v>
      </c>
      <c r="N571" s="706">
        <v>88167</v>
      </c>
      <c r="O571" s="706">
        <v>88167</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G33300</v>
      </c>
      <c r="AK571" s="905" t="str">
        <f t="shared" si="55"/>
        <v>ACTIF D'IMPOTS FUTURS</v>
      </c>
      <c r="AL571" s="905">
        <f>IFERROR(INDEX(G571:R571,1,MATCH(Parametres!$B$3,G$1:R$1,0)-1)*IF(OR(F571="L",F571="S",F571="I"),-1,1),"")</f>
        <v>-88167</v>
      </c>
      <c r="AM571" s="905">
        <f t="shared" si="50"/>
        <v>0</v>
      </c>
      <c r="AN571" s="905">
        <f>INDEX(G571:R571,1,MATCH(Parametres!$B$3,G$1:R$1,0))*IF(OR(F571="L",F571="S",F571="I"),-1,1)</f>
        <v>-88167</v>
      </c>
      <c r="AO571" s="487" t="str">
        <f>+VLOOKUP($AJ571,Data_Validation!$A:$D,1,0)</f>
        <v>G33300</v>
      </c>
      <c r="AP571" s="487" t="str">
        <f>+VLOOKUP($AJ571,Data_Validation!$A:$D,3,0)</f>
        <v>Bilan</v>
      </c>
      <c r="AQ571" s="487" t="str">
        <f>+VLOOKUP($AJ571,Data_Validation!$A:$D,4,0)</f>
        <v>Impôts Futurs à payer</v>
      </c>
      <c r="AR571" s="487" t="s">
        <v>299</v>
      </c>
      <c r="AS571" s="487">
        <f>+VLOOKUP($AJ571,Data_Validation!$A:$E,5,0)</f>
        <v>0</v>
      </c>
      <c r="AT571" s="904" t="str">
        <f t="shared" si="51"/>
        <v>G33300</v>
      </c>
      <c r="AU571" s="488" t="str">
        <f t="shared" si="52"/>
        <v>ACTIF D'IMPOTS FUTURS</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customHeight="1">
      <c r="A572" s="706" t="s">
        <v>1148</v>
      </c>
      <c r="B572" s="706">
        <v>2026</v>
      </c>
      <c r="C572" s="706" t="s">
        <v>2184</v>
      </c>
      <c r="D572" s="706" t="s">
        <v>2185</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G33400</v>
      </c>
      <c r="AK572" s="905" t="str">
        <f t="shared" si="55"/>
        <v>MARGE DE CRÉDIT &amp; LOYER</v>
      </c>
      <c r="AL572" s="905">
        <f>IFERROR(INDEX(G572:R572,1,MATCH(Parametres!$B$3,G$1:R$1,0)-1)*IF(OR(F572="L",F572="S",F572="I"),-1,1),"")</f>
        <v>0</v>
      </c>
      <c r="AM572" s="905">
        <f t="shared" si="50"/>
        <v>0</v>
      </c>
      <c r="AN572" s="905">
        <f>INDEX(G572:R572,1,MATCH(Parametres!$B$3,G$1:R$1,0))*IF(OR(F572="L",F572="S",F572="I"),-1,1)</f>
        <v>0</v>
      </c>
      <c r="AO572" s="487" t="str">
        <f>+VLOOKUP($AJ572,Data_Validation!$A:$D,1,0)</f>
        <v>G33400</v>
      </c>
      <c r="AP572" s="487" t="str">
        <f>+VLOOKUP($AJ572,Data_Validation!$A:$D,3,0)</f>
        <v>Bilan</v>
      </c>
      <c r="AQ572" s="487" t="str">
        <f>+VLOOKUP($AJ572,Data_Validation!$A:$D,4,0)</f>
        <v>Marge de crédit</v>
      </c>
      <c r="AR572" s="487" t="s">
        <v>299</v>
      </c>
      <c r="AS572" s="487">
        <f>+VLOOKUP($AJ572,Data_Validation!$A:$E,5,0)</f>
        <v>0</v>
      </c>
      <c r="AT572" s="904" t="str">
        <f t="shared" si="51"/>
        <v>G33400</v>
      </c>
      <c r="AU572" s="488" t="str">
        <f t="shared" si="52"/>
        <v>MARGE DE CRÉDIT &amp; LOYER</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customHeight="1">
      <c r="A573" s="706" t="s">
        <v>1148</v>
      </c>
      <c r="B573" s="706">
        <v>2026</v>
      </c>
      <c r="C573" s="706" t="s">
        <v>2186</v>
      </c>
      <c r="D573" s="706" t="s">
        <v>2187</v>
      </c>
      <c r="E573" s="706" t="s">
        <v>333</v>
      </c>
      <c r="F573" s="706" t="s">
        <v>1135</v>
      </c>
      <c r="G573" s="706">
        <v>-62787</v>
      </c>
      <c r="H573" s="706">
        <v>-62787</v>
      </c>
      <c r="I573" s="706">
        <v>-62787</v>
      </c>
      <c r="J573" s="706">
        <v>-62787</v>
      </c>
      <c r="K573" s="706">
        <v>-62787</v>
      </c>
      <c r="L573" s="706">
        <v>-62787</v>
      </c>
      <c r="M573" s="706">
        <v>-156705</v>
      </c>
      <c r="N573" s="706">
        <v>-156705</v>
      </c>
      <c r="O573" s="706">
        <v>-156705</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G33600</v>
      </c>
      <c r="AK573" s="905" t="str">
        <f t="shared" si="55"/>
        <v>RRI</v>
      </c>
      <c r="AL573" s="905">
        <f>IFERROR(INDEX(G573:R573,1,MATCH(Parametres!$B$3,G$1:R$1,0)-1)*IF(OR(F573="L",F573="S",F573="I"),-1,1),"")</f>
        <v>156705</v>
      </c>
      <c r="AM573" s="905">
        <f t="shared" si="50"/>
        <v>0</v>
      </c>
      <c r="AN573" s="905">
        <f>INDEX(G573:R573,1,MATCH(Parametres!$B$3,G$1:R$1,0))*IF(OR(F573="L",F573="S",F573="I"),-1,1)</f>
        <v>156705</v>
      </c>
      <c r="AO573" s="487" t="str">
        <f>+VLOOKUP($AJ573,Data_Validation!$A:$D,1,0)</f>
        <v>G33600</v>
      </c>
      <c r="AP573" s="487" t="str">
        <f>+VLOOKUP($AJ573,Data_Validation!$A:$D,3,0)</f>
        <v>Bilan</v>
      </c>
      <c r="AQ573" s="487" t="str">
        <f>+VLOOKUP($AJ573,Data_Validation!$A:$D,4,0)</f>
        <v>Frais Payés d'Avance</v>
      </c>
      <c r="AR573" s="487" t="s">
        <v>299</v>
      </c>
      <c r="AS573" s="487">
        <f>+VLOOKUP($AJ573,Data_Validation!$A:$E,5,0)</f>
        <v>0</v>
      </c>
      <c r="AT573" s="904" t="str">
        <f t="shared" si="51"/>
        <v>G33600</v>
      </c>
      <c r="AU573" s="488" t="str">
        <f t="shared" si="52"/>
        <v>RRI</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2188</v>
      </c>
      <c r="D574" s="706" t="s">
        <v>2189</v>
      </c>
      <c r="E574" s="706" t="s">
        <v>333</v>
      </c>
      <c r="F574" s="706" t="s">
        <v>1135</v>
      </c>
      <c r="G574" s="706">
        <v>0</v>
      </c>
      <c r="H574" s="706">
        <v>0</v>
      </c>
      <c r="I574" s="706">
        <v>0</v>
      </c>
      <c r="J574" s="706">
        <v>0</v>
      </c>
      <c r="K574" s="706">
        <v>0</v>
      </c>
      <c r="L574" s="706">
        <v>0</v>
      </c>
      <c r="M574" s="706">
        <v>0</v>
      </c>
      <c r="N574" s="706">
        <v>0</v>
      </c>
      <c r="O574" s="706">
        <v>0</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G34000</v>
      </c>
      <c r="AK574" s="905" t="str">
        <f t="shared" si="55"/>
        <v>PROV.CREANCES DOUTEUSES</v>
      </c>
      <c r="AL574" s="905">
        <f>IFERROR(INDEX(G574:R574,1,MATCH(Parametres!$B$3,G$1:R$1,0)-1)*IF(OR(F574="L",F574="S",F574="I"),-1,1),"")</f>
        <v>0</v>
      </c>
      <c r="AM574" s="905">
        <f t="shared" si="50"/>
        <v>0</v>
      </c>
      <c r="AN574" s="905">
        <f>INDEX(G574:R574,1,MATCH(Parametres!$B$3,G$1:R$1,0))*IF(OR(F574="L",F574="S",F574="I"),-1,1)</f>
        <v>0</v>
      </c>
      <c r="AO574" s="487" t="str">
        <f>+VLOOKUP($AJ574,Data_Validation!$A:$D,1,0)</f>
        <v>G34000</v>
      </c>
      <c r="AP574" s="487">
        <f>+VLOOKUP($AJ574,Data_Validation!$A:$D,3,0)</f>
        <v>0</v>
      </c>
      <c r="AQ574" s="487">
        <f>+VLOOKUP($AJ574,Data_Validation!$A:$D,4,0)</f>
        <v>0</v>
      </c>
      <c r="AR574" s="487" t="s">
        <v>299</v>
      </c>
      <c r="AS574" s="487">
        <f>+VLOOKUP($AJ574,Data_Validation!$A:$E,5,0)</f>
        <v>0</v>
      </c>
      <c r="AT574" s="904" t="str">
        <f t="shared" si="51"/>
        <v>G34000</v>
      </c>
      <c r="AU574" s="488" t="str">
        <f t="shared" si="52"/>
        <v>PROV.CREANCES DOUTEUSES</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2190</v>
      </c>
      <c r="D575" s="706" t="s">
        <v>2191</v>
      </c>
      <c r="E575" s="706" t="s">
        <v>333</v>
      </c>
      <c r="F575" s="706" t="s">
        <v>1135</v>
      </c>
      <c r="G575" s="706">
        <v>1394309.58</v>
      </c>
      <c r="H575" s="706">
        <v>1394309.58</v>
      </c>
      <c r="I575" s="706">
        <v>1399339.58</v>
      </c>
      <c r="J575" s="706">
        <v>1414429.58</v>
      </c>
      <c r="K575" s="706">
        <v>1419459.58</v>
      </c>
      <c r="L575" s="706">
        <v>1424489.58</v>
      </c>
      <c r="M575" s="706">
        <v>1435855.58</v>
      </c>
      <c r="N575" s="706">
        <v>1440885.58</v>
      </c>
      <c r="O575" s="706">
        <v>1440885.58</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G35200</v>
      </c>
      <c r="AK575" s="905" t="str">
        <f t="shared" si="55"/>
        <v>AMORT.ACC.MACHINERIE,EQUI</v>
      </c>
      <c r="AL575" s="905">
        <f>IFERROR(INDEX(G575:R575,1,MATCH(Parametres!$B$3,G$1:R$1,0)-1)*IF(OR(F575="L",F575="S",F575="I"),-1,1),"")</f>
        <v>-1435855.58</v>
      </c>
      <c r="AM575" s="905">
        <f t="shared" si="50"/>
        <v>-5030</v>
      </c>
      <c r="AN575" s="905">
        <f>INDEX(G575:R575,1,MATCH(Parametres!$B$3,G$1:R$1,0))*IF(OR(F575="L",F575="S",F575="I"),-1,1)</f>
        <v>-1440885.58</v>
      </c>
      <c r="AO575" s="487" t="str">
        <f>+VLOOKUP($AJ575,Data_Validation!$A:$D,1,0)</f>
        <v>G35200</v>
      </c>
      <c r="AP575" s="487" t="str">
        <f>+VLOOKUP($AJ575,Data_Validation!$A:$D,3,0)</f>
        <v>Bilan</v>
      </c>
      <c r="AQ575" s="487" t="str">
        <f>+VLOOKUP($AJ575,Data_Validation!$A:$D,4,0)</f>
        <v>Équipements Service</v>
      </c>
      <c r="AR575" s="487" t="s">
        <v>299</v>
      </c>
      <c r="AS575" s="487">
        <f>+VLOOKUP($AJ575,Data_Validation!$A:$E,5,0)</f>
        <v>0</v>
      </c>
      <c r="AT575" s="904" t="str">
        <f t="shared" si="51"/>
        <v>G35200</v>
      </c>
      <c r="AU575" s="488" t="str">
        <f t="shared" si="52"/>
        <v>AMORT.ACC.MACHINERIE,EQUI</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2192</v>
      </c>
      <c r="D576" s="706" t="s">
        <v>2193</v>
      </c>
      <c r="E576" s="706" t="s">
        <v>333</v>
      </c>
      <c r="F576" s="706" t="s">
        <v>1135</v>
      </c>
      <c r="G576" s="706">
        <v>0</v>
      </c>
      <c r="H576" s="706">
        <v>0</v>
      </c>
      <c r="I576" s="706">
        <v>0</v>
      </c>
      <c r="J576" s="706">
        <v>0</v>
      </c>
      <c r="K576" s="706">
        <v>0</v>
      </c>
      <c r="L576" s="706">
        <v>0</v>
      </c>
      <c r="M576" s="706">
        <v>0</v>
      </c>
      <c r="N576" s="706">
        <v>0</v>
      </c>
      <c r="O576" s="706">
        <v>0</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G35210</v>
      </c>
      <c r="AK576" s="905" t="str">
        <f t="shared" si="55"/>
        <v>AMORT.ACC.MACHINERIE,CARR</v>
      </c>
      <c r="AL576" s="905">
        <f>IFERROR(INDEX(G576:R576,1,MATCH(Parametres!$B$3,G$1:R$1,0)-1)*IF(OR(F576="L",F576="S",F576="I"),-1,1),"")</f>
        <v>0</v>
      </c>
      <c r="AM576" s="905">
        <f t="shared" si="50"/>
        <v>0</v>
      </c>
      <c r="AN576" s="905">
        <f>INDEX(G576:R576,1,MATCH(Parametres!$B$3,G$1:R$1,0))*IF(OR(F576="L",F576="S",F576="I"),-1,1)</f>
        <v>0</v>
      </c>
      <c r="AO576" s="487" t="str">
        <f>+VLOOKUP($AJ576,Data_Validation!$A:$D,1,0)</f>
        <v>G35210</v>
      </c>
      <c r="AP576" s="487" t="str">
        <f>+VLOOKUP($AJ576,Data_Validation!$A:$D,3,0)</f>
        <v>Bilan</v>
      </c>
      <c r="AQ576" s="487" t="str">
        <f>+VLOOKUP($AJ576,Data_Validation!$A:$D,4,0)</f>
        <v>Équipements Service</v>
      </c>
      <c r="AR576" s="487" t="s">
        <v>299</v>
      </c>
      <c r="AS576" s="487">
        <f>+VLOOKUP($AJ576,Data_Validation!$A:$E,5,0)</f>
        <v>0</v>
      </c>
      <c r="AT576" s="904" t="str">
        <f t="shared" si="51"/>
        <v>G35210</v>
      </c>
      <c r="AU576" s="488" t="str">
        <f t="shared" si="52"/>
        <v>AMORT.ACC.MACHINERIE,CARR</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2194</v>
      </c>
      <c r="D577" s="706" t="s">
        <v>2195</v>
      </c>
      <c r="E577" s="706" t="s">
        <v>333</v>
      </c>
      <c r="F577" s="706" t="s">
        <v>1135</v>
      </c>
      <c r="G577" s="706">
        <v>1161.79</v>
      </c>
      <c r="H577" s="706">
        <v>1256.79</v>
      </c>
      <c r="I577" s="706">
        <v>1351.79</v>
      </c>
      <c r="J577" s="706">
        <v>1446.79</v>
      </c>
      <c r="K577" s="706">
        <v>1541.79</v>
      </c>
      <c r="L577" s="706">
        <v>1636.79</v>
      </c>
      <c r="M577" s="706">
        <v>599.79</v>
      </c>
      <c r="N577" s="706">
        <v>694.79</v>
      </c>
      <c r="O577" s="706">
        <v>694.79</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G35300</v>
      </c>
      <c r="AK577" s="905" t="str">
        <f t="shared" si="55"/>
        <v>AMORT.PNEUSACC.DEMO/COURT</v>
      </c>
      <c r="AL577" s="905">
        <f>IFERROR(INDEX(G577:R577,1,MATCH(Parametres!$B$3,G$1:R$1,0)-1)*IF(OR(F577="L",F577="S",F577="I"),-1,1),"")</f>
        <v>-599.79</v>
      </c>
      <c r="AM577" s="905">
        <f t="shared" si="50"/>
        <v>-95</v>
      </c>
      <c r="AN577" s="905">
        <f>INDEX(G577:R577,1,MATCH(Parametres!$B$3,G$1:R$1,0))*IF(OR(F577="L",F577="S",F577="I"),-1,1)</f>
        <v>-694.79</v>
      </c>
      <c r="AO577" s="487" t="str">
        <f>+VLOOKUP($AJ577,Data_Validation!$A:$D,1,0)</f>
        <v>G35300</v>
      </c>
      <c r="AP577" s="487" t="str">
        <f>+VLOOKUP($AJ577,Data_Validation!$A:$D,3,0)</f>
        <v>Bilan</v>
      </c>
      <c r="AQ577" s="487" t="str">
        <f>+VLOOKUP($AJ577,Data_Validation!$A:$D,4,0)</f>
        <v>Équipements Service</v>
      </c>
      <c r="AR577" s="487" t="s">
        <v>299</v>
      </c>
      <c r="AS577" s="487">
        <f>+VLOOKUP($AJ577,Data_Validation!$A:$E,5,0)</f>
        <v>0</v>
      </c>
      <c r="AT577" s="904" t="str">
        <f t="shared" si="51"/>
        <v>G35300</v>
      </c>
      <c r="AU577" s="488" t="str">
        <f t="shared" si="52"/>
        <v>AMORT.PNEUSACC.DEMO/COURT</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2196</v>
      </c>
      <c r="D578" s="706" t="s">
        <v>2197</v>
      </c>
      <c r="E578" s="706" t="s">
        <v>333</v>
      </c>
      <c r="F578" s="706" t="s">
        <v>1135</v>
      </c>
      <c r="G578" s="706">
        <v>315824.27</v>
      </c>
      <c r="H578" s="706">
        <v>316649.27</v>
      </c>
      <c r="I578" s="706">
        <v>317474.27</v>
      </c>
      <c r="J578" s="706">
        <v>318299.27</v>
      </c>
      <c r="K578" s="706">
        <v>319124.27</v>
      </c>
      <c r="L578" s="706">
        <v>319949.27</v>
      </c>
      <c r="M578" s="706">
        <v>321922.27</v>
      </c>
      <c r="N578" s="706">
        <v>322747.27</v>
      </c>
      <c r="O578" s="706">
        <v>322747.27</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G35400</v>
      </c>
      <c r="AK578" s="905" t="str">
        <f t="shared" si="55"/>
        <v>AMORT.ACC.&amp; EQUIP.BUR</v>
      </c>
      <c r="AL578" s="905">
        <f>IFERROR(INDEX(G578:R578,1,MATCH(Parametres!$B$3,G$1:R$1,0)-1)*IF(OR(F578="L",F578="S",F578="I"),-1,1),"")</f>
        <v>-321922.27</v>
      </c>
      <c r="AM578" s="905">
        <f t="shared" si="50"/>
        <v>-825</v>
      </c>
      <c r="AN578" s="905">
        <f>INDEX(G578:R578,1,MATCH(Parametres!$B$3,G$1:R$1,0))*IF(OR(F578="L",F578="S",F578="I"),-1,1)</f>
        <v>-322747.27</v>
      </c>
      <c r="AO578" s="487" t="str">
        <f>+VLOOKUP($AJ578,Data_Validation!$A:$D,1,0)</f>
        <v>G35400</v>
      </c>
      <c r="AP578" s="487" t="str">
        <f>+VLOOKUP($AJ578,Data_Validation!$A:$D,3,0)</f>
        <v>Bilan</v>
      </c>
      <c r="AQ578" s="487" t="str">
        <f>+VLOOKUP($AJ578,Data_Validation!$A:$D,4,0)</f>
        <v>Mobilier</v>
      </c>
      <c r="AR578" s="487" t="s">
        <v>299</v>
      </c>
      <c r="AS578" s="487">
        <f>+VLOOKUP($AJ578,Data_Validation!$A:$E,5,0)</f>
        <v>0</v>
      </c>
      <c r="AT578" s="904" t="str">
        <f t="shared" si="51"/>
        <v>G35400</v>
      </c>
      <c r="AU578" s="488" t="str">
        <f t="shared" si="52"/>
        <v>AMORT.ACC.&amp; EQUIP.BUR</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2198</v>
      </c>
      <c r="D579" s="706" t="s">
        <v>2199</v>
      </c>
      <c r="E579" s="706" t="s">
        <v>333</v>
      </c>
      <c r="F579" s="706" t="s">
        <v>1135</v>
      </c>
      <c r="G579" s="706">
        <v>78325.710000000006</v>
      </c>
      <c r="H579" s="706">
        <v>80075.710000000006</v>
      </c>
      <c r="I579" s="706">
        <v>81825.710000000006</v>
      </c>
      <c r="J579" s="706">
        <v>83575.710000000006</v>
      </c>
      <c r="K579" s="706">
        <v>85325.71</v>
      </c>
      <c r="L579" s="706">
        <v>87075.71</v>
      </c>
      <c r="M579" s="706">
        <v>88825.71</v>
      </c>
      <c r="N579" s="706">
        <v>90575.71</v>
      </c>
      <c r="O579" s="706">
        <v>90575.71</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G35500</v>
      </c>
      <c r="AK579" s="905" t="str">
        <f t="shared" si="55"/>
        <v>AMORT.CUMULE VEHICULE SER</v>
      </c>
      <c r="AL579" s="905">
        <f>IFERROR(INDEX(G579:R579,1,MATCH(Parametres!$B$3,G$1:R$1,0)-1)*IF(OR(F579="L",F579="S",F579="I"),-1,1),"")</f>
        <v>-88825.71</v>
      </c>
      <c r="AM579" s="905">
        <f t="shared" si="50"/>
        <v>-1750</v>
      </c>
      <c r="AN579" s="905">
        <f>INDEX(G579:R579,1,MATCH(Parametres!$B$3,G$1:R$1,0))*IF(OR(F579="L",F579="S",F579="I"),-1,1)</f>
        <v>-90575.71</v>
      </c>
      <c r="AO579" s="487" t="str">
        <f>+VLOOKUP($AJ579,Data_Validation!$A:$D,1,0)</f>
        <v>G35500</v>
      </c>
      <c r="AP579" s="487" t="str">
        <f>+VLOOKUP($AJ579,Data_Validation!$A:$D,3,0)</f>
        <v>Bilan</v>
      </c>
      <c r="AQ579" s="487" t="str">
        <f>+VLOOKUP($AJ579,Data_Validation!$A:$D,4,0)</f>
        <v>Équipements Service</v>
      </c>
      <c r="AR579" s="487" t="s">
        <v>299</v>
      </c>
      <c r="AS579" s="487">
        <f>+VLOOKUP($AJ579,Data_Validation!$A:$E,5,0)</f>
        <v>0</v>
      </c>
      <c r="AT579" s="904" t="str">
        <f t="shared" si="51"/>
        <v>G35500</v>
      </c>
      <c r="AU579" s="488" t="str">
        <f t="shared" si="52"/>
        <v>AMORT.CUMULE VEHICULE SER</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2200</v>
      </c>
      <c r="D580" s="706" t="s">
        <v>2201</v>
      </c>
      <c r="E580" s="706" t="s">
        <v>333</v>
      </c>
      <c r="F580" s="706" t="s">
        <v>1135</v>
      </c>
      <c r="G580" s="706">
        <v>62858.9</v>
      </c>
      <c r="H580" s="706">
        <v>65058.9</v>
      </c>
      <c r="I580" s="706">
        <v>67258.899999999994</v>
      </c>
      <c r="J580" s="706">
        <v>69458.899999999994</v>
      </c>
      <c r="K580" s="706">
        <v>71658.899999999994</v>
      </c>
      <c r="L580" s="706">
        <v>73858.899999999994</v>
      </c>
      <c r="M580" s="706">
        <v>88802.9</v>
      </c>
      <c r="N580" s="706">
        <v>91002.9</v>
      </c>
      <c r="O580" s="706">
        <v>91002.9</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G35600</v>
      </c>
      <c r="AK580" s="905" t="str">
        <f t="shared" si="55"/>
        <v>AMORT.ACC.AMEL. LOCAT.</v>
      </c>
      <c r="AL580" s="905">
        <f>IFERROR(INDEX(G580:R580,1,MATCH(Parametres!$B$3,G$1:R$1,0)-1)*IF(OR(F580="L",F580="S",F580="I"),-1,1),"")</f>
        <v>-88802.9</v>
      </c>
      <c r="AM580" s="905">
        <f t="shared" ref="AM580:AM643" si="56">AN580-AL580</f>
        <v>-2200</v>
      </c>
      <c r="AN580" s="905">
        <f>INDEX(G580:R580,1,MATCH(Parametres!$B$3,G$1:R$1,0))*IF(OR(F580="L",F580="S",F580="I"),-1,1)</f>
        <v>-91002.9</v>
      </c>
      <c r="AO580" s="487" t="str">
        <f>+VLOOKUP($AJ580,Data_Validation!$A:$D,1,0)</f>
        <v>G35600</v>
      </c>
      <c r="AP580" s="487" t="str">
        <f>+VLOOKUP($AJ580,Data_Validation!$A:$D,3,0)</f>
        <v>Bilan</v>
      </c>
      <c r="AQ580" s="487" t="str">
        <f>+VLOOKUP($AJ580,Data_Validation!$A:$D,4,0)</f>
        <v>Améliorations Locatives</v>
      </c>
      <c r="AR580" s="487" t="s">
        <v>299</v>
      </c>
      <c r="AS580" s="487">
        <f>+VLOOKUP($AJ580,Data_Validation!$A:$E,5,0)</f>
        <v>0</v>
      </c>
      <c r="AT580" s="904" t="str">
        <f t="shared" ref="AT580:AT643" si="57">C580</f>
        <v>G35600</v>
      </c>
      <c r="AU580" s="488" t="str">
        <f t="shared" ref="AU580:AU643" si="58">D580</f>
        <v>AMORT.ACC.AMEL. LOCAT.</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2202</v>
      </c>
      <c r="D581" s="706" t="s">
        <v>2203</v>
      </c>
      <c r="E581" s="706" t="s">
        <v>333</v>
      </c>
      <c r="F581" s="706" t="s">
        <v>1135</v>
      </c>
      <c r="G581" s="706">
        <v>187329.09</v>
      </c>
      <c r="H581" s="706">
        <v>188099.09</v>
      </c>
      <c r="I581" s="706">
        <v>188869.09</v>
      </c>
      <c r="J581" s="706">
        <v>189639.09</v>
      </c>
      <c r="K581" s="706">
        <v>190409.09</v>
      </c>
      <c r="L581" s="706">
        <v>191179.09</v>
      </c>
      <c r="M581" s="706">
        <v>202845.09</v>
      </c>
      <c r="N581" s="706">
        <v>203615.09</v>
      </c>
      <c r="O581" s="706">
        <v>203615.09</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G35700</v>
      </c>
      <c r="AK581" s="905" t="str">
        <f t="shared" si="55"/>
        <v>AMORT. MATERIEL INFORM.</v>
      </c>
      <c r="AL581" s="905">
        <f>IFERROR(INDEX(G581:R581,1,MATCH(Parametres!$B$3,G$1:R$1,0)-1)*IF(OR(F581="L",F581="S",F581="I"),-1,1),"")</f>
        <v>-202845.09</v>
      </c>
      <c r="AM581" s="905">
        <f t="shared" si="56"/>
        <v>-770</v>
      </c>
      <c r="AN581" s="905">
        <f>INDEX(G581:R581,1,MATCH(Parametres!$B$3,G$1:R$1,0))*IF(OR(F581="L",F581="S",F581="I"),-1,1)</f>
        <v>-203615.09</v>
      </c>
      <c r="AO581" s="487" t="str">
        <f>+VLOOKUP($AJ581,Data_Validation!$A:$D,1,0)</f>
        <v>G35700</v>
      </c>
      <c r="AP581" s="487" t="str">
        <f>+VLOOKUP($AJ581,Data_Validation!$A:$D,3,0)</f>
        <v>Bilan</v>
      </c>
      <c r="AQ581" s="487" t="str">
        <f>+VLOOKUP($AJ581,Data_Validation!$A:$D,4,0)</f>
        <v>Équipements Informatique</v>
      </c>
      <c r="AR581" s="487" t="s">
        <v>299</v>
      </c>
      <c r="AS581" s="487">
        <f>+VLOOKUP($AJ581,Data_Validation!$A:$E,5,0)</f>
        <v>0</v>
      </c>
      <c r="AT581" s="904" t="str">
        <f t="shared" si="57"/>
        <v>G35700</v>
      </c>
      <c r="AU581" s="488" t="str">
        <f t="shared" si="58"/>
        <v>AMORT. MATERIEL INFORM.</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2204</v>
      </c>
      <c r="D582" s="706" t="s">
        <v>2205</v>
      </c>
      <c r="E582" s="706" t="s">
        <v>333</v>
      </c>
      <c r="F582" s="706" t="s">
        <v>1135</v>
      </c>
      <c r="G582" s="706">
        <v>49409.61</v>
      </c>
      <c r="H582" s="706">
        <v>49549.61</v>
      </c>
      <c r="I582" s="706">
        <v>49689.61</v>
      </c>
      <c r="J582" s="706">
        <v>49829.61</v>
      </c>
      <c r="K582" s="706">
        <v>49969.61</v>
      </c>
      <c r="L582" s="706">
        <v>50109.61</v>
      </c>
      <c r="M582" s="706">
        <v>50249.61</v>
      </c>
      <c r="N582" s="706">
        <v>50389.61</v>
      </c>
      <c r="O582" s="706">
        <v>50389.61</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G35800</v>
      </c>
      <c r="AK582" s="905" t="str">
        <f t="shared" si="55"/>
        <v>AMORT.CUMULÉ ENSEIGNES</v>
      </c>
      <c r="AL582" s="905">
        <f>IFERROR(INDEX(G582:R582,1,MATCH(Parametres!$B$3,G$1:R$1,0)-1)*IF(OR(F582="L",F582="S",F582="I"),-1,1),"")</f>
        <v>-50249.61</v>
      </c>
      <c r="AM582" s="905">
        <f t="shared" si="56"/>
        <v>-140</v>
      </c>
      <c r="AN582" s="905">
        <f>INDEX(G582:R582,1,MATCH(Parametres!$B$3,G$1:R$1,0))*IF(OR(F582="L",F582="S",F582="I"),-1,1)</f>
        <v>-50389.61</v>
      </c>
      <c r="AO582" s="487" t="str">
        <f>+VLOOKUP($AJ582,Data_Validation!$A:$D,1,0)</f>
        <v>G35800</v>
      </c>
      <c r="AP582" s="487" t="str">
        <f>+VLOOKUP($AJ582,Data_Validation!$A:$D,3,0)</f>
        <v>Bilan</v>
      </c>
      <c r="AQ582" s="487" t="str">
        <f>+VLOOKUP($AJ582,Data_Validation!$A:$D,4,0)</f>
        <v>Enseigne</v>
      </c>
      <c r="AR582" s="487" t="s">
        <v>299</v>
      </c>
      <c r="AS582" s="487">
        <f>+VLOOKUP($AJ582,Data_Validation!$A:$E,5,0)</f>
        <v>0</v>
      </c>
      <c r="AT582" s="904" t="str">
        <f t="shared" si="57"/>
        <v>G35800</v>
      </c>
      <c r="AU582" s="488" t="str">
        <f t="shared" si="58"/>
        <v>AMORT.CUMULÉ ENSEIGNES</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2206</v>
      </c>
      <c r="D583" s="706" t="s">
        <v>2207</v>
      </c>
      <c r="E583" s="706" t="s">
        <v>333</v>
      </c>
      <c r="F583" s="706" t="s">
        <v>1135</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G35900</v>
      </c>
      <c r="AK583" s="905" t="str">
        <f t="shared" si="55"/>
        <v>ASPHALTE AMORT.CUMULÉ</v>
      </c>
      <c r="AL583" s="905">
        <f>IFERROR(INDEX(G583:R583,1,MATCH(Parametres!$B$3,G$1:R$1,0)-1)*IF(OR(F583="L",F583="S",F583="I"),-1,1),"")</f>
        <v>0</v>
      </c>
      <c r="AM583" s="905">
        <f t="shared" si="56"/>
        <v>0</v>
      </c>
      <c r="AN583" s="905">
        <f>INDEX(G583:R583,1,MATCH(Parametres!$B$3,G$1:R$1,0))*IF(OR(F583="L",F583="S",F583="I"),-1,1)</f>
        <v>0</v>
      </c>
      <c r="AO583" s="487" t="str">
        <f>+VLOOKUP($AJ583,Data_Validation!$A:$D,1,0)</f>
        <v>G35900</v>
      </c>
      <c r="AP583" s="487">
        <f>+VLOOKUP($AJ583,Data_Validation!$A:$D,3,0)</f>
        <v>0</v>
      </c>
      <c r="AQ583" s="487">
        <f>+VLOOKUP($AJ583,Data_Validation!$A:$D,4,0)</f>
        <v>0</v>
      </c>
      <c r="AR583" s="487" t="s">
        <v>299</v>
      </c>
      <c r="AS583" s="487">
        <f>+VLOOKUP($AJ583,Data_Validation!$A:$E,5,0)</f>
        <v>0</v>
      </c>
      <c r="AT583" s="904" t="str">
        <f t="shared" si="57"/>
        <v>G35900</v>
      </c>
      <c r="AU583" s="488" t="str">
        <f t="shared" si="58"/>
        <v>ASPHALTE AMORT.CUMULÉ</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2208</v>
      </c>
      <c r="D584" s="706" t="s">
        <v>2209</v>
      </c>
      <c r="E584" s="706" t="s">
        <v>333</v>
      </c>
      <c r="F584" s="706" t="s">
        <v>1135</v>
      </c>
      <c r="G584" s="706">
        <v>0</v>
      </c>
      <c r="H584" s="706">
        <v>0</v>
      </c>
      <c r="I584" s="706">
        <v>0</v>
      </c>
      <c r="J584" s="706">
        <v>0</v>
      </c>
      <c r="K584" s="706">
        <v>0</v>
      </c>
      <c r="L584" s="706">
        <v>0</v>
      </c>
      <c r="M584" s="706">
        <v>0</v>
      </c>
      <c r="N584" s="706">
        <v>0</v>
      </c>
      <c r="O584" s="706">
        <v>0</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G36000</v>
      </c>
      <c r="AK584" s="905" t="str">
        <f t="shared" si="55"/>
        <v>CAPITAL-ACTIONS</v>
      </c>
      <c r="AL584" s="905">
        <f>IFERROR(INDEX(G584:R584,1,MATCH(Parametres!$B$3,G$1:R$1,0)-1)*IF(OR(F584="L",F584="S",F584="I"),-1,1),"")</f>
        <v>0</v>
      </c>
      <c r="AM584" s="905">
        <f t="shared" si="56"/>
        <v>0</v>
      </c>
      <c r="AN584" s="905">
        <f>INDEX(G584:R584,1,MATCH(Parametres!$B$3,G$1:R$1,0))*IF(OR(F584="L",F584="S",F584="I"),-1,1)</f>
        <v>0</v>
      </c>
      <c r="AO584" s="487" t="str">
        <f>+VLOOKUP($AJ584,Data_Validation!$A:$D,1,0)</f>
        <v>G36000</v>
      </c>
      <c r="AP584" s="487" t="str">
        <f>+VLOOKUP($AJ584,Data_Validation!$A:$D,3,0)</f>
        <v>Bilan</v>
      </c>
      <c r="AQ584" s="487" t="str">
        <f>+VLOOKUP($AJ584,Data_Validation!$A:$D,4,0)</f>
        <v>Capital Actions</v>
      </c>
      <c r="AR584" s="487" t="s">
        <v>299</v>
      </c>
      <c r="AS584" s="487">
        <f>+VLOOKUP($AJ584,Data_Validation!$A:$E,5,0)</f>
        <v>0</v>
      </c>
      <c r="AT584" s="904" t="str">
        <f t="shared" si="57"/>
        <v>G36000</v>
      </c>
      <c r="AU584" s="488" t="str">
        <f t="shared" si="58"/>
        <v>CAPITAL-ACTIONS</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2210</v>
      </c>
      <c r="D585" s="706" t="s">
        <v>2211</v>
      </c>
      <c r="E585" s="706" t="s">
        <v>333</v>
      </c>
      <c r="F585" s="706" t="s">
        <v>1135</v>
      </c>
      <c r="G585" s="706">
        <v>15</v>
      </c>
      <c r="H585" s="706">
        <v>15</v>
      </c>
      <c r="I585" s="706">
        <v>15</v>
      </c>
      <c r="J585" s="706">
        <v>15</v>
      </c>
      <c r="K585" s="706">
        <v>15</v>
      </c>
      <c r="L585" s="706">
        <v>15</v>
      </c>
      <c r="M585" s="706">
        <v>0</v>
      </c>
      <c r="N585" s="706">
        <v>0</v>
      </c>
      <c r="O585" s="706">
        <v>0</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G36001</v>
      </c>
      <c r="AK585" s="905" t="str">
        <f t="shared" si="55"/>
        <v>ACTIONS A</v>
      </c>
      <c r="AL585" s="905">
        <f>IFERROR(INDEX(G585:R585,1,MATCH(Parametres!$B$3,G$1:R$1,0)-1)*IF(OR(F585="L",F585="S",F585="I"),-1,1),"")</f>
        <v>0</v>
      </c>
      <c r="AM585" s="905">
        <f t="shared" si="56"/>
        <v>0</v>
      </c>
      <c r="AN585" s="905">
        <f>INDEX(G585:R585,1,MATCH(Parametres!$B$3,G$1:R$1,0))*IF(OR(F585="L",F585="S",F585="I"),-1,1)</f>
        <v>0</v>
      </c>
      <c r="AO585" s="487" t="str">
        <f>+VLOOKUP($AJ585,Data_Validation!$A:$D,1,0)</f>
        <v>G36001</v>
      </c>
      <c r="AP585" s="487" t="str">
        <f>+VLOOKUP($AJ585,Data_Validation!$A:$D,3,0)</f>
        <v>Bilan</v>
      </c>
      <c r="AQ585" s="487" t="str">
        <f>+VLOOKUP($AJ585,Data_Validation!$A:$D,4,0)</f>
        <v>Capital Actions</v>
      </c>
      <c r="AR585" s="487" t="s">
        <v>299</v>
      </c>
      <c r="AS585" s="487">
        <f>+VLOOKUP($AJ585,Data_Validation!$A:$E,5,0)</f>
        <v>0</v>
      </c>
      <c r="AT585" s="904" t="str">
        <f t="shared" si="57"/>
        <v>G36001</v>
      </c>
      <c r="AU585" s="488" t="str">
        <f t="shared" si="58"/>
        <v>ACTIONS A</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2212</v>
      </c>
      <c r="D586" s="706" t="s">
        <v>2213</v>
      </c>
      <c r="E586" s="706" t="s">
        <v>333</v>
      </c>
      <c r="F586" s="706" t="s">
        <v>1135</v>
      </c>
      <c r="G586" s="706">
        <v>85</v>
      </c>
      <c r="H586" s="706">
        <v>85</v>
      </c>
      <c r="I586" s="706">
        <v>85</v>
      </c>
      <c r="J586" s="706">
        <v>85</v>
      </c>
      <c r="K586" s="706">
        <v>85</v>
      </c>
      <c r="L586" s="706">
        <v>85</v>
      </c>
      <c r="M586" s="706">
        <v>85</v>
      </c>
      <c r="N586" s="706">
        <v>85</v>
      </c>
      <c r="O586" s="706">
        <v>85</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G36002</v>
      </c>
      <c r="AK586" s="905" t="str">
        <f t="shared" si="55"/>
        <v>ACTIONS B</v>
      </c>
      <c r="AL586" s="905">
        <f>IFERROR(INDEX(G586:R586,1,MATCH(Parametres!$B$3,G$1:R$1,0)-1)*IF(OR(F586="L",F586="S",F586="I"),-1,1),"")</f>
        <v>-85</v>
      </c>
      <c r="AM586" s="905">
        <f t="shared" si="56"/>
        <v>0</v>
      </c>
      <c r="AN586" s="905">
        <f>INDEX(G586:R586,1,MATCH(Parametres!$B$3,G$1:R$1,0))*IF(OR(F586="L",F586="S",F586="I"),-1,1)</f>
        <v>-85</v>
      </c>
      <c r="AO586" s="487" t="str">
        <f>+VLOOKUP($AJ586,Data_Validation!$A:$D,1,0)</f>
        <v>G36002</v>
      </c>
      <c r="AP586" s="487" t="str">
        <f>+VLOOKUP($AJ586,Data_Validation!$A:$D,3,0)</f>
        <v>Bilan</v>
      </c>
      <c r="AQ586" s="487" t="str">
        <f>+VLOOKUP($AJ586,Data_Validation!$A:$D,4,0)</f>
        <v>Capital Actions</v>
      </c>
      <c r="AR586" s="487" t="s">
        <v>299</v>
      </c>
      <c r="AS586" s="487">
        <f>+VLOOKUP($AJ586,Data_Validation!$A:$E,5,0)</f>
        <v>0</v>
      </c>
      <c r="AT586" s="904" t="str">
        <f t="shared" si="57"/>
        <v>G36002</v>
      </c>
      <c r="AU586" s="488" t="str">
        <f t="shared" si="58"/>
        <v>ACTIONS B</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2214</v>
      </c>
      <c r="D587" s="706" t="s">
        <v>2215</v>
      </c>
      <c r="E587" s="706" t="s">
        <v>333</v>
      </c>
      <c r="F587" s="706" t="s">
        <v>1135</v>
      </c>
      <c r="G587" s="706">
        <v>85</v>
      </c>
      <c r="H587" s="706">
        <v>85</v>
      </c>
      <c r="I587" s="706">
        <v>85</v>
      </c>
      <c r="J587" s="706">
        <v>85</v>
      </c>
      <c r="K587" s="706">
        <v>85</v>
      </c>
      <c r="L587" s="706">
        <v>85</v>
      </c>
      <c r="M587" s="706">
        <v>85</v>
      </c>
      <c r="N587" s="706">
        <v>85</v>
      </c>
      <c r="O587" s="706">
        <v>85</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G36003</v>
      </c>
      <c r="AK587" s="905" t="str">
        <f t="shared" si="55"/>
        <v>ACTIONS C</v>
      </c>
      <c r="AL587" s="905">
        <f>IFERROR(INDEX(G587:R587,1,MATCH(Parametres!$B$3,G$1:R$1,0)-1)*IF(OR(F587="L",F587="S",F587="I"),-1,1),"")</f>
        <v>-85</v>
      </c>
      <c r="AM587" s="905">
        <f t="shared" si="56"/>
        <v>0</v>
      </c>
      <c r="AN587" s="905">
        <f>INDEX(G587:R587,1,MATCH(Parametres!$B$3,G$1:R$1,0))*IF(OR(F587="L",F587="S",F587="I"),-1,1)</f>
        <v>-85</v>
      </c>
      <c r="AO587" s="487" t="str">
        <f>+VLOOKUP($AJ587,Data_Validation!$A:$D,1,0)</f>
        <v>G36003</v>
      </c>
      <c r="AP587" s="487" t="str">
        <f>+VLOOKUP($AJ587,Data_Validation!$A:$D,3,0)</f>
        <v>Bilan</v>
      </c>
      <c r="AQ587" s="487" t="str">
        <f>+VLOOKUP($AJ587,Data_Validation!$A:$D,4,0)</f>
        <v>Capital Actions</v>
      </c>
      <c r="AR587" s="487" t="s">
        <v>299</v>
      </c>
      <c r="AS587" s="487">
        <f>+VLOOKUP($AJ587,Data_Validation!$A:$E,5,0)</f>
        <v>0</v>
      </c>
      <c r="AT587" s="904" t="str">
        <f t="shared" si="57"/>
        <v>G36003</v>
      </c>
      <c r="AU587" s="488" t="str">
        <f t="shared" si="58"/>
        <v>ACTIONS C</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2216</v>
      </c>
      <c r="D588" s="706" t="s">
        <v>2217</v>
      </c>
      <c r="E588" s="706" t="s">
        <v>333</v>
      </c>
      <c r="F588" s="706" t="s">
        <v>1135</v>
      </c>
      <c r="G588" s="706">
        <v>51</v>
      </c>
      <c r="H588" s="706">
        <v>51</v>
      </c>
      <c r="I588" s="706">
        <v>51</v>
      </c>
      <c r="J588" s="706">
        <v>51</v>
      </c>
      <c r="K588" s="706">
        <v>51</v>
      </c>
      <c r="L588" s="706">
        <v>51</v>
      </c>
      <c r="M588" s="706">
        <v>51</v>
      </c>
      <c r="N588" s="706">
        <v>51</v>
      </c>
      <c r="O588" s="706">
        <v>51</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G36004</v>
      </c>
      <c r="AK588" s="905" t="str">
        <f t="shared" si="55"/>
        <v>ACTIONS E</v>
      </c>
      <c r="AL588" s="905">
        <f>IFERROR(INDEX(G588:R588,1,MATCH(Parametres!$B$3,G$1:R$1,0)-1)*IF(OR(F588="L",F588="S",F588="I"),-1,1),"")</f>
        <v>-51</v>
      </c>
      <c r="AM588" s="905">
        <f t="shared" si="56"/>
        <v>0</v>
      </c>
      <c r="AN588" s="905">
        <f>INDEX(G588:R588,1,MATCH(Parametres!$B$3,G$1:R$1,0))*IF(OR(F588="L",F588="S",F588="I"),-1,1)</f>
        <v>-51</v>
      </c>
      <c r="AO588" s="487" t="str">
        <f>+VLOOKUP($AJ588,Data_Validation!$A:$D,1,0)</f>
        <v>G36004</v>
      </c>
      <c r="AP588" s="487" t="str">
        <f>+VLOOKUP($AJ588,Data_Validation!$A:$D,3,0)</f>
        <v>Bilan</v>
      </c>
      <c r="AQ588" s="487" t="str">
        <f>+VLOOKUP($AJ588,Data_Validation!$A:$D,4,0)</f>
        <v>Capital Actions</v>
      </c>
      <c r="AR588" s="487" t="s">
        <v>299</v>
      </c>
      <c r="AS588" s="487">
        <f>+VLOOKUP($AJ588,Data_Validation!$A:$E,5,0)</f>
        <v>0</v>
      </c>
      <c r="AT588" s="904" t="str">
        <f t="shared" si="57"/>
        <v>G36004</v>
      </c>
      <c r="AU588" s="488" t="str">
        <f t="shared" si="58"/>
        <v>ACTIONS E</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2218</v>
      </c>
      <c r="D589" s="706" t="s">
        <v>2219</v>
      </c>
      <c r="E589" s="706" t="s">
        <v>333</v>
      </c>
      <c r="F589" s="706" t="s">
        <v>1135</v>
      </c>
      <c r="G589" s="706">
        <v>0</v>
      </c>
      <c r="H589" s="706">
        <v>0</v>
      </c>
      <c r="I589" s="706">
        <v>0</v>
      </c>
      <c r="J589" s="706">
        <v>0</v>
      </c>
      <c r="K589" s="706">
        <v>0</v>
      </c>
      <c r="L589" s="706">
        <v>0</v>
      </c>
      <c r="M589" s="706">
        <v>0</v>
      </c>
      <c r="N589" s="706">
        <v>0</v>
      </c>
      <c r="O589" s="706">
        <v>0</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G36005</v>
      </c>
      <c r="AK589" s="905" t="str">
        <f t="shared" si="55"/>
        <v>VALEUR RACHETABLE ACT E</v>
      </c>
      <c r="AL589" s="905">
        <f>IFERROR(INDEX(G589:R589,1,MATCH(Parametres!$B$3,G$1:R$1,0)-1)*IF(OR(F589="L",F589="S",F589="I"),-1,1),"")</f>
        <v>0</v>
      </c>
      <c r="AM589" s="905">
        <f t="shared" si="56"/>
        <v>0</v>
      </c>
      <c r="AN589" s="905">
        <f>INDEX(G589:R589,1,MATCH(Parametres!$B$3,G$1:R$1,0))*IF(OR(F589="L",F589="S",F589="I"),-1,1)</f>
        <v>0</v>
      </c>
      <c r="AO589" s="487" t="str">
        <f>+VLOOKUP($AJ589,Data_Validation!$A:$D,1,0)</f>
        <v>G36005</v>
      </c>
      <c r="AP589" s="487" t="str">
        <f>+VLOOKUP($AJ589,Data_Validation!$A:$D,3,0)</f>
        <v>Bilan</v>
      </c>
      <c r="AQ589" s="487" t="str">
        <f>+VLOOKUP($AJ589,Data_Validation!$A:$D,4,0)</f>
        <v>Capital Actions</v>
      </c>
      <c r="AR589" s="487" t="s">
        <v>299</v>
      </c>
      <c r="AS589" s="487">
        <f>+VLOOKUP($AJ589,Data_Validation!$A:$E,5,0)</f>
        <v>0</v>
      </c>
      <c r="AT589" s="904" t="str">
        <f t="shared" si="57"/>
        <v>G36005</v>
      </c>
      <c r="AU589" s="488" t="str">
        <f t="shared" si="58"/>
        <v>VALEUR RACHETABLE ACT E</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3330</v>
      </c>
      <c r="D590" s="706" t="s">
        <v>3331</v>
      </c>
      <c r="E590" s="706" t="s">
        <v>333</v>
      </c>
      <c r="F590" s="706" t="s">
        <v>1135</v>
      </c>
      <c r="G590" s="706">
        <v>0</v>
      </c>
      <c r="H590" s="706">
        <v>0</v>
      </c>
      <c r="I590" s="706">
        <v>0</v>
      </c>
      <c r="J590" s="706">
        <v>0</v>
      </c>
      <c r="K590" s="706">
        <v>0</v>
      </c>
      <c r="L590" s="706">
        <v>0</v>
      </c>
      <c r="M590" s="706">
        <v>1349853</v>
      </c>
      <c r="N590" s="706">
        <v>1349853</v>
      </c>
      <c r="O590" s="706">
        <v>1349853</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G36006</v>
      </c>
      <c r="AK590" s="905" t="str">
        <f t="shared" si="55"/>
        <v>ACTIONS F</v>
      </c>
      <c r="AL590" s="905">
        <f>IFERROR(INDEX(G590:R590,1,MATCH(Parametres!$B$3,G$1:R$1,0)-1)*IF(OR(F590="L",F590="S",F590="I"),-1,1),"")</f>
        <v>-1349853</v>
      </c>
      <c r="AM590" s="1047">
        <f t="shared" si="56"/>
        <v>0</v>
      </c>
      <c r="AN590" s="905">
        <f>INDEX(G590:R590,1,MATCH(Parametres!$B$3,G$1:R$1,0))*IF(OR(F590="L",F590="S",F590="I"),-1,1)</f>
        <v>-1349853</v>
      </c>
      <c r="AO590" s="487" t="str">
        <f>+VLOOKUP($AJ590,Data_Validation!$A:$D,1,0)</f>
        <v>G36006</v>
      </c>
      <c r="AP590" s="487" t="str">
        <f>+VLOOKUP($AJ590,Data_Validation!$A:$D,3,0)</f>
        <v>Bilan</v>
      </c>
      <c r="AQ590" s="487" t="str">
        <f>+VLOOKUP($AJ590,Data_Validation!$A:$D,4,0)</f>
        <v>Capital Actions</v>
      </c>
      <c r="AR590" s="487" t="s">
        <v>299</v>
      </c>
      <c r="AS590" s="487">
        <f>+VLOOKUP($AJ590,Data_Validation!$A:$E,5,0)</f>
        <v>0</v>
      </c>
      <c r="AT590" s="904" t="str">
        <f t="shared" si="57"/>
        <v>G36006</v>
      </c>
      <c r="AU590" s="488" t="str">
        <f t="shared" si="58"/>
        <v>ACTIONS F</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2220</v>
      </c>
      <c r="D591" s="706" t="s">
        <v>2221</v>
      </c>
      <c r="E591" s="706" t="s">
        <v>333</v>
      </c>
      <c r="F591" s="706" t="s">
        <v>1135</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G36009</v>
      </c>
      <c r="AK591" s="905" t="str">
        <f t="shared" si="55"/>
        <v>AJUST CAPITAL-ACTIONS</v>
      </c>
      <c r="AL591" s="905">
        <f>IFERROR(INDEX(G591:R591,1,MATCH(Parametres!$B$3,G$1:R$1,0)-1)*IF(OR(F591="L",F591="S",F591="I"),-1,1),"")</f>
        <v>0</v>
      </c>
      <c r="AM591" s="905">
        <f t="shared" si="56"/>
        <v>0</v>
      </c>
      <c r="AN591" s="905">
        <f>INDEX(G591:R591,1,MATCH(Parametres!$B$3,G$1:R$1,0))*IF(OR(F591="L",F591="S",F591="I"),-1,1)</f>
        <v>0</v>
      </c>
      <c r="AO591" s="487" t="str">
        <f>+VLOOKUP($AJ591,Data_Validation!$A:$D,1,0)</f>
        <v>G36009</v>
      </c>
      <c r="AP591" s="487" t="str">
        <f>+VLOOKUP($AJ591,Data_Validation!$A:$D,3,0)</f>
        <v>Bilan</v>
      </c>
      <c r="AQ591" s="487" t="str">
        <f>+VLOOKUP($AJ591,Data_Validation!$A:$D,4,0)</f>
        <v>Capital Actions</v>
      </c>
      <c r="AR591" s="487" t="s">
        <v>299</v>
      </c>
      <c r="AS591" s="487">
        <f>+VLOOKUP($AJ591,Data_Validation!$A:$E,5,0)</f>
        <v>0</v>
      </c>
      <c r="AT591" s="904" t="str">
        <f t="shared" si="57"/>
        <v>G36009</v>
      </c>
      <c r="AU591" s="488" t="str">
        <f t="shared" si="58"/>
        <v>AJUST CAPITAL-ACTIONS</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3332</v>
      </c>
      <c r="D592" s="706" t="s">
        <v>3333</v>
      </c>
      <c r="E592" s="706" t="s">
        <v>333</v>
      </c>
      <c r="F592" s="706" t="s">
        <v>1135</v>
      </c>
      <c r="G592" s="706">
        <v>0</v>
      </c>
      <c r="H592" s="706">
        <v>0</v>
      </c>
      <c r="I592" s="706">
        <v>0</v>
      </c>
      <c r="J592" s="706">
        <v>0</v>
      </c>
      <c r="K592" s="706">
        <v>0</v>
      </c>
      <c r="L592" s="706">
        <v>0</v>
      </c>
      <c r="M592" s="706">
        <v>-1349838</v>
      </c>
      <c r="N592" s="706">
        <v>-1349838</v>
      </c>
      <c r="O592" s="706">
        <v>-1349838</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G36100</v>
      </c>
      <c r="AK592" s="905" t="str">
        <f t="shared" si="55"/>
        <v>AJUST ACTIONS RACHETABLE</v>
      </c>
      <c r="AL592" s="905">
        <f>IFERROR(INDEX(G592:R592,1,MATCH(Parametres!$B$3,G$1:R$1,0)-1)*IF(OR(F592="L",F592="S",F592="I"),-1,1),"")</f>
        <v>1349838</v>
      </c>
      <c r="AM592" s="905">
        <f t="shared" si="56"/>
        <v>0</v>
      </c>
      <c r="AN592" s="905">
        <f>INDEX(G592:R592,1,MATCH(Parametres!$B$3,G$1:R$1,0))*IF(OR(F592="L",F592="S",F592="I"),-1,1)</f>
        <v>1349838</v>
      </c>
      <c r="AO592" s="487" t="str">
        <f>+VLOOKUP($AJ592,Data_Validation!$A:$D,1,0)</f>
        <v>G36100</v>
      </c>
      <c r="AP592" s="487" t="str">
        <f>+VLOOKUP($AJ592,Data_Validation!$A:$D,3,0)</f>
        <v>Bilan</v>
      </c>
      <c r="AQ592" s="487" t="str">
        <f>+VLOOKUP($AJ592,Data_Validation!$A:$D,4,0)</f>
        <v>Capital Actions</v>
      </c>
      <c r="AR592" s="487" t="s">
        <v>299</v>
      </c>
      <c r="AS592" s="487">
        <f>+VLOOKUP($AJ592,Data_Validation!$A:$E,5,0)</f>
        <v>0</v>
      </c>
      <c r="AT592" s="904" t="str">
        <f t="shared" si="57"/>
        <v>G36100</v>
      </c>
      <c r="AU592" s="488" t="str">
        <f t="shared" si="58"/>
        <v>AJUST ACTIONS RACHETABLE</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customHeight="1">
      <c r="A593" s="706" t="s">
        <v>1148</v>
      </c>
      <c r="B593" s="706">
        <v>2026</v>
      </c>
      <c r="C593" s="706" t="s">
        <v>2222</v>
      </c>
      <c r="D593" s="706" t="s">
        <v>2223</v>
      </c>
      <c r="E593" s="706" t="s">
        <v>333</v>
      </c>
      <c r="F593" s="706" t="s">
        <v>1135</v>
      </c>
      <c r="G593" s="706">
        <v>9723956.0099999998</v>
      </c>
      <c r="H593" s="706">
        <v>9723956.0099999998</v>
      </c>
      <c r="I593" s="706">
        <v>9723956.0099999998</v>
      </c>
      <c r="J593" s="706">
        <v>9723956.0099999998</v>
      </c>
      <c r="K593" s="706">
        <v>9723956.0099999998</v>
      </c>
      <c r="L593" s="706">
        <v>9723956.0099999998</v>
      </c>
      <c r="M593" s="706">
        <v>8651948</v>
      </c>
      <c r="N593" s="706">
        <v>8651948</v>
      </c>
      <c r="O593" s="706">
        <v>8651948</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G37000</v>
      </c>
      <c r="AK593" s="905" t="str">
        <f t="shared" si="55"/>
        <v>BENEFICES NON REPARTIS</v>
      </c>
      <c r="AL593" s="905">
        <f>IFERROR(INDEX(G593:R593,1,MATCH(Parametres!$B$3,G$1:R$1,0)-1)*IF(OR(F593="L",F593="S",F593="I"),-1,1),"")</f>
        <v>-8651948</v>
      </c>
      <c r="AM593" s="905">
        <f t="shared" si="56"/>
        <v>0</v>
      </c>
      <c r="AN593" s="905">
        <f>INDEX(G593:R593,1,MATCH(Parametres!$B$3,G$1:R$1,0))*IF(OR(F593="L",F593="S",F593="I"),-1,1)</f>
        <v>-8651948</v>
      </c>
      <c r="AO593" s="487" t="str">
        <f>+VLOOKUP($AJ593,Data_Validation!$A:$D,1,0)</f>
        <v>G37000</v>
      </c>
      <c r="AP593" s="487" t="str">
        <f>+VLOOKUP($AJ593,Data_Validation!$A:$D,3,0)</f>
        <v>Bilan</v>
      </c>
      <c r="AQ593" s="487" t="str">
        <f>+VLOOKUP($AJ593,Data_Validation!$A:$D,4,0)</f>
        <v>Bénéfices non répartis</v>
      </c>
      <c r="AR593" s="487" t="s">
        <v>299</v>
      </c>
      <c r="AS593" s="487">
        <f>+VLOOKUP($AJ593,Data_Validation!$A:$E,5,0)</f>
        <v>0</v>
      </c>
      <c r="AT593" s="904" t="str">
        <f t="shared" si="57"/>
        <v>G37000</v>
      </c>
      <c r="AU593" s="488" t="str">
        <f t="shared" si="58"/>
        <v>BENEFICES NON REPARTIS</v>
      </c>
      <c r="AV593" s="899">
        <f>IFERROR(INDEX(V593:AG593,1,MATCH(Parametres!$B$3,V$1:AG$1,0)-1)*IF(OR(C593="L",C593="S",C593="I"),-1,1),"")</f>
        <v>0</v>
      </c>
      <c r="AW593" s="899">
        <f t="shared" si="59"/>
        <v>0</v>
      </c>
      <c r="AX593" s="899">
        <f>INDEX(V593:AG593,1,MATCH(Parametres!$B$3,V$1:AG$1,0))*IF(OR(C593="L",C593="S",C593="I"),-1,1)</f>
        <v>0</v>
      </c>
      <c r="AY593" s="487" t="s">
        <v>337</v>
      </c>
      <c r="AZ593" s="487">
        <f>+VLOOKUP($AJ593,Data_Validation!$A:$E,5,0)</f>
        <v>0</v>
      </c>
    </row>
    <row r="594" spans="1:52" ht="15" customHeight="1">
      <c r="A594" s="706" t="s">
        <v>1148</v>
      </c>
      <c r="B594" s="706">
        <v>2026</v>
      </c>
      <c r="C594" s="706" t="s">
        <v>2224</v>
      </c>
      <c r="D594" s="706" t="s">
        <v>2225</v>
      </c>
      <c r="E594" s="706" t="s">
        <v>333</v>
      </c>
      <c r="F594" s="706" t="s">
        <v>1135</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G37500</v>
      </c>
      <c r="AK594" s="905" t="str">
        <f t="shared" si="55"/>
        <v>DIVIDENDES RECUS</v>
      </c>
      <c r="AL594" s="905">
        <f>IFERROR(INDEX(G594:R594,1,MATCH(Parametres!$B$3,G$1:R$1,0)-1)*IF(OR(F594="L",F594="S",F594="I"),-1,1),"")</f>
        <v>0</v>
      </c>
      <c r="AM594" s="905">
        <f t="shared" si="56"/>
        <v>0</v>
      </c>
      <c r="AN594" s="905">
        <f>INDEX(G594:R594,1,MATCH(Parametres!$B$3,G$1:R$1,0))*IF(OR(F594="L",F594="S",F594="I"),-1,1)</f>
        <v>0</v>
      </c>
      <c r="AO594" s="487" t="str">
        <f>+VLOOKUP($AJ594,Data_Validation!$A:$D,1,0)</f>
        <v>G37500</v>
      </c>
      <c r="AP594" s="487">
        <f>+VLOOKUP($AJ594,Data_Validation!$A:$D,3,0)</f>
        <v>0</v>
      </c>
      <c r="AQ594" s="487">
        <f>+VLOOKUP($AJ594,Data_Validation!$A:$D,4,0)</f>
        <v>0</v>
      </c>
      <c r="AR594" s="487" t="s">
        <v>299</v>
      </c>
      <c r="AS594" s="487">
        <f>+VLOOKUP($AJ594,Data_Validation!$A:$E,5,0)</f>
        <v>0</v>
      </c>
      <c r="AT594" s="904" t="str">
        <f t="shared" si="57"/>
        <v>G37500</v>
      </c>
      <c r="AU594" s="488" t="str">
        <f t="shared" si="58"/>
        <v>DIVIDENDES RECUS</v>
      </c>
      <c r="AV594" s="899">
        <f>IFERROR(INDEX(V594:AG594,1,MATCH(Parametres!$B$3,V$1:AG$1,0)-1)*IF(OR(C594="L",C594="S",C594="I"),-1,1),"")</f>
        <v>0</v>
      </c>
      <c r="AW594" s="899">
        <f t="shared" si="59"/>
        <v>0</v>
      </c>
      <c r="AX594" s="899">
        <f>INDEX(V594:AG594,1,MATCH(Parametres!$B$3,V$1:AG$1,0))*IF(OR(C594="L",C594="S",C594="I"),-1,1)</f>
        <v>0</v>
      </c>
      <c r="AY594" s="487" t="s">
        <v>337</v>
      </c>
      <c r="AZ594" s="487">
        <f>+VLOOKUP($AJ594,Data_Validation!$A:$E,5,0)</f>
        <v>0</v>
      </c>
    </row>
    <row r="595" spans="1:52" ht="15" customHeight="1">
      <c r="A595" s="706" t="s">
        <v>1148</v>
      </c>
      <c r="B595" s="706">
        <v>2026</v>
      </c>
      <c r="C595" s="706" t="s">
        <v>2226</v>
      </c>
      <c r="D595" s="706" t="s">
        <v>2227</v>
      </c>
      <c r="E595" s="706" t="s">
        <v>333</v>
      </c>
      <c r="F595" s="706" t="s">
        <v>1135</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G38000</v>
      </c>
      <c r="AK595" s="905" t="str">
        <f t="shared" ref="AK595:AK658" si="61">D595</f>
        <v>PLACEMENTS</v>
      </c>
      <c r="AL595" s="905">
        <f>IFERROR(INDEX(G595:R595,1,MATCH(Parametres!$B$3,G$1:R$1,0)-1)*IF(OR(F595="L",F595="S",F595="I"),-1,1),"")</f>
        <v>0</v>
      </c>
      <c r="AM595" s="905">
        <f t="shared" si="56"/>
        <v>0</v>
      </c>
      <c r="AN595" s="905">
        <f>INDEX(G595:R595,1,MATCH(Parametres!$B$3,G$1:R$1,0))*IF(OR(F595="L",F595="S",F595="I"),-1,1)</f>
        <v>0</v>
      </c>
      <c r="AO595" s="487" t="e">
        <f>+VLOOKUP($AJ595,Data_Validation!$A:$D,1,0)</f>
        <v>#N/A</v>
      </c>
      <c r="AP595" s="487" t="e">
        <f>+VLOOKUP($AJ595,Data_Validation!$A:$D,3,0)</f>
        <v>#N/A</v>
      </c>
      <c r="AQ595" s="487" t="e">
        <f>+VLOOKUP($AJ595,Data_Validation!$A:$D,4,0)</f>
        <v>#N/A</v>
      </c>
      <c r="AR595" s="487" t="s">
        <v>299</v>
      </c>
      <c r="AS595" s="487" t="e">
        <f>+VLOOKUP($AJ595,Data_Validation!$A:$E,5,0)</f>
        <v>#N/A</v>
      </c>
      <c r="AT595" s="904" t="str">
        <f t="shared" si="57"/>
        <v>G38000</v>
      </c>
      <c r="AU595" s="488" t="str">
        <f t="shared" si="58"/>
        <v>PLACEMENTS</v>
      </c>
      <c r="AV595" s="899">
        <f>IFERROR(INDEX(V595:AG595,1,MATCH(Parametres!$B$3,V$1:AG$1,0)-1)*IF(OR(C595="L",C595="S",C595="I"),-1,1),"")</f>
        <v>0</v>
      </c>
      <c r="AW595" s="899">
        <f t="shared" si="59"/>
        <v>0</v>
      </c>
      <c r="AX595" s="899">
        <f>INDEX(V595:AG595,1,MATCH(Parametres!$B$3,V$1:AG$1,0))*IF(OR(C595="L",C595="S",C595="I"),-1,1)</f>
        <v>0</v>
      </c>
      <c r="AY595" s="487" t="s">
        <v>337</v>
      </c>
      <c r="AZ595" s="487" t="e">
        <f>+VLOOKUP($AJ595,Data_Validation!$A:$E,5,0)</f>
        <v>#N/A</v>
      </c>
    </row>
    <row r="596" spans="1:52" ht="15" customHeight="1">
      <c r="A596" s="706" t="s">
        <v>1148</v>
      </c>
      <c r="B596" s="706">
        <v>2026</v>
      </c>
      <c r="C596" s="706" t="s">
        <v>2228</v>
      </c>
      <c r="D596" s="706" t="s">
        <v>2229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G40000</v>
      </c>
      <c r="AK596" s="905" t="str">
        <f t="shared" si="61"/>
        <v>VENTE VOLT</v>
      </c>
      <c r="AL596" s="905">
        <f>IFERROR(INDEX(G596:R596,1,MATCH(Parametres!$B$3,G$1:R$1,0)-1)*IF(OR(F596="L",F596="S",F596="I"),-1,1),"")</f>
        <v>0</v>
      </c>
      <c r="AM596" s="905">
        <f t="shared" si="56"/>
        <v>0</v>
      </c>
      <c r="AN596" s="905">
        <f>INDEX(G596:R596,1,MATCH(Parametres!$B$3,G$1:R$1,0))*IF(OR(F596="L",F596="S",F596="I"),-1,1)</f>
        <v>0</v>
      </c>
      <c r="AO596" s="487" t="str">
        <f>+VLOOKUP($AJ596,Data_Validation!$A:$D,1,0)</f>
        <v>G40000</v>
      </c>
      <c r="AP596" s="487" t="str">
        <f>+VLOOKUP($AJ596,Data_Validation!$A:$D,3,0)</f>
        <v>Véhicules neufs</v>
      </c>
      <c r="AQ596" s="487" t="str">
        <f>+VLOOKUP($AJ596,Data_Validation!$A:$D,4,0)</f>
        <v>Autos détail</v>
      </c>
      <c r="AR596" s="487" t="s">
        <v>299</v>
      </c>
      <c r="AS596" s="487" t="str">
        <f>+VLOOKUP($AJ596,Data_Validation!$A:$E,5,0)</f>
        <v>Oui</v>
      </c>
      <c r="AT596" s="904" t="str">
        <f t="shared" si="57"/>
        <v>G40000</v>
      </c>
      <c r="AU596" s="488" t="str">
        <f t="shared" si="58"/>
        <v>VENTE VOLT</v>
      </c>
      <c r="AV596" s="899">
        <f>IFERROR(INDEX(V596:AG596,1,MATCH(Parametres!$B$3,V$1:AG$1,0)-1)*IF(OR(C596="L",C596="S",C596="I"),-1,1),"")</f>
        <v>0</v>
      </c>
      <c r="AW596" s="899">
        <f t="shared" si="59"/>
        <v>0</v>
      </c>
      <c r="AX596" s="899">
        <f>INDEX(V596:AG596,1,MATCH(Parametres!$B$3,V$1:AG$1,0))*IF(OR(C596="L",C596="S",C596="I"),-1,1)</f>
        <v>0</v>
      </c>
      <c r="AY596" s="487" t="s">
        <v>337</v>
      </c>
      <c r="AZ596" s="487" t="str">
        <f>+VLOOKUP($AJ596,Data_Validation!$A:$E,5,0)</f>
        <v>Oui</v>
      </c>
    </row>
    <row r="597" spans="1:52" ht="15" customHeight="1">
      <c r="A597" s="706" t="s">
        <v>1148</v>
      </c>
      <c r="B597" s="706">
        <v>2026</v>
      </c>
      <c r="C597" s="706" t="s">
        <v>2230</v>
      </c>
      <c r="D597" s="706" t="s">
        <v>2231</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G40004</v>
      </c>
      <c r="AK597" s="905" t="str">
        <f t="shared" si="61"/>
        <v>VENTE BUICK REGAL</v>
      </c>
      <c r="AL597" s="905">
        <f>IFERROR(INDEX(G597:R597,1,MATCH(Parametres!$B$3,G$1:R$1,0)-1)*IF(OR(F597="L",F597="S",F597="I"),-1,1),"")</f>
        <v>0</v>
      </c>
      <c r="AM597" s="905">
        <f t="shared" si="56"/>
        <v>0</v>
      </c>
      <c r="AN597" s="905">
        <f>INDEX(G597:R597,1,MATCH(Parametres!$B$3,G$1:R$1,0))*IF(OR(F597="L",F597="S",F597="I"),-1,1)</f>
        <v>0</v>
      </c>
      <c r="AO597" s="487" t="str">
        <f>+VLOOKUP($AJ597,Data_Validation!$A:$D,1,0)</f>
        <v>G40004</v>
      </c>
      <c r="AP597" s="487" t="str">
        <f>+VLOOKUP($AJ597,Data_Validation!$A:$D,3,0)</f>
        <v>Véhicules neufs</v>
      </c>
      <c r="AQ597" s="487" t="str">
        <f>+VLOOKUP($AJ597,Data_Validation!$A:$D,4,0)</f>
        <v>Autos détail</v>
      </c>
      <c r="AR597" s="487" t="s">
        <v>299</v>
      </c>
      <c r="AS597" s="487" t="str">
        <f>+VLOOKUP($AJ597,Data_Validation!$A:$E,5,0)</f>
        <v>Oui</v>
      </c>
      <c r="AT597" s="904" t="str">
        <f t="shared" si="57"/>
        <v>G40004</v>
      </c>
      <c r="AU597" s="488" t="str">
        <f t="shared" si="58"/>
        <v>VENTE BUICK REGAL</v>
      </c>
      <c r="AV597" s="899">
        <f>IFERROR(INDEX(V597:AG597,1,MATCH(Parametres!$B$3,V$1:AG$1,0)-1)*IF(OR(C597="L",C597="S",C597="I"),-1,1),"")</f>
        <v>0</v>
      </c>
      <c r="AW597" s="899">
        <f t="shared" si="59"/>
        <v>0</v>
      </c>
      <c r="AX597" s="899">
        <f>INDEX(V597:AG597,1,MATCH(Parametres!$B$3,V$1:AG$1,0))*IF(OR(C597="L",C597="S",C597="I"),-1,1)</f>
        <v>0</v>
      </c>
      <c r="AY597" s="487" t="s">
        <v>337</v>
      </c>
      <c r="AZ597" s="487" t="str">
        <f>+VLOOKUP($AJ597,Data_Validation!$A:$E,5,0)</f>
        <v>Oui</v>
      </c>
    </row>
    <row r="598" spans="1:52" ht="15" customHeight="1">
      <c r="A598" s="706" t="s">
        <v>1148</v>
      </c>
      <c r="B598" s="706">
        <v>2026</v>
      </c>
      <c r="C598" s="706" t="s">
        <v>2232</v>
      </c>
      <c r="D598" s="706" t="s">
        <v>2233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G40100</v>
      </c>
      <c r="AK598" s="905" t="str">
        <f t="shared" si="61"/>
        <v>VTES-MALIBU</v>
      </c>
      <c r="AL598" s="905">
        <f>IFERROR(INDEX(G598:R598,1,MATCH(Parametres!$B$3,G$1:R$1,0)-1)*IF(OR(F598="L",F598="S",F598="I"),-1,1),"")</f>
        <v>0</v>
      </c>
      <c r="AM598" s="905">
        <f t="shared" si="56"/>
        <v>0</v>
      </c>
      <c r="AN598" s="905">
        <f>INDEX(G598:R598,1,MATCH(Parametres!$B$3,G$1:R$1,0))*IF(OR(F598="L",F598="S",F598="I"),-1,1)</f>
        <v>0</v>
      </c>
      <c r="AO598" s="487" t="str">
        <f>+VLOOKUP($AJ598,Data_Validation!$A:$D,1,0)</f>
        <v>G40100</v>
      </c>
      <c r="AP598" s="487" t="str">
        <f>+VLOOKUP($AJ598,Data_Validation!$A:$D,3,0)</f>
        <v>Véhicules neufs</v>
      </c>
      <c r="AQ598" s="487" t="str">
        <f>+VLOOKUP($AJ598,Data_Validation!$A:$D,4,0)</f>
        <v>Autos détail</v>
      </c>
      <c r="AR598" s="487" t="s">
        <v>299</v>
      </c>
      <c r="AS598" s="487" t="str">
        <f>+VLOOKUP($AJ598,Data_Validation!$A:$E,5,0)</f>
        <v>Oui</v>
      </c>
      <c r="AT598" s="904" t="str">
        <f t="shared" si="57"/>
        <v>G40100</v>
      </c>
      <c r="AU598" s="488" t="str">
        <f t="shared" si="58"/>
        <v>VTES-MALIBU</v>
      </c>
      <c r="AV598" s="899">
        <f>IFERROR(INDEX(V598:AG598,1,MATCH(Parametres!$B$3,V$1:AG$1,0)-1)*IF(OR(C598="L",C598="S",C598="I"),-1,1),"")</f>
        <v>0</v>
      </c>
      <c r="AW598" s="899">
        <f t="shared" si="59"/>
        <v>0</v>
      </c>
      <c r="AX598" s="899">
        <f>INDEX(V598:AG598,1,MATCH(Parametres!$B$3,V$1:AG$1,0))*IF(OR(C598="L",C598="S",C598="I"),-1,1)</f>
        <v>0</v>
      </c>
      <c r="AY598" s="487" t="s">
        <v>337</v>
      </c>
      <c r="AZ598" s="487" t="str">
        <f>+VLOOKUP($AJ598,Data_Validation!$A:$E,5,0)</f>
        <v>Oui</v>
      </c>
    </row>
    <row r="599" spans="1:52" ht="15" customHeight="1">
      <c r="A599" s="706" t="s">
        <v>1148</v>
      </c>
      <c r="B599" s="706">
        <v>2026</v>
      </c>
      <c r="C599" s="706" t="s">
        <v>2234</v>
      </c>
      <c r="D599" s="706" t="s">
        <v>2235</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G40101</v>
      </c>
      <c r="AK599" s="905" t="str">
        <f t="shared" si="61"/>
        <v>VENTE BUICK LACROSSE</v>
      </c>
      <c r="AL599" s="905">
        <f>IFERROR(INDEX(G599:R599,1,MATCH(Parametres!$B$3,G$1:R$1,0)-1)*IF(OR(F599="L",F599="S",F599="I"),-1,1),"")</f>
        <v>0</v>
      </c>
      <c r="AM599" s="905">
        <f t="shared" si="56"/>
        <v>0</v>
      </c>
      <c r="AN599" s="905">
        <f>INDEX(G599:R599,1,MATCH(Parametres!$B$3,G$1:R$1,0))*IF(OR(F599="L",F599="S",F599="I"),-1,1)</f>
        <v>0</v>
      </c>
      <c r="AO599" s="487" t="str">
        <f>+VLOOKUP($AJ599,Data_Validation!$A:$D,1,0)</f>
        <v>G40101</v>
      </c>
      <c r="AP599" s="487" t="str">
        <f>+VLOOKUP($AJ599,Data_Validation!$A:$D,3,0)</f>
        <v>Véhicules neufs</v>
      </c>
      <c r="AQ599" s="487" t="str">
        <f>+VLOOKUP($AJ599,Data_Validation!$A:$D,4,0)</f>
        <v>Autos détail</v>
      </c>
      <c r="AR599" s="487" t="s">
        <v>299</v>
      </c>
      <c r="AS599" s="487" t="str">
        <f>+VLOOKUP($AJ599,Data_Validation!$A:$E,5,0)</f>
        <v>Oui</v>
      </c>
      <c r="AT599" s="904" t="str">
        <f t="shared" si="57"/>
        <v>G40101</v>
      </c>
      <c r="AU599" s="488" t="str">
        <f t="shared" si="58"/>
        <v>VENTE BUICK LACROSSE</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customHeight="1">
      <c r="A600" s="706" t="s">
        <v>1148</v>
      </c>
      <c r="B600" s="706">
        <v>2026</v>
      </c>
      <c r="C600" s="706" t="s">
        <v>2236</v>
      </c>
      <c r="D600" s="706" t="s">
        <v>2237</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G40120</v>
      </c>
      <c r="AK600" s="905" t="str">
        <f t="shared" si="61"/>
        <v>VTES-MALIBU          -LOC</v>
      </c>
      <c r="AL600" s="905">
        <f>IFERROR(INDEX(G600:R600,1,MATCH(Parametres!$B$3,G$1:R$1,0)-1)*IF(OR(F600="L",F600="S",F600="I"),-1,1),"")</f>
        <v>0</v>
      </c>
      <c r="AM600" s="905">
        <f t="shared" si="56"/>
        <v>0</v>
      </c>
      <c r="AN600" s="905">
        <f>INDEX(G600:R600,1,MATCH(Parametres!$B$3,G$1:R$1,0))*IF(OR(F600="L",F600="S",F600="I"),-1,1)</f>
        <v>0</v>
      </c>
      <c r="AO600" s="487" t="e">
        <f>+VLOOKUP($AJ600,Data_Validation!$A:$D,1,0)</f>
        <v>#N/A</v>
      </c>
      <c r="AP600" s="487" t="e">
        <f>+VLOOKUP($AJ600,Data_Validation!$A:$D,3,0)</f>
        <v>#N/A</v>
      </c>
      <c r="AQ600" s="487" t="e">
        <f>+VLOOKUP($AJ600,Data_Validation!$A:$D,4,0)</f>
        <v>#N/A</v>
      </c>
      <c r="AR600" s="487" t="s">
        <v>299</v>
      </c>
      <c r="AS600" s="487" t="e">
        <f>+VLOOKUP($AJ600,Data_Validation!$A:$E,5,0)</f>
        <v>#N/A</v>
      </c>
      <c r="AT600" s="904" t="str">
        <f t="shared" si="57"/>
        <v>G40120</v>
      </c>
      <c r="AU600" s="488" t="str">
        <f t="shared" si="58"/>
        <v>VTES-MALIBU          -LOC</v>
      </c>
      <c r="AV600" s="899">
        <f>IFERROR(INDEX(V600:AG600,1,MATCH(Parametres!$B$3,V$1:AG$1,0)-1)*IF(OR(C600="L",C600="S",C600="I"),-1,1),"")</f>
        <v>0</v>
      </c>
      <c r="AW600" s="899">
        <f t="shared" si="59"/>
        <v>0</v>
      </c>
      <c r="AX600" s="899">
        <f>INDEX(V600:AG600,1,MATCH(Parametres!$B$3,V$1:AG$1,0))*IF(OR(C600="L",C600="S",C600="I"),-1,1)</f>
        <v>0</v>
      </c>
      <c r="AY600" s="487" t="s">
        <v>337</v>
      </c>
      <c r="AZ600" s="487" t="e">
        <f>+VLOOKUP($AJ600,Data_Validation!$A:$E,5,0)</f>
        <v>#N/A</v>
      </c>
    </row>
    <row r="601" spans="1:52" ht="15" customHeight="1">
      <c r="A601" s="706" t="s">
        <v>1148</v>
      </c>
      <c r="B601" s="706">
        <v>2026</v>
      </c>
      <c r="C601" s="706" t="s">
        <v>2238</v>
      </c>
      <c r="D601" s="706" t="s">
        <v>2239</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G40200</v>
      </c>
      <c r="AK601" s="905" t="str">
        <f t="shared" si="61"/>
        <v>VTES-MALIBU MAXX</v>
      </c>
      <c r="AL601" s="905">
        <f>IFERROR(INDEX(G601:R601,1,MATCH(Parametres!$B$3,G$1:R$1,0)-1)*IF(OR(F601="L",F601="S",F601="I"),-1,1),"")</f>
        <v>0</v>
      </c>
      <c r="AM601" s="905">
        <f t="shared" si="56"/>
        <v>0</v>
      </c>
      <c r="AN601" s="905">
        <f>INDEX(G601:R601,1,MATCH(Parametres!$B$3,G$1:R$1,0))*IF(OR(F601="L",F601="S",F601="I"),-1,1)</f>
        <v>0</v>
      </c>
      <c r="AO601" s="487" t="e">
        <f>+VLOOKUP($AJ601,Data_Validation!$A:$D,1,0)</f>
        <v>#N/A</v>
      </c>
      <c r="AP601" s="487" t="e">
        <f>+VLOOKUP($AJ601,Data_Validation!$A:$D,3,0)</f>
        <v>#N/A</v>
      </c>
      <c r="AQ601" s="487" t="e">
        <f>+VLOOKUP($AJ601,Data_Validation!$A:$D,4,0)</f>
        <v>#N/A</v>
      </c>
      <c r="AR601" s="487" t="s">
        <v>299</v>
      </c>
      <c r="AS601" s="487" t="e">
        <f>+VLOOKUP($AJ601,Data_Validation!$A:$E,5,0)</f>
        <v>#N/A</v>
      </c>
      <c r="AT601" s="904" t="str">
        <f t="shared" si="57"/>
        <v>G40200</v>
      </c>
      <c r="AU601" s="488" t="str">
        <f t="shared" si="58"/>
        <v>VTES-MALIBU MAXX</v>
      </c>
      <c r="AV601" s="899">
        <f>IFERROR(INDEX(V601:AG601,1,MATCH(Parametres!$B$3,V$1:AG$1,0)-1)*IF(OR(C601="L",C601="S",C601="I"),-1,1),"")</f>
        <v>0</v>
      </c>
      <c r="AW601" s="899">
        <f t="shared" si="59"/>
        <v>0</v>
      </c>
      <c r="AX601" s="899">
        <f>INDEX(V601:AG601,1,MATCH(Parametres!$B$3,V$1:AG$1,0))*IF(OR(C601="L",C601="S",C601="I"),-1,1)</f>
        <v>0</v>
      </c>
      <c r="AY601" s="487" t="s">
        <v>337</v>
      </c>
      <c r="AZ601" s="487" t="e">
        <f>+VLOOKUP($AJ601,Data_Validation!$A:$E,5,0)</f>
        <v>#N/A</v>
      </c>
    </row>
    <row r="602" spans="1:52" ht="15" customHeight="1">
      <c r="A602" s="706" t="s">
        <v>1148</v>
      </c>
      <c r="B602" s="706">
        <v>2026</v>
      </c>
      <c r="C602" s="706" t="s">
        <v>2240</v>
      </c>
      <c r="D602" s="706" t="s">
        <v>2241</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G40201</v>
      </c>
      <c r="AK602" s="905" t="str">
        <f t="shared" si="61"/>
        <v>VENTES - SONIC</v>
      </c>
      <c r="AL602" s="905">
        <f>IFERROR(INDEX(G602:R602,1,MATCH(Parametres!$B$3,G$1:R$1,0)-1)*IF(OR(F602="L",F602="S",F602="I"),-1,1),"")</f>
        <v>0</v>
      </c>
      <c r="AM602" s="905">
        <f t="shared" si="56"/>
        <v>0</v>
      </c>
      <c r="AN602" s="905">
        <f>INDEX(G602:R602,1,MATCH(Parametres!$B$3,G$1:R$1,0))*IF(OR(F602="L",F602="S",F602="I"),-1,1)</f>
        <v>0</v>
      </c>
      <c r="AO602" s="487" t="e">
        <f>+VLOOKUP($AJ602,Data_Validation!$A:$D,1,0)</f>
        <v>#N/A</v>
      </c>
      <c r="AP602" s="487" t="e">
        <f>+VLOOKUP($AJ602,Data_Validation!$A:$D,3,0)</f>
        <v>#N/A</v>
      </c>
      <c r="AQ602" s="487" t="e">
        <f>+VLOOKUP($AJ602,Data_Validation!$A:$D,4,0)</f>
        <v>#N/A</v>
      </c>
      <c r="AR602" s="487" t="s">
        <v>299</v>
      </c>
      <c r="AS602" s="487" t="e">
        <f>+VLOOKUP($AJ602,Data_Validation!$A:$E,5,0)</f>
        <v>#N/A</v>
      </c>
      <c r="AT602" s="904" t="str">
        <f t="shared" si="57"/>
        <v>G40201</v>
      </c>
      <c r="AU602" s="488" t="str">
        <f t="shared" si="58"/>
        <v>VENTES - SONIC</v>
      </c>
      <c r="AV602" s="899">
        <f>IFERROR(INDEX(V602:AG602,1,MATCH(Parametres!$B$3,V$1:AG$1,0)-1)*IF(OR(C602="L",C602="S",C602="I"),-1,1),"")</f>
        <v>0</v>
      </c>
      <c r="AW602" s="899">
        <f t="shared" si="59"/>
        <v>0</v>
      </c>
      <c r="AX602" s="899">
        <f>INDEX(V602:AG602,1,MATCH(Parametres!$B$3,V$1:AG$1,0))*IF(OR(C602="L",C602="S",C602="I"),-1,1)</f>
        <v>0</v>
      </c>
      <c r="AY602" s="487" t="s">
        <v>337</v>
      </c>
      <c r="AZ602" s="487" t="e">
        <f>+VLOOKUP($AJ602,Data_Validation!$A:$E,5,0)</f>
        <v>#N/A</v>
      </c>
    </row>
    <row r="603" spans="1:52" ht="15" customHeight="1">
      <c r="A603" s="706" t="s">
        <v>1148</v>
      </c>
      <c r="B603" s="706">
        <v>2026</v>
      </c>
      <c r="C603" s="706" t="s">
        <v>2242</v>
      </c>
      <c r="D603" s="706" t="s">
        <v>2243</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G40204</v>
      </c>
      <c r="AK603" s="905" t="str">
        <f t="shared" si="61"/>
        <v>VENTES - VERANO</v>
      </c>
      <c r="AL603" s="905">
        <f>IFERROR(INDEX(G603:R603,1,MATCH(Parametres!$B$3,G$1:R$1,0)-1)*IF(OR(F603="L",F603="S",F603="I"),-1,1),"")</f>
        <v>0</v>
      </c>
      <c r="AM603" s="905">
        <f t="shared" si="56"/>
        <v>0</v>
      </c>
      <c r="AN603" s="905">
        <f>INDEX(G603:R603,1,MATCH(Parametres!$B$3,G$1:R$1,0))*IF(OR(F603="L",F603="S",F603="I"),-1,1)</f>
        <v>0</v>
      </c>
      <c r="AO603" s="487" t="str">
        <f>+VLOOKUP($AJ603,Data_Validation!$A:$D,1,0)</f>
        <v>G40204</v>
      </c>
      <c r="AP603" s="487" t="str">
        <f>+VLOOKUP($AJ603,Data_Validation!$A:$D,3,0)</f>
        <v>Véhicules neufs</v>
      </c>
      <c r="AQ603" s="487" t="str">
        <f>+VLOOKUP($AJ603,Data_Validation!$A:$D,4,0)</f>
        <v>Autos détail</v>
      </c>
      <c r="AR603" s="487" t="s">
        <v>299</v>
      </c>
      <c r="AS603" s="487" t="str">
        <f>+VLOOKUP($AJ603,Data_Validation!$A:$E,5,0)</f>
        <v>Oui</v>
      </c>
      <c r="AT603" s="904" t="str">
        <f t="shared" si="57"/>
        <v>G40204</v>
      </c>
      <c r="AU603" s="488" t="str">
        <f t="shared" si="58"/>
        <v>VENTES - VERANO</v>
      </c>
      <c r="AV603" s="899">
        <f>IFERROR(INDEX(V603:AG603,1,MATCH(Parametres!$B$3,V$1:AG$1,0)-1)*IF(OR(C603="L",C603="S",C603="I"),-1,1),"")</f>
        <v>0</v>
      </c>
      <c r="AW603" s="899">
        <f t="shared" si="59"/>
        <v>0</v>
      </c>
      <c r="AX603" s="899">
        <f>INDEX(V603:AG603,1,MATCH(Parametres!$B$3,V$1:AG$1,0))*IF(OR(C603="L",C603="S",C603="I"),-1,1)</f>
        <v>0</v>
      </c>
      <c r="AY603" s="487" t="s">
        <v>337</v>
      </c>
      <c r="AZ603" s="487" t="str">
        <f>+VLOOKUP($AJ603,Data_Validation!$A:$E,5,0)</f>
        <v>Oui</v>
      </c>
    </row>
    <row r="604" spans="1:52" ht="15" customHeight="1">
      <c r="A604" s="706" t="s">
        <v>1148</v>
      </c>
      <c r="B604" s="706">
        <v>2026</v>
      </c>
      <c r="C604" s="706" t="s">
        <v>2244</v>
      </c>
      <c r="D604" s="706" t="s">
        <v>2245</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G40300</v>
      </c>
      <c r="AK604" s="905" t="str">
        <f t="shared" si="61"/>
        <v>VTES-IMPALA</v>
      </c>
      <c r="AL604" s="905">
        <f>IFERROR(INDEX(G604:R604,1,MATCH(Parametres!$B$3,G$1:R$1,0)-1)*IF(OR(F604="L",F604="S",F604="I"),-1,1),"")</f>
        <v>0</v>
      </c>
      <c r="AM604" s="905">
        <f t="shared" si="56"/>
        <v>0</v>
      </c>
      <c r="AN604" s="905">
        <f>INDEX(G604:R604,1,MATCH(Parametres!$B$3,G$1:R$1,0))*IF(OR(F604="L",F604="S",F604="I"),-1,1)</f>
        <v>0</v>
      </c>
      <c r="AO604" s="487" t="str">
        <f>+VLOOKUP($AJ604,Data_Validation!$A:$D,1,0)</f>
        <v>G40300</v>
      </c>
      <c r="AP604" s="487" t="str">
        <f>+VLOOKUP($AJ604,Data_Validation!$A:$D,3,0)</f>
        <v>Véhicules neufs</v>
      </c>
      <c r="AQ604" s="487" t="str">
        <f>+VLOOKUP($AJ604,Data_Validation!$A:$D,4,0)</f>
        <v>Autos détail</v>
      </c>
      <c r="AR604" s="487" t="s">
        <v>299</v>
      </c>
      <c r="AS604" s="487" t="str">
        <f>+VLOOKUP($AJ604,Data_Validation!$A:$E,5,0)</f>
        <v>Oui</v>
      </c>
      <c r="AT604" s="904" t="str">
        <f t="shared" si="57"/>
        <v>G40300</v>
      </c>
      <c r="AU604" s="488" t="str">
        <f t="shared" si="58"/>
        <v>VTES-IMPALA</v>
      </c>
      <c r="AV604" s="899">
        <f>IFERROR(INDEX(V604:AG604,1,MATCH(Parametres!$B$3,V$1:AG$1,0)-1)*IF(OR(C604="L",C604="S",C604="I"),-1,1),"")</f>
        <v>0</v>
      </c>
      <c r="AW604" s="899">
        <f t="shared" si="59"/>
        <v>0</v>
      </c>
      <c r="AX604" s="899">
        <f>INDEX(V604:AG604,1,MATCH(Parametres!$B$3,V$1:AG$1,0))*IF(OR(C604="L",C604="S",C604="I"),-1,1)</f>
        <v>0</v>
      </c>
      <c r="AY604" s="487" t="s">
        <v>337</v>
      </c>
      <c r="AZ604" s="487" t="str">
        <f>+VLOOKUP($AJ604,Data_Validation!$A:$E,5,0)</f>
        <v>Oui</v>
      </c>
    </row>
    <row r="605" spans="1:52" ht="15" customHeight="1">
      <c r="A605" s="706" t="s">
        <v>1148</v>
      </c>
      <c r="B605" s="706">
        <v>2026</v>
      </c>
      <c r="C605" s="706" t="s">
        <v>2246</v>
      </c>
      <c r="D605" s="706" t="s">
        <v>2247</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G40320</v>
      </c>
      <c r="AK605" s="905" t="str">
        <f t="shared" si="61"/>
        <v>VTES-IMPALA          -LOC</v>
      </c>
      <c r="AL605" s="905">
        <f>IFERROR(INDEX(G605:R605,1,MATCH(Parametres!$B$3,G$1:R$1,0)-1)*IF(OR(F605="L",F605="S",F605="I"),-1,1),"")</f>
        <v>0</v>
      </c>
      <c r="AM605" s="905">
        <f t="shared" si="56"/>
        <v>0</v>
      </c>
      <c r="AN605" s="905">
        <f>INDEX(G605:R605,1,MATCH(Parametres!$B$3,G$1:R$1,0))*IF(OR(F605="L",F605="S",F605="I"),-1,1)</f>
        <v>0</v>
      </c>
      <c r="AO605" s="487" t="e">
        <f>+VLOOKUP($AJ605,Data_Validation!$A:$D,1,0)</f>
        <v>#N/A</v>
      </c>
      <c r="AP605" s="487" t="e">
        <f>+VLOOKUP($AJ605,Data_Validation!$A:$D,3,0)</f>
        <v>#N/A</v>
      </c>
      <c r="AQ605" s="487" t="e">
        <f>+VLOOKUP($AJ605,Data_Validation!$A:$D,4,0)</f>
        <v>#N/A</v>
      </c>
      <c r="AR605" s="487" t="s">
        <v>299</v>
      </c>
      <c r="AS605" s="487" t="e">
        <f>+VLOOKUP($AJ605,Data_Validation!$A:$E,5,0)</f>
        <v>#N/A</v>
      </c>
      <c r="AT605" s="904" t="str">
        <f t="shared" si="57"/>
        <v>G40320</v>
      </c>
      <c r="AU605" s="488" t="str">
        <f t="shared" si="58"/>
        <v>VTES-IMPALA          -LOC</v>
      </c>
      <c r="AV605" s="899">
        <f>IFERROR(INDEX(V605:AG605,1,MATCH(Parametres!$B$3,V$1:AG$1,0)-1)*IF(OR(C605="L",C605="S",C605="I"),-1,1),"")</f>
        <v>0</v>
      </c>
      <c r="AW605" s="899">
        <f t="shared" si="59"/>
        <v>0</v>
      </c>
      <c r="AX605" s="899">
        <f>INDEX(V605:AG605,1,MATCH(Parametres!$B$3,V$1:AG$1,0))*IF(OR(C605="L",C605="S",C605="I"),-1,1)</f>
        <v>0</v>
      </c>
      <c r="AY605" s="487" t="s">
        <v>337</v>
      </c>
      <c r="AZ605" s="487" t="e">
        <f>+VLOOKUP($AJ605,Data_Validation!$A:$E,5,0)</f>
        <v>#N/A</v>
      </c>
    </row>
    <row r="606" spans="1:52" ht="15" customHeight="1">
      <c r="A606" s="706" t="s">
        <v>1148</v>
      </c>
      <c r="B606" s="706">
        <v>2026</v>
      </c>
      <c r="C606" s="706" t="s">
        <v>2248</v>
      </c>
      <c r="D606" s="706" t="s">
        <v>2249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G40400</v>
      </c>
      <c r="AK606" s="905" t="str">
        <f t="shared" si="61"/>
        <v>VENTES / SPARK</v>
      </c>
      <c r="AL606" s="905">
        <f>IFERROR(INDEX(G606:R606,1,MATCH(Parametres!$B$3,G$1:R$1,0)-1)*IF(OR(F606="L",F606="S",F606="I"),-1,1),"")</f>
        <v>0</v>
      </c>
      <c r="AM606" s="905">
        <f t="shared" si="56"/>
        <v>0</v>
      </c>
      <c r="AN606" s="905">
        <f>INDEX(G606:R606,1,MATCH(Parametres!$B$3,G$1:R$1,0))*IF(OR(F606="L",F606="S",F606="I"),-1,1)</f>
        <v>0</v>
      </c>
      <c r="AO606" s="487" t="str">
        <f>+VLOOKUP($AJ606,Data_Validation!$A:$D,1,0)</f>
        <v>G40400</v>
      </c>
      <c r="AP606" s="487" t="str">
        <f>+VLOOKUP($AJ606,Data_Validation!$A:$D,3,0)</f>
        <v>Véhicules neufs</v>
      </c>
      <c r="AQ606" s="487" t="str">
        <f>+VLOOKUP($AJ606,Data_Validation!$A:$D,4,0)</f>
        <v>Autos détail</v>
      </c>
      <c r="AR606" s="487" t="s">
        <v>299</v>
      </c>
      <c r="AS606" s="487" t="str">
        <f>+VLOOKUP($AJ606,Data_Validation!$A:$E,5,0)</f>
        <v>Oui</v>
      </c>
      <c r="AT606" s="904" t="str">
        <f t="shared" si="57"/>
        <v>G40400</v>
      </c>
      <c r="AU606" s="488" t="str">
        <f t="shared" si="58"/>
        <v>VENTES / SPARK</v>
      </c>
      <c r="AV606" s="899">
        <f>IFERROR(INDEX(V606:AG606,1,MATCH(Parametres!$B$3,V$1:AG$1,0)-1)*IF(OR(C606="L",C606="S",C606="I"),-1,1),"")</f>
        <v>0</v>
      </c>
      <c r="AW606" s="899">
        <f t="shared" si="59"/>
        <v>0</v>
      </c>
      <c r="AX606" s="899">
        <f>INDEX(V606:AG606,1,MATCH(Parametres!$B$3,V$1:AG$1,0))*IF(OR(C606="L",C606="S",C606="I"),-1,1)</f>
        <v>0</v>
      </c>
      <c r="AY606" s="487" t="s">
        <v>337</v>
      </c>
      <c r="AZ606" s="487" t="str">
        <f>+VLOOKUP($AJ606,Data_Validation!$A:$E,5,0)</f>
        <v>Oui</v>
      </c>
    </row>
    <row r="607" spans="1:52" ht="15" customHeight="1">
      <c r="A607" s="706" t="s">
        <v>1148</v>
      </c>
      <c r="B607" s="706">
        <v>2026</v>
      </c>
      <c r="C607" s="706" t="s">
        <v>2250</v>
      </c>
      <c r="D607" s="706" t="s">
        <v>2251</v>
      </c>
      <c r="E607" s="706" t="s">
        <v>1149</v>
      </c>
      <c r="F607" s="706" t="s">
        <v>1149</v>
      </c>
      <c r="G607" s="706">
        <v>0</v>
      </c>
      <c r="H607" s="706">
        <v>0</v>
      </c>
      <c r="I607" s="706">
        <v>0</v>
      </c>
      <c r="J607" s="706">
        <v>102018.5</v>
      </c>
      <c r="K607" s="706">
        <v>203641.5</v>
      </c>
      <c r="L607" s="706">
        <v>349904.5</v>
      </c>
      <c r="M607" s="706">
        <v>449377.5</v>
      </c>
      <c r="N607" s="706">
        <v>449377.5</v>
      </c>
      <c r="O607" s="706">
        <v>449377.5</v>
      </c>
      <c r="P607" s="706">
        <v>0</v>
      </c>
      <c r="Q607" s="706">
        <v>0</v>
      </c>
      <c r="R607" s="706">
        <v>0</v>
      </c>
      <c r="S607" s="706">
        <v>56172.19</v>
      </c>
      <c r="T607" s="706">
        <v>56172.19</v>
      </c>
      <c r="U607" s="706">
        <v>0</v>
      </c>
      <c r="V607" s="706">
        <v>0</v>
      </c>
      <c r="W607" s="706">
        <v>0</v>
      </c>
      <c r="X607" s="706">
        <v>0</v>
      </c>
      <c r="Y607" s="706">
        <v>1</v>
      </c>
      <c r="Z607" s="706">
        <v>2</v>
      </c>
      <c r="AA607" s="706">
        <v>3</v>
      </c>
      <c r="AB607" s="706">
        <v>4</v>
      </c>
      <c r="AC607" s="706">
        <v>4</v>
      </c>
      <c r="AD607" s="706">
        <v>4</v>
      </c>
      <c r="AE607" s="706">
        <v>0</v>
      </c>
      <c r="AF607" s="706">
        <v>0</v>
      </c>
      <c r="AG607" s="706">
        <v>0</v>
      </c>
      <c r="AH607" s="706">
        <v>1</v>
      </c>
      <c r="AI607" s="706">
        <v>1</v>
      </c>
      <c r="AJ607" s="905" t="str">
        <f t="shared" si="60"/>
        <v>G40500</v>
      </c>
      <c r="AK607" s="905" t="str">
        <f t="shared" si="61"/>
        <v>VTES-CORVETTE</v>
      </c>
      <c r="AL607" s="905">
        <f>IFERROR(INDEX(G607:R607,1,MATCH(Parametres!$B$3,G$1:R$1,0)-1)*IF(OR(F607="L",F607="S",F607="I"),-1,1),"")</f>
        <v>-449377.5</v>
      </c>
      <c r="AM607" s="905">
        <f t="shared" si="56"/>
        <v>0</v>
      </c>
      <c r="AN607" s="905">
        <f>INDEX(G607:R607,1,MATCH(Parametres!$B$3,G$1:R$1,0))*IF(OR(F607="L",F607="S",F607="I"),-1,1)</f>
        <v>-449377.5</v>
      </c>
      <c r="AO607" s="487" t="str">
        <f>+VLOOKUP($AJ607,Data_Validation!$A:$D,1,0)</f>
        <v>G40500</v>
      </c>
      <c r="AP607" s="487" t="str">
        <f>+VLOOKUP($AJ607,Data_Validation!$A:$D,3,0)</f>
        <v>Véhicules neufs</v>
      </c>
      <c r="AQ607" s="487" t="str">
        <f>+VLOOKUP($AJ607,Data_Validation!$A:$D,4,0)</f>
        <v>Autos détail</v>
      </c>
      <c r="AR607" s="487" t="s">
        <v>299</v>
      </c>
      <c r="AS607" s="487" t="str">
        <f>+VLOOKUP($AJ607,Data_Validation!$A:$E,5,0)</f>
        <v>Oui</v>
      </c>
      <c r="AT607" s="904" t="str">
        <f t="shared" si="57"/>
        <v>G40500</v>
      </c>
      <c r="AU607" s="488" t="str">
        <f t="shared" si="58"/>
        <v>VTES-CORVETTE</v>
      </c>
      <c r="AV607" s="899">
        <f>IFERROR(INDEX(V607:AG607,1,MATCH(Parametres!$B$3,V$1:AG$1,0)-1)*IF(OR(C607="L",C607="S",C607="I"),-1,1),"")</f>
        <v>4</v>
      </c>
      <c r="AW607" s="899">
        <f t="shared" si="59"/>
        <v>0</v>
      </c>
      <c r="AX607" s="899">
        <f>INDEX(V607:AG607,1,MATCH(Parametres!$B$3,V$1:AG$1,0))*IF(OR(C607="L",C607="S",C607="I"),-1,1)</f>
        <v>4</v>
      </c>
      <c r="AY607" s="487" t="s">
        <v>337</v>
      </c>
      <c r="AZ607" s="487" t="str">
        <f>+VLOOKUP($AJ607,Data_Validation!$A:$E,5,0)</f>
        <v>Oui</v>
      </c>
    </row>
    <row r="608" spans="1:52" ht="15" customHeight="1">
      <c r="A608" s="706" t="s">
        <v>1148</v>
      </c>
      <c r="B608" s="706">
        <v>2026</v>
      </c>
      <c r="C608" s="706" t="s">
        <v>2252</v>
      </c>
      <c r="D608" s="706" t="s">
        <v>2253</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G40600</v>
      </c>
      <c r="AK608" s="905" t="str">
        <f t="shared" si="61"/>
        <v>VTES-AVEO</v>
      </c>
      <c r="AL608" s="905">
        <f>IFERROR(INDEX(G608:R608,1,MATCH(Parametres!$B$3,G$1:R$1,0)-1)*IF(OR(F608="L",F608="S",F608="I"),-1,1),"")</f>
        <v>0</v>
      </c>
      <c r="AM608" s="905">
        <f t="shared" si="56"/>
        <v>0</v>
      </c>
      <c r="AN608" s="905">
        <f>INDEX(G608:R608,1,MATCH(Parametres!$B$3,G$1:R$1,0))*IF(OR(F608="L",F608="S",F608="I"),-1,1)</f>
        <v>0</v>
      </c>
      <c r="AO608" s="487" t="e">
        <f>+VLOOKUP($AJ608,Data_Validation!$A:$D,1,0)</f>
        <v>#N/A</v>
      </c>
      <c r="AP608" s="487" t="e">
        <f>+VLOOKUP($AJ608,Data_Validation!$A:$D,3,0)</f>
        <v>#N/A</v>
      </c>
      <c r="AQ608" s="487" t="e">
        <f>+VLOOKUP($AJ608,Data_Validation!$A:$D,4,0)</f>
        <v>#N/A</v>
      </c>
      <c r="AR608" s="487" t="s">
        <v>299</v>
      </c>
      <c r="AS608" s="487" t="e">
        <f>+VLOOKUP($AJ608,Data_Validation!$A:$E,5,0)</f>
        <v>#N/A</v>
      </c>
      <c r="AT608" s="904" t="str">
        <f t="shared" si="57"/>
        <v>G40600</v>
      </c>
      <c r="AU608" s="488" t="str">
        <f t="shared" si="58"/>
        <v>VTES-AVEO</v>
      </c>
      <c r="AV608" s="899">
        <f>IFERROR(INDEX(V608:AG608,1,MATCH(Parametres!$B$3,V$1:AG$1,0)-1)*IF(OR(C608="L",C608="S",C608="I"),-1,1),"")</f>
        <v>0</v>
      </c>
      <c r="AW608" s="899">
        <f t="shared" si="59"/>
        <v>0</v>
      </c>
      <c r="AX608" s="899">
        <f>INDEX(V608:AG608,1,MATCH(Parametres!$B$3,V$1:AG$1,0))*IF(OR(C608="L",C608="S",C608="I"),-1,1)</f>
        <v>0</v>
      </c>
      <c r="AY608" s="487" t="s">
        <v>337</v>
      </c>
      <c r="AZ608" s="487" t="e">
        <f>+VLOOKUP($AJ608,Data_Validation!$A:$E,5,0)</f>
        <v>#N/A</v>
      </c>
    </row>
    <row r="609" spans="1:52" ht="15" customHeight="1">
      <c r="A609" s="706" t="s">
        <v>1148</v>
      </c>
      <c r="B609" s="706">
        <v>2026</v>
      </c>
      <c r="C609" s="706" t="s">
        <v>2254</v>
      </c>
      <c r="D609" s="706" t="s">
        <v>2255</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G40620</v>
      </c>
      <c r="AK609" s="905" t="str">
        <f t="shared" si="61"/>
        <v>VTES-AVEO            -LOC</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G40620</v>
      </c>
      <c r="AU609" s="488" t="str">
        <f t="shared" si="58"/>
        <v>VTES-AVEO            -LOC</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customHeight="1">
      <c r="A610" s="706" t="s">
        <v>1148</v>
      </c>
      <c r="B610" s="706">
        <v>2026</v>
      </c>
      <c r="C610" s="706" t="s">
        <v>2256</v>
      </c>
      <c r="D610" s="706" t="s">
        <v>2257</v>
      </c>
      <c r="E610" s="706" t="s">
        <v>1149</v>
      </c>
      <c r="F610" s="706" t="s">
        <v>1149</v>
      </c>
      <c r="G610" s="706">
        <v>0</v>
      </c>
      <c r="H610" s="706">
        <v>0</v>
      </c>
      <c r="I610" s="706">
        <v>0</v>
      </c>
      <c r="J610" s="706">
        <v>0</v>
      </c>
      <c r="K610" s="706">
        <v>46018</v>
      </c>
      <c r="L610" s="706">
        <v>46018</v>
      </c>
      <c r="M610" s="706">
        <v>46018</v>
      </c>
      <c r="N610" s="706">
        <v>174813.7</v>
      </c>
      <c r="O610" s="706">
        <v>174813.7</v>
      </c>
      <c r="P610" s="706">
        <v>0</v>
      </c>
      <c r="Q610" s="706">
        <v>0</v>
      </c>
      <c r="R610" s="706">
        <v>0</v>
      </c>
      <c r="S610" s="706">
        <v>21851.71</v>
      </c>
      <c r="T610" s="706">
        <v>21851.71</v>
      </c>
      <c r="U610" s="706">
        <v>0</v>
      </c>
      <c r="V610" s="706">
        <v>0</v>
      </c>
      <c r="W610" s="706">
        <v>0</v>
      </c>
      <c r="X610" s="706">
        <v>0</v>
      </c>
      <c r="Y610" s="706">
        <v>0</v>
      </c>
      <c r="Z610" s="706">
        <v>1</v>
      </c>
      <c r="AA610" s="706">
        <v>1</v>
      </c>
      <c r="AB610" s="706">
        <v>1</v>
      </c>
      <c r="AC610" s="706">
        <v>4</v>
      </c>
      <c r="AD610" s="706">
        <v>4</v>
      </c>
      <c r="AE610" s="706">
        <v>0</v>
      </c>
      <c r="AF610" s="706">
        <v>0</v>
      </c>
      <c r="AG610" s="706">
        <v>0</v>
      </c>
      <c r="AH610" s="706">
        <v>1</v>
      </c>
      <c r="AI610" s="706">
        <v>1</v>
      </c>
      <c r="AJ610" s="905" t="str">
        <f t="shared" si="60"/>
        <v>G40700</v>
      </c>
      <c r="AK610" s="905" t="str">
        <f t="shared" si="61"/>
        <v>VENTES BOLT - EV</v>
      </c>
      <c r="AL610" s="905">
        <f>IFERROR(INDEX(G610:R610,1,MATCH(Parametres!$B$3,G$1:R$1,0)-1)*IF(OR(F610="L",F610="S",F610="I"),-1,1),"")</f>
        <v>-46018</v>
      </c>
      <c r="AM610" s="905">
        <f t="shared" si="56"/>
        <v>-128795.70000000001</v>
      </c>
      <c r="AN610" s="905">
        <f>INDEX(G610:R610,1,MATCH(Parametres!$B$3,G$1:R$1,0))*IF(OR(F610="L",F610="S",F610="I"),-1,1)</f>
        <v>-174813.7</v>
      </c>
      <c r="AO610" s="487" t="str">
        <f>+VLOOKUP($AJ610,Data_Validation!$A:$D,1,0)</f>
        <v>G40700</v>
      </c>
      <c r="AP610" s="487" t="str">
        <f>+VLOOKUP($AJ610,Data_Validation!$A:$D,3,0)</f>
        <v>Véhicules neufs</v>
      </c>
      <c r="AQ610" s="487" t="str">
        <f>+VLOOKUP($AJ610,Data_Validation!$A:$D,4,0)</f>
        <v>Camions electriques</v>
      </c>
      <c r="AR610" s="487" t="s">
        <v>299</v>
      </c>
      <c r="AS610" s="487" t="str">
        <f>+VLOOKUP($AJ610,Data_Validation!$A:$E,5,0)</f>
        <v>Oui</v>
      </c>
      <c r="AT610" s="904" t="str">
        <f t="shared" si="57"/>
        <v>G40700</v>
      </c>
      <c r="AU610" s="488" t="str">
        <f t="shared" si="58"/>
        <v>VENTES BOLT - EV</v>
      </c>
      <c r="AV610" s="899">
        <f>IFERROR(INDEX(V610:AG610,1,MATCH(Parametres!$B$3,V$1:AG$1,0)-1)*IF(OR(C610="L",C610="S",C610="I"),-1,1),"")</f>
        <v>1</v>
      </c>
      <c r="AW610" s="899">
        <f t="shared" si="59"/>
        <v>3</v>
      </c>
      <c r="AX610" s="899">
        <f>INDEX(V610:AG610,1,MATCH(Parametres!$B$3,V$1:AG$1,0))*IF(OR(C610="L",C610="S",C610="I"),-1,1)</f>
        <v>4</v>
      </c>
      <c r="AY610" s="487" t="s">
        <v>337</v>
      </c>
      <c r="AZ610" s="487" t="str">
        <f>+VLOOKUP($AJ610,Data_Validation!$A:$E,5,0)</f>
        <v>Oui</v>
      </c>
    </row>
    <row r="611" spans="1:52" ht="15" customHeight="1">
      <c r="A611" s="706" t="s">
        <v>1148</v>
      </c>
      <c r="B611" s="706">
        <v>2026</v>
      </c>
      <c r="C611" s="706" t="s">
        <v>2258</v>
      </c>
      <c r="D611" s="706" t="s">
        <v>2259</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G40720</v>
      </c>
      <c r="AK611" s="905" t="str">
        <f t="shared" si="61"/>
        <v>VTES-OPTRA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G40720</v>
      </c>
      <c r="AU611" s="488" t="str">
        <f t="shared" si="58"/>
        <v>VTES-OPTRA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customHeight="1">
      <c r="A612" s="706" t="s">
        <v>1148</v>
      </c>
      <c r="B612" s="706">
        <v>2026</v>
      </c>
      <c r="C612" s="706" t="s">
        <v>2260</v>
      </c>
      <c r="D612" s="706" t="s">
        <v>2261</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G40800</v>
      </c>
      <c r="AK612" s="905" t="str">
        <f t="shared" si="61"/>
        <v>VTES-EPICA</v>
      </c>
      <c r="AL612" s="905">
        <f>IFERROR(INDEX(G612:R612,1,MATCH(Parametres!$B$3,G$1:R$1,0)-1)*IF(OR(F612="L",F612="S",F612="I"),-1,1),"")</f>
        <v>0</v>
      </c>
      <c r="AM612" s="1047">
        <f t="shared" si="56"/>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57"/>
        <v>G40800</v>
      </c>
      <c r="AU612" s="488" t="str">
        <f t="shared" si="58"/>
        <v>VTES-EPICA</v>
      </c>
      <c r="AV612" s="899">
        <f>IFERROR(INDEX(V612:AG612,1,MATCH(Parametres!$B$3,V$1:AG$1,0)-1)*IF(OR(C612="L",C612="S",C612="I"),-1,1),"")</f>
        <v>0</v>
      </c>
      <c r="AW612" s="899">
        <f t="shared" si="59"/>
        <v>0</v>
      </c>
      <c r="AX612" s="899">
        <f>INDEX(V612:AG612,1,MATCH(Parametres!$B$3,V$1:AG$1,0))*IF(OR(C612="L",C612="S",C612="I"),-1,1)</f>
        <v>0</v>
      </c>
      <c r="AY612" s="487" t="s">
        <v>337</v>
      </c>
      <c r="AZ612" s="487" t="e">
        <f>+VLOOKUP($AJ612,Data_Validation!$A:$E,5,0)</f>
        <v>#N/A</v>
      </c>
    </row>
    <row r="613" spans="1:52" ht="15" customHeight="1">
      <c r="A613" s="706" t="s">
        <v>1148</v>
      </c>
      <c r="B613" s="706">
        <v>2026</v>
      </c>
      <c r="C613" s="706" t="s">
        <v>2262</v>
      </c>
      <c r="D613" s="706" t="s">
        <v>2263</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G40820</v>
      </c>
      <c r="AK613" s="905" t="str">
        <f t="shared" si="61"/>
        <v>VTES-EPICA           -LOC</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G40820</v>
      </c>
      <c r="AU613" s="488" t="str">
        <f t="shared" si="58"/>
        <v>VTES-EPICA           -LOC</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customHeight="1">
      <c r="A614" s="706" t="s">
        <v>1148</v>
      </c>
      <c r="B614" s="706">
        <v>2026</v>
      </c>
      <c r="C614" s="706" t="s">
        <v>2264</v>
      </c>
      <c r="D614" s="706" t="s">
        <v>2265</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G40900</v>
      </c>
      <c r="AK614" s="905" t="str">
        <f t="shared" si="61"/>
        <v>VTES-COBALT</v>
      </c>
      <c r="AL614" s="905">
        <f>IFERROR(INDEX(G614:R614,1,MATCH(Parametres!$B$3,G$1:R$1,0)-1)*IF(OR(F614="L",F614="S",F614="I"),-1,1),"")</f>
        <v>0</v>
      </c>
      <c r="AM614" s="905">
        <f t="shared" si="56"/>
        <v>0</v>
      </c>
      <c r="AN614" s="905">
        <f>INDEX(G614:R614,1,MATCH(Parametres!$B$3,G$1:R$1,0))*IF(OR(F614="L",F614="S",F614="I"),-1,1)</f>
        <v>0</v>
      </c>
      <c r="AO614" s="487" t="str">
        <f>+VLOOKUP($AJ614,Data_Validation!$A:$D,1,0)</f>
        <v>G40900</v>
      </c>
      <c r="AP614" s="487" t="str">
        <f>+VLOOKUP($AJ614,Data_Validation!$A:$D,3,0)</f>
        <v>Véhicules neufs</v>
      </c>
      <c r="AQ614" s="487" t="str">
        <f>+VLOOKUP($AJ614,Data_Validation!$A:$D,4,0)</f>
        <v>Autos détail</v>
      </c>
      <c r="AR614" s="487" t="s">
        <v>299</v>
      </c>
      <c r="AS614" s="487" t="str">
        <f>+VLOOKUP($AJ614,Data_Validation!$A:$E,5,0)</f>
        <v>Oui</v>
      </c>
      <c r="AT614" s="904" t="str">
        <f t="shared" si="57"/>
        <v>G40900</v>
      </c>
      <c r="AU614" s="488" t="str">
        <f t="shared" si="58"/>
        <v>VTES-COBALT</v>
      </c>
      <c r="AV614" s="899">
        <f>IFERROR(INDEX(V614:AG614,1,MATCH(Parametres!$B$3,V$1:AG$1,0)-1)*IF(OR(C614="L",C614="S",C614="I"),-1,1),"")</f>
        <v>0</v>
      </c>
      <c r="AW614" s="899">
        <f t="shared" si="59"/>
        <v>0</v>
      </c>
      <c r="AX614" s="899">
        <f>INDEX(V614:AG614,1,MATCH(Parametres!$B$3,V$1:AG$1,0))*IF(OR(C614="L",C614="S",C614="I"),-1,1)</f>
        <v>0</v>
      </c>
      <c r="AY614" s="487" t="s">
        <v>337</v>
      </c>
      <c r="AZ614" s="487" t="str">
        <f>+VLOOKUP($AJ614,Data_Validation!$A:$E,5,0)</f>
        <v>Oui</v>
      </c>
    </row>
    <row r="615" spans="1:52" ht="15" customHeight="1">
      <c r="A615" s="706" t="s">
        <v>1148</v>
      </c>
      <c r="B615" s="706">
        <v>2026</v>
      </c>
      <c r="C615" s="706" t="s">
        <v>2266</v>
      </c>
      <c r="D615" s="706" t="s">
        <v>2267</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G40920</v>
      </c>
      <c r="AK615" s="905" t="str">
        <f t="shared" si="61"/>
        <v>VTES-COBALT          -LOC</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G40920</v>
      </c>
      <c r="AU615" s="488" t="str">
        <f t="shared" si="58"/>
        <v>VTES-COBALT          -LOC</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customHeight="1">
      <c r="A616" s="706" t="s">
        <v>1148</v>
      </c>
      <c r="B616" s="706">
        <v>2026</v>
      </c>
      <c r="C616" s="706" t="s">
        <v>2268</v>
      </c>
      <c r="D616" s="706" t="s">
        <v>2269</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G41000</v>
      </c>
      <c r="AK616" s="905" t="str">
        <f t="shared" si="61"/>
        <v>VENTES CAMARO</v>
      </c>
      <c r="AL616" s="905">
        <f>IFERROR(INDEX(G616:R616,1,MATCH(Parametres!$B$3,G$1:R$1,0)-1)*IF(OR(F616="L",F616="S",F616="I"),-1,1),"")</f>
        <v>0</v>
      </c>
      <c r="AM616" s="905">
        <f t="shared" si="56"/>
        <v>0</v>
      </c>
      <c r="AN616" s="905">
        <f>INDEX(G616:R616,1,MATCH(Parametres!$B$3,G$1:R$1,0))*IF(OR(F616="L",F616="S",F616="I"),-1,1)</f>
        <v>0</v>
      </c>
      <c r="AO616" s="487" t="str">
        <f>+VLOOKUP($AJ616,Data_Validation!$A:$D,1,0)</f>
        <v>G41000</v>
      </c>
      <c r="AP616" s="487" t="str">
        <f>+VLOOKUP($AJ616,Data_Validation!$A:$D,3,0)</f>
        <v>Véhicules neufs</v>
      </c>
      <c r="AQ616" s="487" t="str">
        <f>+VLOOKUP($AJ616,Data_Validation!$A:$D,4,0)</f>
        <v>Autos détail</v>
      </c>
      <c r="AR616" s="487" t="s">
        <v>299</v>
      </c>
      <c r="AS616" s="487" t="str">
        <f>+VLOOKUP($AJ616,Data_Validation!$A:$E,5,0)</f>
        <v>Oui</v>
      </c>
      <c r="AT616" s="904" t="str">
        <f t="shared" si="57"/>
        <v>G41000</v>
      </c>
      <c r="AU616" s="488" t="str">
        <f t="shared" si="58"/>
        <v>VENTES CAMARO</v>
      </c>
      <c r="AV616" s="899">
        <f>IFERROR(INDEX(V616:AG616,1,MATCH(Parametres!$B$3,V$1:AG$1,0)-1)*IF(OR(C616="L",C616="S",C616="I"),-1,1),"")</f>
        <v>0</v>
      </c>
      <c r="AW616" s="899">
        <f t="shared" si="59"/>
        <v>0</v>
      </c>
      <c r="AX616" s="899">
        <f>INDEX(V616:AG616,1,MATCH(Parametres!$B$3,V$1:AG$1,0))*IF(OR(C616="L",C616="S",C616="I"),-1,1)</f>
        <v>0</v>
      </c>
      <c r="AY616" s="487" t="s">
        <v>337</v>
      </c>
      <c r="AZ616" s="487" t="str">
        <f>+VLOOKUP($AJ616,Data_Validation!$A:$E,5,0)</f>
        <v>Oui</v>
      </c>
    </row>
    <row r="617" spans="1:52" ht="15" customHeight="1">
      <c r="A617" s="706" t="s">
        <v>1148</v>
      </c>
      <c r="B617" s="706">
        <v>2026</v>
      </c>
      <c r="C617" s="706" t="s">
        <v>2270</v>
      </c>
      <c r="D617" s="706" t="s">
        <v>2271</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G41100</v>
      </c>
      <c r="AK617" s="905" t="str">
        <f t="shared" si="61"/>
        <v>VENTES CRUZE</v>
      </c>
      <c r="AL617" s="905">
        <f>IFERROR(INDEX(G617:R617,1,MATCH(Parametres!$B$3,G$1:R$1,0)-1)*IF(OR(F617="L",F617="S",F617="I"),-1,1),"")</f>
        <v>0</v>
      </c>
      <c r="AM617" s="905">
        <f t="shared" si="56"/>
        <v>0</v>
      </c>
      <c r="AN617" s="905">
        <f>INDEX(G617:R617,1,MATCH(Parametres!$B$3,G$1:R$1,0))*IF(OR(F617="L",F617="S",F617="I"),-1,1)</f>
        <v>0</v>
      </c>
      <c r="AO617" s="487" t="str">
        <f>+VLOOKUP($AJ617,Data_Validation!$A:$D,1,0)</f>
        <v>G41100</v>
      </c>
      <c r="AP617" s="487" t="str">
        <f>+VLOOKUP($AJ617,Data_Validation!$A:$D,3,0)</f>
        <v>Véhicules neufs</v>
      </c>
      <c r="AQ617" s="487" t="str">
        <f>+VLOOKUP($AJ617,Data_Validation!$A:$D,4,0)</f>
        <v>Autos détail</v>
      </c>
      <c r="AR617" s="487" t="s">
        <v>299</v>
      </c>
      <c r="AS617" s="487" t="str">
        <f>+VLOOKUP($AJ617,Data_Validation!$A:$E,5,0)</f>
        <v>Oui</v>
      </c>
      <c r="AT617" s="904" t="str">
        <f t="shared" si="57"/>
        <v>G41100</v>
      </c>
      <c r="AU617" s="488" t="str">
        <f t="shared" si="58"/>
        <v>VENTES CRUZE</v>
      </c>
      <c r="AV617" s="899">
        <f>IFERROR(INDEX(V617:AG617,1,MATCH(Parametres!$B$3,V$1:AG$1,0)-1)*IF(OR(C617="L",C617="S",C617="I"),-1,1),"")</f>
        <v>0</v>
      </c>
      <c r="AW617" s="899">
        <f t="shared" si="59"/>
        <v>0</v>
      </c>
      <c r="AX617" s="899">
        <f>INDEX(V617:AG617,1,MATCH(Parametres!$B$3,V$1:AG$1,0))*IF(OR(C617="L",C617="S",C617="I"),-1,1)</f>
        <v>0</v>
      </c>
      <c r="AY617" s="487" t="s">
        <v>337</v>
      </c>
      <c r="AZ617" s="487" t="str">
        <f>+VLOOKUP($AJ617,Data_Validation!$A:$E,5,0)</f>
        <v>Oui</v>
      </c>
    </row>
    <row r="618" spans="1:52" ht="15" customHeight="1">
      <c r="A618" s="706" t="s">
        <v>1148</v>
      </c>
      <c r="B618" s="706">
        <v>2026</v>
      </c>
      <c r="C618" s="706" t="s">
        <v>2272</v>
      </c>
      <c r="D618" s="706" t="s">
        <v>2273</v>
      </c>
      <c r="E618" s="706" t="s">
        <v>333</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G41600</v>
      </c>
      <c r="AK618" s="905" t="str">
        <f t="shared" si="61"/>
        <v>*PROGRAMME GENERAL MOTORS</v>
      </c>
      <c r="AL618" s="905">
        <f>IFERROR(INDEX(G618:R618,1,MATCH(Parametres!$B$3,G$1:R$1,0)-1)*IF(OR(F618="L",F618="S",F618="I"),-1,1),"")</f>
        <v>0</v>
      </c>
      <c r="AM618" s="1047">
        <f t="shared" si="56"/>
        <v>0</v>
      </c>
      <c r="AN618" s="905">
        <f>INDEX(G618:R618,1,MATCH(Parametres!$B$3,G$1:R$1,0))*IF(OR(F618="L",F618="S",F618="I"),-1,1)</f>
        <v>0</v>
      </c>
      <c r="AO618" s="487" t="str">
        <f>+VLOOKUP($AJ618,Data_Validation!$A:$D,1,0)</f>
        <v>G41600</v>
      </c>
      <c r="AP618" s="487">
        <f>+VLOOKUP($AJ618,Data_Validation!$A:$D,3,0)</f>
        <v>0</v>
      </c>
      <c r="AQ618" s="487">
        <f>+VLOOKUP($AJ618,Data_Validation!$A:$D,4,0)</f>
        <v>0</v>
      </c>
      <c r="AR618" s="487" t="s">
        <v>299</v>
      </c>
      <c r="AS618" s="487">
        <f>+VLOOKUP($AJ618,Data_Validation!$A:$E,5,0)</f>
        <v>0</v>
      </c>
      <c r="AT618" s="904" t="str">
        <f t="shared" si="57"/>
        <v>G41600</v>
      </c>
      <c r="AU618" s="488" t="str">
        <f t="shared" si="58"/>
        <v>*PROGRAMME GENERAL MOTORS</v>
      </c>
      <c r="AV618" s="899">
        <f>IFERROR(INDEX(V618:AG618,1,MATCH(Parametres!$B$3,V$1:AG$1,0)-1)*IF(OR(C618="L",C618="S",C618="I"),-1,1),"")</f>
        <v>0</v>
      </c>
      <c r="AW618" s="899">
        <f t="shared" si="59"/>
        <v>0</v>
      </c>
      <c r="AX618" s="899">
        <f>INDEX(V618:AG618,1,MATCH(Parametres!$B$3,V$1:AG$1,0))*IF(OR(C618="L",C618="S",C618="I"),-1,1)</f>
        <v>0</v>
      </c>
      <c r="AY618" s="487" t="s">
        <v>337</v>
      </c>
      <c r="AZ618" s="487">
        <f>+VLOOKUP($AJ618,Data_Validation!$A:$E,5,0)</f>
        <v>0</v>
      </c>
    </row>
    <row r="619" spans="1:52" ht="15" customHeight="1">
      <c r="A619" s="706" t="s">
        <v>1148</v>
      </c>
      <c r="B619" s="706">
        <v>2026</v>
      </c>
      <c r="C619" s="706" t="s">
        <v>2274</v>
      </c>
      <c r="D619" s="706" t="s">
        <v>2275</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G41700</v>
      </c>
      <c r="AK619" s="905" t="str">
        <f t="shared" si="61"/>
        <v>VTES-CHEV AUTOS AUTRES</v>
      </c>
      <c r="AL619" s="905">
        <f>IFERROR(INDEX(G619:R619,1,MATCH(Parametres!$B$3,G$1:R$1,0)-1)*IF(OR(F619="L",F619="S",F619="I"),-1,1),"")</f>
        <v>0</v>
      </c>
      <c r="AM619" s="905">
        <f t="shared" si="56"/>
        <v>0</v>
      </c>
      <c r="AN619" s="905">
        <f>INDEX(G619:R619,1,MATCH(Parametres!$B$3,G$1:R$1,0))*IF(OR(F619="L",F619="S",F619="I"),-1,1)</f>
        <v>0</v>
      </c>
      <c r="AO619" s="487" t="e">
        <f>+VLOOKUP($AJ619,Data_Validation!$A:$D,1,0)</f>
        <v>#N/A</v>
      </c>
      <c r="AP619" s="487" t="e">
        <f>+VLOOKUP($AJ619,Data_Validation!$A:$D,3,0)</f>
        <v>#N/A</v>
      </c>
      <c r="AQ619" s="487" t="e">
        <f>+VLOOKUP($AJ619,Data_Validation!$A:$D,4,0)</f>
        <v>#N/A</v>
      </c>
      <c r="AR619" s="487" t="s">
        <v>299</v>
      </c>
      <c r="AS619" s="487" t="e">
        <f>+VLOOKUP($AJ619,Data_Validation!$A:$E,5,0)</f>
        <v>#N/A</v>
      </c>
      <c r="AT619" s="904" t="str">
        <f t="shared" si="57"/>
        <v>G41700</v>
      </c>
      <c r="AU619" s="488" t="str">
        <f t="shared" si="58"/>
        <v>VTES-CHEV AUTOS AUTRES</v>
      </c>
      <c r="AV619" s="899">
        <f>IFERROR(INDEX(V619:AG619,1,MATCH(Parametres!$B$3,V$1:AG$1,0)-1)*IF(OR(C619="L",C619="S",C619="I"),-1,1),"")</f>
        <v>0</v>
      </c>
      <c r="AW619" s="899">
        <f t="shared" si="59"/>
        <v>0</v>
      </c>
      <c r="AX619" s="899">
        <f>INDEX(V619:AG619,1,MATCH(Parametres!$B$3,V$1:AG$1,0))*IF(OR(C619="L",C619="S",C619="I"),-1,1)</f>
        <v>0</v>
      </c>
      <c r="AY619" s="487" t="s">
        <v>337</v>
      </c>
      <c r="AZ619" s="487" t="e">
        <f>+VLOOKUP($AJ619,Data_Validation!$A:$E,5,0)</f>
        <v>#N/A</v>
      </c>
    </row>
    <row r="620" spans="1:52" ht="15" customHeight="1">
      <c r="A620" s="706" t="s">
        <v>1148</v>
      </c>
      <c r="B620" s="706">
        <v>2026</v>
      </c>
      <c r="C620" s="706" t="s">
        <v>2276</v>
      </c>
      <c r="D620" s="706" t="s">
        <v>2277</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G41720</v>
      </c>
      <c r="AK620" s="905" t="str">
        <f t="shared" si="61"/>
        <v>VTES-CHEV AUTOS AUTRE-LOC</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G41720</v>
      </c>
      <c r="AU620" s="488" t="str">
        <f t="shared" si="58"/>
        <v>VTES-CHEV AUTOS AUTRE-LOC</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customHeight="1">
      <c r="A621" s="706" t="s">
        <v>1148</v>
      </c>
      <c r="B621" s="706">
        <v>2026</v>
      </c>
      <c r="C621" s="706" t="s">
        <v>2278</v>
      </c>
      <c r="D621" s="706" t="s">
        <v>2279</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20</v>
      </c>
      <c r="W621" s="706">
        <v>54</v>
      </c>
      <c r="X621" s="706">
        <v>104</v>
      </c>
      <c r="Y621" s="706">
        <v>159</v>
      </c>
      <c r="Z621" s="706">
        <v>186</v>
      </c>
      <c r="AA621" s="706">
        <v>230</v>
      </c>
      <c r="AB621" s="706">
        <v>272</v>
      </c>
      <c r="AC621" s="706">
        <v>320</v>
      </c>
      <c r="AD621" s="706">
        <v>341</v>
      </c>
      <c r="AE621" s="706">
        <v>0</v>
      </c>
      <c r="AF621" s="706">
        <v>0</v>
      </c>
      <c r="AG621" s="706">
        <v>0</v>
      </c>
      <c r="AH621" s="706">
        <v>40</v>
      </c>
      <c r="AI621" s="706">
        <v>40</v>
      </c>
      <c r="AJ621" s="905" t="str">
        <f t="shared" si="60"/>
        <v>G41799</v>
      </c>
      <c r="AK621" s="905" t="str">
        <f t="shared" si="61"/>
        <v>VTES-ECHANGE CONCESSIONN.</v>
      </c>
      <c r="AL621" s="905">
        <f>IFERROR(INDEX(G621:R621,1,MATCH(Parametres!$B$3,G$1:R$1,0)-1)*IF(OR(F621="L",F621="S",F621="I"),-1,1),"")</f>
        <v>0</v>
      </c>
      <c r="AM621" s="1047">
        <f t="shared" si="56"/>
        <v>0</v>
      </c>
      <c r="AN621" s="905">
        <f>INDEX(G621:R621,1,MATCH(Parametres!$B$3,G$1:R$1,0))*IF(OR(F621="L",F621="S",F621="I"),-1,1)</f>
        <v>0</v>
      </c>
      <c r="AO621" s="487" t="str">
        <f>+VLOOKUP($AJ621,Data_Validation!$A:$D,1,0)</f>
        <v>G41799</v>
      </c>
      <c r="AP621" s="487">
        <f>+VLOOKUP($AJ621,Data_Validation!$A:$D,3,0)</f>
        <v>0</v>
      </c>
      <c r="AQ621" s="487">
        <f>+VLOOKUP($AJ621,Data_Validation!$A:$D,4,0)</f>
        <v>0</v>
      </c>
      <c r="AR621" s="487" t="s">
        <v>299</v>
      </c>
      <c r="AS621" s="487">
        <f>+VLOOKUP($AJ621,Data_Validation!$A:$E,5,0)</f>
        <v>0</v>
      </c>
      <c r="AT621" s="904" t="str">
        <f t="shared" si="57"/>
        <v>G41799</v>
      </c>
      <c r="AU621" s="488" t="str">
        <f t="shared" si="58"/>
        <v>VTES-ECHANGE CONCESSIONN.</v>
      </c>
      <c r="AV621" s="899">
        <f>IFERROR(INDEX(V621:AG621,1,MATCH(Parametres!$B$3,V$1:AG$1,0)-1)*IF(OR(C621="L",C621="S",C621="I"),-1,1),"")</f>
        <v>272</v>
      </c>
      <c r="AW621" s="899">
        <f t="shared" si="59"/>
        <v>48</v>
      </c>
      <c r="AX621" s="899">
        <f>INDEX(V621:AG621,1,MATCH(Parametres!$B$3,V$1:AG$1,0))*IF(OR(C621="L",C621="S",C621="I"),-1,1)</f>
        <v>320</v>
      </c>
      <c r="AY621" s="487" t="s">
        <v>337</v>
      </c>
      <c r="AZ621" s="487">
        <f>+VLOOKUP($AJ621,Data_Validation!$A:$E,5,0)</f>
        <v>0</v>
      </c>
    </row>
    <row r="622" spans="1:52" ht="15" customHeight="1">
      <c r="A622" s="706" t="s">
        <v>1148</v>
      </c>
      <c r="B622" s="706">
        <v>2026</v>
      </c>
      <c r="C622" s="706" t="s">
        <v>2280</v>
      </c>
      <c r="D622" s="706" t="s">
        <v>2281</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G41800</v>
      </c>
      <c r="AK622" s="905" t="str">
        <f t="shared" si="61"/>
        <v>AUTRES CHEVROLET</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G41800</v>
      </c>
      <c r="AU622" s="488" t="str">
        <f t="shared" si="58"/>
        <v>AUTRES CHEVROLET</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customHeight="1">
      <c r="A623" s="706" t="s">
        <v>1148</v>
      </c>
      <c r="B623" s="706">
        <v>2026</v>
      </c>
      <c r="C623" s="706" t="s">
        <v>2282</v>
      </c>
      <c r="D623" s="706" t="s">
        <v>2283</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G42000</v>
      </c>
      <c r="AK623" s="905" t="str">
        <f t="shared" si="61"/>
        <v>VTES-PARCS VOITURES</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G42000</v>
      </c>
      <c r="AU623" s="488" t="str">
        <f t="shared" si="58"/>
        <v>VTES-PARCS VOITURES</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customHeight="1">
      <c r="A624" s="706" t="s">
        <v>1148</v>
      </c>
      <c r="B624" s="706">
        <v>2026</v>
      </c>
      <c r="C624" s="706" t="s">
        <v>2284</v>
      </c>
      <c r="D624" s="706" t="s">
        <v>2285</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G42100</v>
      </c>
      <c r="AK624" s="905" t="str">
        <f t="shared" si="61"/>
        <v>VTES-VOITURES INTERNE</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G42100</v>
      </c>
      <c r="AU624" s="488" t="str">
        <f t="shared" si="58"/>
        <v>VTES-VOITURES INTERNE</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customHeight="1">
      <c r="A625" s="706" t="s">
        <v>1148</v>
      </c>
      <c r="B625" s="706">
        <v>2026</v>
      </c>
      <c r="C625" s="706" t="s">
        <v>2286</v>
      </c>
      <c r="D625" s="706" t="s">
        <v>2287</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G42300</v>
      </c>
      <c r="AK625" s="905" t="str">
        <f t="shared" si="61"/>
        <v>VTES-VENTURES-UPLAND VAN</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G42300</v>
      </c>
      <c r="AU625" s="488" t="str">
        <f t="shared" si="58"/>
        <v>VTES-VENTURES-UPLAND VAN</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customHeight="1">
      <c r="A626" s="706" t="s">
        <v>1148</v>
      </c>
      <c r="B626" s="706">
        <v>2026</v>
      </c>
      <c r="C626" s="706" t="s">
        <v>2288</v>
      </c>
      <c r="D626" s="706" t="s">
        <v>2289</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G42312</v>
      </c>
      <c r="AK626" s="905" t="str">
        <f t="shared" si="61"/>
        <v>VTES-KODIAK/TOPKICK 4/5</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G42312</v>
      </c>
      <c r="AU626" s="488" t="str">
        <f t="shared" si="58"/>
        <v>VTES-KODIAK/TOPKICK 4/5</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customHeight="1">
      <c r="A627" s="706" t="s">
        <v>1148</v>
      </c>
      <c r="B627" s="706">
        <v>2026</v>
      </c>
      <c r="C627" s="706" t="s">
        <v>2290</v>
      </c>
      <c r="D627" s="706" t="s">
        <v>2291</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G42320</v>
      </c>
      <c r="AK627" s="905" t="str">
        <f t="shared" si="61"/>
        <v>VTES-VENTURE-UPLANDER-LOC</v>
      </c>
      <c r="AL627" s="905">
        <f>IFERROR(INDEX(G627:R627,1,MATCH(Parametres!$B$3,G$1:R$1,0)-1)*IF(OR(F627="L",F627="S",F627="I"),-1,1),"")</f>
        <v>0</v>
      </c>
      <c r="AM627" s="905">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G42320</v>
      </c>
      <c r="AU627" s="488" t="str">
        <f t="shared" si="58"/>
        <v>VTES-VENTURE-UPLANDER-LOC</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customHeight="1">
      <c r="A628" s="706" t="s">
        <v>1148</v>
      </c>
      <c r="B628" s="706">
        <v>2026</v>
      </c>
      <c r="C628" s="706" t="s">
        <v>2292</v>
      </c>
      <c r="D628" s="706" t="s">
        <v>2293</v>
      </c>
      <c r="E628" s="706" t="s">
        <v>1149</v>
      </c>
      <c r="F628" s="706" t="s">
        <v>1149</v>
      </c>
      <c r="G628" s="706">
        <v>93796.43</v>
      </c>
      <c r="H628" s="706">
        <v>93796.43</v>
      </c>
      <c r="I628" s="706">
        <v>93796.43</v>
      </c>
      <c r="J628" s="706">
        <v>240565.64</v>
      </c>
      <c r="K628" s="706">
        <v>330422.31</v>
      </c>
      <c r="L628" s="706">
        <v>330422.31</v>
      </c>
      <c r="M628" s="706">
        <v>469151.31</v>
      </c>
      <c r="N628" s="706">
        <v>573703.9</v>
      </c>
      <c r="O628" s="706">
        <v>573703.9</v>
      </c>
      <c r="P628" s="706">
        <v>0</v>
      </c>
      <c r="Q628" s="706">
        <v>0</v>
      </c>
      <c r="R628" s="706">
        <v>0</v>
      </c>
      <c r="S628" s="706">
        <v>71712.990000000005</v>
      </c>
      <c r="T628" s="706">
        <v>71712.990000000005</v>
      </c>
      <c r="U628" s="706">
        <v>0</v>
      </c>
      <c r="V628" s="706">
        <v>2</v>
      </c>
      <c r="W628" s="706">
        <v>2</v>
      </c>
      <c r="X628" s="706">
        <v>2</v>
      </c>
      <c r="Y628" s="706">
        <v>5</v>
      </c>
      <c r="Z628" s="706">
        <v>7</v>
      </c>
      <c r="AA628" s="706">
        <v>7</v>
      </c>
      <c r="AB628" s="706">
        <v>10</v>
      </c>
      <c r="AC628" s="706">
        <v>12</v>
      </c>
      <c r="AD628" s="706">
        <v>12</v>
      </c>
      <c r="AE628" s="706">
        <v>0</v>
      </c>
      <c r="AF628" s="706">
        <v>0</v>
      </c>
      <c r="AG628" s="706">
        <v>0</v>
      </c>
      <c r="AH628" s="706">
        <v>2</v>
      </c>
      <c r="AI628" s="706">
        <v>2</v>
      </c>
      <c r="AJ628" s="905" t="str">
        <f t="shared" si="60"/>
        <v>G42400</v>
      </c>
      <c r="AK628" s="905" t="str">
        <f t="shared" si="61"/>
        <v>VTES-TERRAIN</v>
      </c>
      <c r="AL628" s="905">
        <f>IFERROR(INDEX(G628:R628,1,MATCH(Parametres!$B$3,G$1:R$1,0)-1)*IF(OR(F628="L",F628="S",F628="I"),-1,1),"")</f>
        <v>-469151.31</v>
      </c>
      <c r="AM628" s="1047">
        <f t="shared" si="56"/>
        <v>-104552.59000000003</v>
      </c>
      <c r="AN628" s="905">
        <f>INDEX(G628:R628,1,MATCH(Parametres!$B$3,G$1:R$1,0))*IF(OR(F628="L",F628="S",F628="I"),-1,1)</f>
        <v>-573703.9</v>
      </c>
      <c r="AO628" s="487" t="str">
        <f>+VLOOKUP($AJ628,Data_Validation!$A:$D,1,0)</f>
        <v>G42400</v>
      </c>
      <c r="AP628" s="487" t="str">
        <f>+VLOOKUP($AJ628,Data_Validation!$A:$D,3,0)</f>
        <v>Véhicules neufs</v>
      </c>
      <c r="AQ628" s="487" t="str">
        <f>+VLOOKUP($AJ628,Data_Validation!$A:$D,4,0)</f>
        <v>Camions détail</v>
      </c>
      <c r="AR628" s="487" t="s">
        <v>299</v>
      </c>
      <c r="AS628" s="487" t="str">
        <f>+VLOOKUP($AJ628,Data_Validation!$A:$E,5,0)</f>
        <v>Oui</v>
      </c>
      <c r="AT628" s="904" t="str">
        <f t="shared" si="57"/>
        <v>G42400</v>
      </c>
      <c r="AU628" s="488" t="str">
        <f t="shared" si="58"/>
        <v>VTES-TERRAIN</v>
      </c>
      <c r="AV628" s="899">
        <f>IFERROR(INDEX(V628:AG628,1,MATCH(Parametres!$B$3,V$1:AG$1,0)-1)*IF(OR(C628="L",C628="S",C628="I"),-1,1),"")</f>
        <v>10</v>
      </c>
      <c r="AW628" s="899">
        <f t="shared" si="59"/>
        <v>2</v>
      </c>
      <c r="AX628" s="899">
        <f>INDEX(V628:AG628,1,MATCH(Parametres!$B$3,V$1:AG$1,0))*IF(OR(C628="L",C628="S",C628="I"),-1,1)</f>
        <v>12</v>
      </c>
      <c r="AY628" s="487" t="s">
        <v>337</v>
      </c>
      <c r="AZ628" s="487" t="str">
        <f>+VLOOKUP($AJ628,Data_Validation!$A:$E,5,0)</f>
        <v>Oui</v>
      </c>
    </row>
    <row r="629" spans="1:52" ht="15" customHeight="1">
      <c r="A629" s="706" t="s">
        <v>1148</v>
      </c>
      <c r="B629" s="706">
        <v>2026</v>
      </c>
      <c r="C629" s="706" t="s">
        <v>2294</v>
      </c>
      <c r="D629" s="706" t="s">
        <v>2295</v>
      </c>
      <c r="E629" s="706" t="s">
        <v>1149</v>
      </c>
      <c r="F629" s="706" t="s">
        <v>1149</v>
      </c>
      <c r="G629" s="706">
        <v>0</v>
      </c>
      <c r="H629" s="706">
        <v>0</v>
      </c>
      <c r="I629" s="706">
        <v>0</v>
      </c>
      <c r="J629" s="706">
        <v>0</v>
      </c>
      <c r="K629" s="706">
        <v>409811.5</v>
      </c>
      <c r="L629" s="706">
        <v>668670.41</v>
      </c>
      <c r="M629" s="706">
        <v>1186449.53</v>
      </c>
      <c r="N629" s="706">
        <v>1792442.06</v>
      </c>
      <c r="O629" s="706">
        <v>2505623.38</v>
      </c>
      <c r="P629" s="706">
        <v>0</v>
      </c>
      <c r="Q629" s="706">
        <v>0</v>
      </c>
      <c r="R629" s="706">
        <v>0</v>
      </c>
      <c r="S629" s="706">
        <v>224055.26</v>
      </c>
      <c r="T629" s="706">
        <v>224055.26</v>
      </c>
      <c r="U629" s="706">
        <v>0</v>
      </c>
      <c r="V629" s="706">
        <v>0</v>
      </c>
      <c r="W629" s="706">
        <v>0</v>
      </c>
      <c r="X629" s="706">
        <v>0</v>
      </c>
      <c r="Y629" s="706">
        <v>0</v>
      </c>
      <c r="Z629" s="706">
        <v>9</v>
      </c>
      <c r="AA629" s="706">
        <v>15</v>
      </c>
      <c r="AB629" s="706">
        <v>27</v>
      </c>
      <c r="AC629" s="706">
        <v>41</v>
      </c>
      <c r="AD629" s="706">
        <v>57</v>
      </c>
      <c r="AE629" s="706">
        <v>0</v>
      </c>
      <c r="AF629" s="706">
        <v>0</v>
      </c>
      <c r="AG629" s="706">
        <v>0</v>
      </c>
      <c r="AH629" s="706">
        <v>5</v>
      </c>
      <c r="AI629" s="706">
        <v>5</v>
      </c>
      <c r="AJ629" s="905" t="str">
        <f t="shared" si="60"/>
        <v>G42401</v>
      </c>
      <c r="AK629" s="905" t="str">
        <f t="shared" si="61"/>
        <v>VENTES - BOLT EUV</v>
      </c>
      <c r="AL629" s="905">
        <f>IFERROR(INDEX(G629:R629,1,MATCH(Parametres!$B$3,G$1:R$1,0)-1)*IF(OR(F629="L",F629="S",F629="I"),-1,1),"")</f>
        <v>-1186449.53</v>
      </c>
      <c r="AM629" s="905">
        <f t="shared" si="56"/>
        <v>-605992.53</v>
      </c>
      <c r="AN629" s="905">
        <f>INDEX(G629:R629,1,MATCH(Parametres!$B$3,G$1:R$1,0))*IF(OR(F629="L",F629="S",F629="I"),-1,1)</f>
        <v>-1792442.06</v>
      </c>
      <c r="AO629" s="487" t="str">
        <f>+VLOOKUP($AJ629,Data_Validation!$A:$D,1,0)</f>
        <v>G42401</v>
      </c>
      <c r="AP629" s="487" t="str">
        <f>+VLOOKUP($AJ629,Data_Validation!$A:$D,3,0)</f>
        <v>Véhicules neufs</v>
      </c>
      <c r="AQ629" s="487" t="str">
        <f>+VLOOKUP($AJ629,Data_Validation!$A:$D,4,0)</f>
        <v>Camions electriques</v>
      </c>
      <c r="AR629" s="487" t="s">
        <v>299</v>
      </c>
      <c r="AS629" s="487" t="str">
        <f>+VLOOKUP($AJ629,Data_Validation!$A:$E,5,0)</f>
        <v>Oui</v>
      </c>
      <c r="AT629" s="904" t="str">
        <f t="shared" si="57"/>
        <v>G42401</v>
      </c>
      <c r="AU629" s="488" t="str">
        <f t="shared" si="58"/>
        <v>VENTES - BOLT EUV</v>
      </c>
      <c r="AV629" s="899">
        <f>IFERROR(INDEX(V629:AG629,1,MATCH(Parametres!$B$3,V$1:AG$1,0)-1)*IF(OR(C629="L",C629="S",C629="I"),-1,1),"")</f>
        <v>27</v>
      </c>
      <c r="AW629" s="899">
        <f t="shared" si="59"/>
        <v>14</v>
      </c>
      <c r="AX629" s="899">
        <f>INDEX(V629:AG629,1,MATCH(Parametres!$B$3,V$1:AG$1,0))*IF(OR(C629="L",C629="S",C629="I"),-1,1)</f>
        <v>41</v>
      </c>
      <c r="AY629" s="487" t="s">
        <v>337</v>
      </c>
      <c r="AZ629" s="487" t="str">
        <f>+VLOOKUP($AJ629,Data_Validation!$A:$E,5,0)</f>
        <v>Oui</v>
      </c>
    </row>
    <row r="630" spans="1:52" ht="15" customHeight="1">
      <c r="A630" s="706" t="s">
        <v>1148</v>
      </c>
      <c r="B630" s="706">
        <v>2026</v>
      </c>
      <c r="C630" s="706" t="s">
        <v>2296</v>
      </c>
      <c r="D630" s="706" t="s">
        <v>2297</v>
      </c>
      <c r="E630" s="706" t="s">
        <v>1149</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905" t="str">
        <f t="shared" si="60"/>
        <v>G42412</v>
      </c>
      <c r="AK630" s="905" t="str">
        <f t="shared" si="61"/>
        <v>VTES-TOPKICK 6/7/8 C</v>
      </c>
      <c r="AL630" s="905">
        <f>IFERROR(INDEX(G630:R630,1,MATCH(Parametres!$B$3,G$1:R$1,0)-1)*IF(OR(F630="L",F630="S",F630="I"),-1,1),"")</f>
        <v>0</v>
      </c>
      <c r="AM630" s="905">
        <f t="shared" si="56"/>
        <v>0</v>
      </c>
      <c r="AN630" s="905">
        <f>INDEX(G630:R630,1,MATCH(Parametres!$B$3,G$1:R$1,0))*IF(OR(F630="L",F630="S",F630="I"),-1,1)</f>
        <v>0</v>
      </c>
      <c r="AO630" s="487" t="e">
        <f>+VLOOKUP($AJ630,Data_Validation!$A:$D,1,0)</f>
        <v>#N/A</v>
      </c>
      <c r="AP630" s="487" t="e">
        <f>+VLOOKUP($AJ630,Data_Validation!$A:$D,3,0)</f>
        <v>#N/A</v>
      </c>
      <c r="AQ630" s="487" t="e">
        <f>+VLOOKUP($AJ630,Data_Validation!$A:$D,4,0)</f>
        <v>#N/A</v>
      </c>
      <c r="AR630" s="487" t="s">
        <v>299</v>
      </c>
      <c r="AS630" s="487" t="e">
        <f>+VLOOKUP($AJ630,Data_Validation!$A:$E,5,0)</f>
        <v>#N/A</v>
      </c>
      <c r="AT630" s="904" t="str">
        <f t="shared" si="57"/>
        <v>G42412</v>
      </c>
      <c r="AU630" s="488" t="str">
        <f t="shared" si="58"/>
        <v>VTES-TOPKICK 6/7/8 C</v>
      </c>
      <c r="AV630" s="899">
        <f>IFERROR(INDEX(V630:AG630,1,MATCH(Parametres!$B$3,V$1:AG$1,0)-1)*IF(OR(C630="L",C630="S",C630="I"),-1,1),"")</f>
        <v>0</v>
      </c>
      <c r="AW630" s="899">
        <f t="shared" si="59"/>
        <v>0</v>
      </c>
      <c r="AX630" s="899">
        <f>INDEX(V630:AG630,1,MATCH(Parametres!$B$3,V$1:AG$1,0))*IF(OR(C630="L",C630="S",C630="I"),-1,1)</f>
        <v>0</v>
      </c>
      <c r="AY630" s="487" t="s">
        <v>337</v>
      </c>
      <c r="AZ630" s="487" t="e">
        <f>+VLOOKUP($AJ630,Data_Validation!$A:$E,5,0)</f>
        <v>#N/A</v>
      </c>
    </row>
    <row r="631" spans="1:52" ht="15" customHeight="1">
      <c r="A631" s="706" t="s">
        <v>1148</v>
      </c>
      <c r="B631" s="706">
        <v>2026</v>
      </c>
      <c r="C631" s="706" t="s">
        <v>2298</v>
      </c>
      <c r="D631" s="706" t="s">
        <v>2299</v>
      </c>
      <c r="E631" s="706" t="s">
        <v>1149</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905" t="str">
        <f t="shared" si="60"/>
        <v>G42500</v>
      </c>
      <c r="AK631" s="905" t="str">
        <f t="shared" si="61"/>
        <v>VTES-G EXPRESS</v>
      </c>
      <c r="AL631" s="905">
        <f>IFERROR(INDEX(G631:R631,1,MATCH(Parametres!$B$3,G$1:R$1,0)-1)*IF(OR(F631="L",F631="S",F631="I"),-1,1),"")</f>
        <v>0</v>
      </c>
      <c r="AM631" s="1047">
        <f t="shared" si="56"/>
        <v>0</v>
      </c>
      <c r="AN631" s="905">
        <f>INDEX(G631:R631,1,MATCH(Parametres!$B$3,G$1:R$1,0))*IF(OR(F631="L",F631="S",F631="I"),-1,1)</f>
        <v>0</v>
      </c>
      <c r="AO631" s="487" t="str">
        <f>+VLOOKUP($AJ631,Data_Validation!$A:$D,1,0)</f>
        <v>G42500</v>
      </c>
      <c r="AP631" s="487" t="str">
        <f>+VLOOKUP($AJ631,Data_Validation!$A:$D,3,0)</f>
        <v>Véhicules neufs</v>
      </c>
      <c r="AQ631" s="487" t="str">
        <f>+VLOOKUP($AJ631,Data_Validation!$A:$D,4,0)</f>
        <v>Camions détail</v>
      </c>
      <c r="AR631" s="487" t="s">
        <v>299</v>
      </c>
      <c r="AS631" s="487" t="str">
        <f>+VLOOKUP($AJ631,Data_Validation!$A:$E,5,0)</f>
        <v>Oui</v>
      </c>
      <c r="AT631" s="904" t="str">
        <f t="shared" si="57"/>
        <v>G42500</v>
      </c>
      <c r="AU631" s="488" t="str">
        <f t="shared" si="58"/>
        <v>VTES-G EXPRESS</v>
      </c>
      <c r="AV631" s="899">
        <f>IFERROR(INDEX(V631:AG631,1,MATCH(Parametres!$B$3,V$1:AG$1,0)-1)*IF(OR(C631="L",C631="S",C631="I"),-1,1),"")</f>
        <v>0</v>
      </c>
      <c r="AW631" s="899">
        <f t="shared" si="59"/>
        <v>0</v>
      </c>
      <c r="AX631" s="899">
        <f>INDEX(V631:AG631,1,MATCH(Parametres!$B$3,V$1:AG$1,0))*IF(OR(C631="L",C631="S",C631="I"),-1,1)</f>
        <v>0</v>
      </c>
      <c r="AY631" s="487" t="s">
        <v>337</v>
      </c>
      <c r="AZ631" s="487" t="str">
        <f>+VLOOKUP($AJ631,Data_Validation!$A:$E,5,0)</f>
        <v>Oui</v>
      </c>
    </row>
    <row r="632" spans="1:52" ht="15" customHeight="1">
      <c r="A632" s="706" t="s">
        <v>1148</v>
      </c>
      <c r="B632" s="706">
        <v>2026</v>
      </c>
      <c r="C632" s="706" t="s">
        <v>2300</v>
      </c>
      <c r="D632" s="706" t="s">
        <v>2301</v>
      </c>
      <c r="E632" s="706" t="s">
        <v>1149</v>
      </c>
      <c r="F632" s="706" t="s">
        <v>1149</v>
      </c>
      <c r="G632" s="706">
        <v>0</v>
      </c>
      <c r="H632" s="706">
        <v>0</v>
      </c>
      <c r="I632" s="706">
        <v>0</v>
      </c>
      <c r="J632" s="706">
        <v>0</v>
      </c>
      <c r="K632" s="706">
        <v>50150</v>
      </c>
      <c r="L632" s="706">
        <v>50150</v>
      </c>
      <c r="M632" s="706">
        <v>50150</v>
      </c>
      <c r="N632" s="706">
        <v>50150</v>
      </c>
      <c r="O632" s="706">
        <v>50150</v>
      </c>
      <c r="P632" s="706">
        <v>0</v>
      </c>
      <c r="Q632" s="706">
        <v>0</v>
      </c>
      <c r="R632" s="706">
        <v>0</v>
      </c>
      <c r="S632" s="706">
        <v>6268.75</v>
      </c>
      <c r="T632" s="706">
        <v>6268.75</v>
      </c>
      <c r="U632" s="706">
        <v>0</v>
      </c>
      <c r="V632" s="706">
        <v>0</v>
      </c>
      <c r="W632" s="706">
        <v>0</v>
      </c>
      <c r="X632" s="706">
        <v>0</v>
      </c>
      <c r="Y632" s="706">
        <v>0</v>
      </c>
      <c r="Z632" s="706">
        <v>1</v>
      </c>
      <c r="AA632" s="706">
        <v>1</v>
      </c>
      <c r="AB632" s="706">
        <v>1</v>
      </c>
      <c r="AC632" s="706">
        <v>1</v>
      </c>
      <c r="AD632" s="706">
        <v>1</v>
      </c>
      <c r="AE632" s="706">
        <v>0</v>
      </c>
      <c r="AF632" s="706">
        <v>0</v>
      </c>
      <c r="AG632" s="706">
        <v>0</v>
      </c>
      <c r="AH632" s="706">
        <v>0</v>
      </c>
      <c r="AI632" s="706">
        <v>0</v>
      </c>
      <c r="AJ632" s="905" t="str">
        <f t="shared" si="60"/>
        <v>G42502</v>
      </c>
      <c r="AK632" s="905" t="str">
        <f t="shared" si="61"/>
        <v>VENTES SAVANA</v>
      </c>
      <c r="AL632" s="905">
        <f>IFERROR(INDEX(G632:R632,1,MATCH(Parametres!$B$3,G$1:R$1,0)-1)*IF(OR(F632="L",F632="S",F632="I"),-1,1),"")</f>
        <v>-50150</v>
      </c>
      <c r="AM632" s="905">
        <f t="shared" si="56"/>
        <v>0</v>
      </c>
      <c r="AN632" s="905">
        <f>INDEX(G632:R632,1,MATCH(Parametres!$B$3,G$1:R$1,0))*IF(OR(F632="L",F632="S",F632="I"),-1,1)</f>
        <v>-50150</v>
      </c>
      <c r="AO632" s="487" t="str">
        <f>+VLOOKUP($AJ632,Data_Validation!$A:$D,1,0)</f>
        <v>G42502</v>
      </c>
      <c r="AP632" s="487" t="str">
        <f>+VLOOKUP($AJ632,Data_Validation!$A:$D,3,0)</f>
        <v>Véhicules neufs</v>
      </c>
      <c r="AQ632" s="487" t="str">
        <f>+VLOOKUP($AJ632,Data_Validation!$A:$D,4,0)</f>
        <v>Camions electriques</v>
      </c>
      <c r="AR632" s="487" t="s">
        <v>299</v>
      </c>
      <c r="AS632" s="487" t="str">
        <f>+VLOOKUP($AJ632,Data_Validation!$A:$E,5,0)</f>
        <v>Oui</v>
      </c>
      <c r="AT632" s="904" t="str">
        <f t="shared" si="57"/>
        <v>G42502</v>
      </c>
      <c r="AU632" s="488" t="str">
        <f t="shared" si="58"/>
        <v>VENTES SAVANA</v>
      </c>
      <c r="AV632" s="899">
        <f>IFERROR(INDEX(V632:AG632,1,MATCH(Parametres!$B$3,V$1:AG$1,0)-1)*IF(OR(C632="L",C632="S",C632="I"),-1,1),"")</f>
        <v>1</v>
      </c>
      <c r="AW632" s="899">
        <f t="shared" si="59"/>
        <v>0</v>
      </c>
      <c r="AX632" s="899">
        <f>INDEX(V632:AG632,1,MATCH(Parametres!$B$3,V$1:AG$1,0))*IF(OR(C632="L",C632="S",C632="I"),-1,1)</f>
        <v>1</v>
      </c>
      <c r="AY632" s="487" t="s">
        <v>337</v>
      </c>
      <c r="AZ632" s="487" t="str">
        <f>+VLOOKUP($AJ632,Data_Validation!$A:$E,5,0)</f>
        <v>Oui</v>
      </c>
    </row>
    <row r="633" spans="1:52" ht="15" customHeight="1">
      <c r="A633" s="706" t="s">
        <v>1148</v>
      </c>
      <c r="B633" s="706">
        <v>2026</v>
      </c>
      <c r="C633" s="706" t="s">
        <v>2302</v>
      </c>
      <c r="D633" s="706" t="s">
        <v>2303</v>
      </c>
      <c r="E633" s="706" t="s">
        <v>1149</v>
      </c>
      <c r="F633" s="706" t="s">
        <v>1149</v>
      </c>
      <c r="G633" s="706">
        <v>0</v>
      </c>
      <c r="H633" s="706">
        <v>0</v>
      </c>
      <c r="I633" s="706">
        <v>0</v>
      </c>
      <c r="J633" s="706">
        <v>0</v>
      </c>
      <c r="K633" s="706">
        <v>0</v>
      </c>
      <c r="L633" s="706">
        <v>0</v>
      </c>
      <c r="M633" s="706">
        <v>0</v>
      </c>
      <c r="N633" s="706">
        <v>0</v>
      </c>
      <c r="O633" s="706">
        <v>0</v>
      </c>
      <c r="P633" s="706">
        <v>0</v>
      </c>
      <c r="Q633" s="706">
        <v>0</v>
      </c>
      <c r="R633" s="706">
        <v>0</v>
      </c>
      <c r="S633" s="706">
        <v>0</v>
      </c>
      <c r="T633" s="706">
        <v>0</v>
      </c>
      <c r="U633" s="706">
        <v>0</v>
      </c>
      <c r="V633" s="706">
        <v>0</v>
      </c>
      <c r="W633" s="706">
        <v>0</v>
      </c>
      <c r="X633" s="706">
        <v>0</v>
      </c>
      <c r="Y633" s="706">
        <v>0</v>
      </c>
      <c r="Z633" s="706">
        <v>0</v>
      </c>
      <c r="AA633" s="706">
        <v>0</v>
      </c>
      <c r="AB633" s="706">
        <v>0</v>
      </c>
      <c r="AC633" s="706">
        <v>0</v>
      </c>
      <c r="AD633" s="706">
        <v>0</v>
      </c>
      <c r="AE633" s="706">
        <v>0</v>
      </c>
      <c r="AF633" s="706">
        <v>0</v>
      </c>
      <c r="AG633" s="706">
        <v>0</v>
      </c>
      <c r="AH633" s="706">
        <v>0</v>
      </c>
      <c r="AI633" s="706">
        <v>0</v>
      </c>
      <c r="AJ633" s="905" t="str">
        <f t="shared" si="60"/>
        <v>G42512</v>
      </c>
      <c r="AK633" s="905" t="str">
        <f t="shared" si="61"/>
        <v>VTES-TOPKICK 6/7/8 T</v>
      </c>
      <c r="AL633" s="905">
        <f>IFERROR(INDEX(G633:R633,1,MATCH(Parametres!$B$3,G$1:R$1,0)-1)*IF(OR(F633="L",F633="S",F633="I"),-1,1),"")</f>
        <v>0</v>
      </c>
      <c r="AM633" s="905">
        <f t="shared" si="56"/>
        <v>0</v>
      </c>
      <c r="AN633" s="905">
        <f>INDEX(G633:R633,1,MATCH(Parametres!$B$3,G$1:R$1,0))*IF(OR(F633="L",F633="S",F633="I"),-1,1)</f>
        <v>0</v>
      </c>
      <c r="AO633" s="487" t="e">
        <f>+VLOOKUP($AJ633,Data_Validation!$A:$D,1,0)</f>
        <v>#N/A</v>
      </c>
      <c r="AP633" s="487" t="e">
        <f>+VLOOKUP($AJ633,Data_Validation!$A:$D,3,0)</f>
        <v>#N/A</v>
      </c>
      <c r="AQ633" s="487" t="e">
        <f>+VLOOKUP($AJ633,Data_Validation!$A:$D,4,0)</f>
        <v>#N/A</v>
      </c>
      <c r="AR633" s="487" t="s">
        <v>299</v>
      </c>
      <c r="AS633" s="487" t="e">
        <f>+VLOOKUP($AJ633,Data_Validation!$A:$E,5,0)</f>
        <v>#N/A</v>
      </c>
      <c r="AT633" s="904" t="str">
        <f t="shared" si="57"/>
        <v>G42512</v>
      </c>
      <c r="AU633" s="488" t="str">
        <f t="shared" si="58"/>
        <v>VTES-TOPKICK 6/7/8 T</v>
      </c>
      <c r="AV633" s="899">
        <f>IFERROR(INDEX(V633:AG633,1,MATCH(Parametres!$B$3,V$1:AG$1,0)-1)*IF(OR(C633="L",C633="S",C633="I"),-1,1),"")</f>
        <v>0</v>
      </c>
      <c r="AW633" s="899">
        <f t="shared" si="59"/>
        <v>0</v>
      </c>
      <c r="AX633" s="899">
        <f>INDEX(V633:AG633,1,MATCH(Parametres!$B$3,V$1:AG$1,0))*IF(OR(C633="L",C633="S",C633="I"),-1,1)</f>
        <v>0</v>
      </c>
      <c r="AY633" s="487" t="s">
        <v>337</v>
      </c>
      <c r="AZ633" s="487" t="e">
        <f>+VLOOKUP($AJ633,Data_Validation!$A:$E,5,0)</f>
        <v>#N/A</v>
      </c>
    </row>
    <row r="634" spans="1:52" ht="15" customHeight="1">
      <c r="A634" s="706" t="s">
        <v>1148</v>
      </c>
      <c r="B634" s="706">
        <v>2026</v>
      </c>
      <c r="C634" s="706" t="s">
        <v>2304</v>
      </c>
      <c r="D634" s="706" t="s">
        <v>2305</v>
      </c>
      <c r="E634" s="706" t="s">
        <v>1149</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0</v>
      </c>
      <c r="AC634" s="706">
        <v>0</v>
      </c>
      <c r="AD634" s="706">
        <v>0</v>
      </c>
      <c r="AE634" s="706">
        <v>0</v>
      </c>
      <c r="AF634" s="706">
        <v>0</v>
      </c>
      <c r="AG634" s="706">
        <v>0</v>
      </c>
      <c r="AH634" s="706">
        <v>0</v>
      </c>
      <c r="AI634" s="706">
        <v>0</v>
      </c>
      <c r="AJ634" s="905" t="str">
        <f t="shared" si="60"/>
        <v>G42520</v>
      </c>
      <c r="AK634" s="905" t="str">
        <f t="shared" si="61"/>
        <v>VTES-G EXPRESS       -LOC</v>
      </c>
      <c r="AL634" s="905">
        <f>IFERROR(INDEX(G634:R634,1,MATCH(Parametres!$B$3,G$1:R$1,0)-1)*IF(OR(F634="L",F634="S",F634="I"),-1,1),"")</f>
        <v>0</v>
      </c>
      <c r="AM634" s="905">
        <f t="shared" si="56"/>
        <v>0</v>
      </c>
      <c r="AN634" s="905">
        <f>INDEX(G634:R634,1,MATCH(Parametres!$B$3,G$1:R$1,0))*IF(OR(F634="L",F634="S",F634="I"),-1,1)</f>
        <v>0</v>
      </c>
      <c r="AO634" s="487" t="e">
        <f>+VLOOKUP($AJ634,Data_Validation!$A:$D,1,0)</f>
        <v>#N/A</v>
      </c>
      <c r="AP634" s="487" t="e">
        <f>+VLOOKUP($AJ634,Data_Validation!$A:$D,3,0)</f>
        <v>#N/A</v>
      </c>
      <c r="AQ634" s="487" t="e">
        <f>+VLOOKUP($AJ634,Data_Validation!$A:$D,4,0)</f>
        <v>#N/A</v>
      </c>
      <c r="AR634" s="487" t="s">
        <v>299</v>
      </c>
      <c r="AS634" s="487" t="e">
        <f>+VLOOKUP($AJ634,Data_Validation!$A:$E,5,0)</f>
        <v>#N/A</v>
      </c>
      <c r="AT634" s="904" t="str">
        <f t="shared" si="57"/>
        <v>G42520</v>
      </c>
      <c r="AU634" s="488" t="str">
        <f t="shared" si="58"/>
        <v>VTES-G EXPRESS       -LOC</v>
      </c>
      <c r="AV634" s="899">
        <f>IFERROR(INDEX(V634:AG634,1,MATCH(Parametres!$B$3,V$1:AG$1,0)-1)*IF(OR(C634="L",C634="S",C634="I"),-1,1),"")</f>
        <v>0</v>
      </c>
      <c r="AW634" s="899">
        <f t="shared" si="59"/>
        <v>0</v>
      </c>
      <c r="AX634" s="899">
        <f>INDEX(V634:AG634,1,MATCH(Parametres!$B$3,V$1:AG$1,0))*IF(OR(C634="L",C634="S",C634="I"),-1,1)</f>
        <v>0</v>
      </c>
      <c r="AY634" s="487" t="s">
        <v>337</v>
      </c>
      <c r="AZ634" s="487" t="e">
        <f>+VLOOKUP($AJ634,Data_Validation!$A:$E,5,0)</f>
        <v>#N/A</v>
      </c>
    </row>
    <row r="635" spans="1:52" ht="15" customHeight="1">
      <c r="A635" s="706" t="s">
        <v>1148</v>
      </c>
      <c r="B635" s="706">
        <v>2026</v>
      </c>
      <c r="C635" s="706" t="s">
        <v>2306</v>
      </c>
      <c r="D635" s="706" t="s">
        <v>2307</v>
      </c>
      <c r="E635" s="706" t="s">
        <v>1149</v>
      </c>
      <c r="F635" s="706" t="s">
        <v>1149</v>
      </c>
      <c r="G635" s="706">
        <v>0</v>
      </c>
      <c r="H635" s="706">
        <v>133245.68</v>
      </c>
      <c r="I635" s="706">
        <v>133245.68</v>
      </c>
      <c r="J635" s="706">
        <v>190253.68</v>
      </c>
      <c r="K635" s="706">
        <v>249977.68</v>
      </c>
      <c r="L635" s="706">
        <v>306489.21000000002</v>
      </c>
      <c r="M635" s="706">
        <v>419411.99</v>
      </c>
      <c r="N635" s="706">
        <v>537227.49</v>
      </c>
      <c r="O635" s="706">
        <v>537227.49</v>
      </c>
      <c r="P635" s="706">
        <v>0</v>
      </c>
      <c r="Q635" s="706">
        <v>0</v>
      </c>
      <c r="R635" s="706">
        <v>0</v>
      </c>
      <c r="S635" s="706">
        <v>67153.440000000002</v>
      </c>
      <c r="T635" s="706">
        <v>67153.440000000002</v>
      </c>
      <c r="U635" s="706">
        <v>0</v>
      </c>
      <c r="V635" s="706">
        <v>0</v>
      </c>
      <c r="W635" s="706">
        <v>2</v>
      </c>
      <c r="X635" s="706">
        <v>2</v>
      </c>
      <c r="Y635" s="706">
        <v>3</v>
      </c>
      <c r="Z635" s="706">
        <v>4</v>
      </c>
      <c r="AA635" s="706">
        <v>5</v>
      </c>
      <c r="AB635" s="706">
        <v>7</v>
      </c>
      <c r="AC635" s="706">
        <v>9</v>
      </c>
      <c r="AD635" s="706">
        <v>9</v>
      </c>
      <c r="AE635" s="706">
        <v>0</v>
      </c>
      <c r="AF635" s="706">
        <v>0</v>
      </c>
      <c r="AG635" s="706">
        <v>0</v>
      </c>
      <c r="AH635" s="706">
        <v>1</v>
      </c>
      <c r="AI635" s="706">
        <v>1</v>
      </c>
      <c r="AJ635" s="905" t="str">
        <f t="shared" si="60"/>
        <v>G42600</v>
      </c>
      <c r="AK635" s="905" t="str">
        <f t="shared" si="61"/>
        <v>VTES-S-PICKUP/COLORADO</v>
      </c>
      <c r="AL635" s="905">
        <f>IFERROR(INDEX(G635:R635,1,MATCH(Parametres!$B$3,G$1:R$1,0)-1)*IF(OR(F635="L",F635="S",F635="I"),-1,1),"")</f>
        <v>-419411.99</v>
      </c>
      <c r="AM635" s="905">
        <f t="shared" si="56"/>
        <v>-117815.5</v>
      </c>
      <c r="AN635" s="905">
        <f>INDEX(G635:R635,1,MATCH(Parametres!$B$3,G$1:R$1,0))*IF(OR(F635="L",F635="S",F635="I"),-1,1)</f>
        <v>-537227.49</v>
      </c>
      <c r="AO635" s="487" t="str">
        <f>+VLOOKUP($AJ635,Data_Validation!$A:$D,1,0)</f>
        <v>G42600</v>
      </c>
      <c r="AP635" s="487" t="str">
        <f>+VLOOKUP($AJ635,Data_Validation!$A:$D,3,0)</f>
        <v>Véhicules neufs</v>
      </c>
      <c r="AQ635" s="487" t="str">
        <f>+VLOOKUP($AJ635,Data_Validation!$A:$D,4,0)</f>
        <v>Camions détail</v>
      </c>
      <c r="AR635" s="487" t="s">
        <v>299</v>
      </c>
      <c r="AS635" s="487" t="str">
        <f>+VLOOKUP($AJ635,Data_Validation!$A:$E,5,0)</f>
        <v>Oui</v>
      </c>
      <c r="AT635" s="904" t="str">
        <f t="shared" si="57"/>
        <v>G42600</v>
      </c>
      <c r="AU635" s="488" t="str">
        <f t="shared" si="58"/>
        <v>VTES-S-PICKUP/COLORADO</v>
      </c>
      <c r="AV635" s="899">
        <f>IFERROR(INDEX(V635:AG635,1,MATCH(Parametres!$B$3,V$1:AG$1,0)-1)*IF(OR(C635="L",C635="S",C635="I"),-1,1),"")</f>
        <v>7</v>
      </c>
      <c r="AW635" s="899">
        <f t="shared" si="59"/>
        <v>2</v>
      </c>
      <c r="AX635" s="899">
        <f>INDEX(V635:AG635,1,MATCH(Parametres!$B$3,V$1:AG$1,0))*IF(OR(C635="L",C635="S",C635="I"),-1,1)</f>
        <v>9</v>
      </c>
      <c r="AY635" s="487" t="s">
        <v>337</v>
      </c>
      <c r="AZ635" s="487" t="str">
        <f>+VLOOKUP($AJ635,Data_Validation!$A:$E,5,0)</f>
        <v>Oui</v>
      </c>
    </row>
    <row r="636" spans="1:52" ht="15" customHeight="1">
      <c r="A636" s="706" t="s">
        <v>1148</v>
      </c>
      <c r="B636" s="706">
        <v>2026</v>
      </c>
      <c r="C636" s="706" t="s">
        <v>2308</v>
      </c>
      <c r="D636" s="706" t="s">
        <v>2309</v>
      </c>
      <c r="E636" s="706" t="s">
        <v>1149</v>
      </c>
      <c r="F636" s="706" t="s">
        <v>1149</v>
      </c>
      <c r="G636" s="706">
        <v>66630.850000000006</v>
      </c>
      <c r="H636" s="706">
        <v>66630.850000000006</v>
      </c>
      <c r="I636" s="706">
        <v>66630.850000000006</v>
      </c>
      <c r="J636" s="706">
        <v>66630.850000000006</v>
      </c>
      <c r="K636" s="706">
        <v>66630.850000000006</v>
      </c>
      <c r="L636" s="706">
        <v>66630.850000000006</v>
      </c>
      <c r="M636" s="706">
        <v>133454.26999999999</v>
      </c>
      <c r="N636" s="706">
        <v>189477.27</v>
      </c>
      <c r="O636" s="706">
        <v>314040.14</v>
      </c>
      <c r="P636" s="706">
        <v>0</v>
      </c>
      <c r="Q636" s="706">
        <v>0</v>
      </c>
      <c r="R636" s="706">
        <v>0</v>
      </c>
      <c r="S636" s="706">
        <v>23684.66</v>
      </c>
      <c r="T636" s="706">
        <v>23684.66</v>
      </c>
      <c r="U636" s="706">
        <v>0</v>
      </c>
      <c r="V636" s="706">
        <v>1</v>
      </c>
      <c r="W636" s="706">
        <v>1</v>
      </c>
      <c r="X636" s="706">
        <v>1</v>
      </c>
      <c r="Y636" s="706">
        <v>1</v>
      </c>
      <c r="Z636" s="706">
        <v>1</v>
      </c>
      <c r="AA636" s="706">
        <v>1</v>
      </c>
      <c r="AB636" s="706">
        <v>2</v>
      </c>
      <c r="AC636" s="706">
        <v>3</v>
      </c>
      <c r="AD636" s="706">
        <v>5</v>
      </c>
      <c r="AE636" s="706">
        <v>0</v>
      </c>
      <c r="AF636" s="706">
        <v>0</v>
      </c>
      <c r="AG636" s="706">
        <v>0</v>
      </c>
      <c r="AH636" s="706">
        <v>0</v>
      </c>
      <c r="AI636" s="706">
        <v>0</v>
      </c>
      <c r="AJ636" s="905" t="str">
        <f t="shared" si="60"/>
        <v>G42602</v>
      </c>
      <c r="AK636" s="905" t="str">
        <f t="shared" si="61"/>
        <v>VENTES GMC CANYON</v>
      </c>
      <c r="AL636" s="905">
        <f>IFERROR(INDEX(G636:R636,1,MATCH(Parametres!$B$3,G$1:R$1,0)-1)*IF(OR(F636="L",F636="S",F636="I"),-1,1),"")</f>
        <v>-133454.26999999999</v>
      </c>
      <c r="AM636" s="905">
        <f t="shared" si="56"/>
        <v>-56023</v>
      </c>
      <c r="AN636" s="905">
        <f>INDEX(G636:R636,1,MATCH(Parametres!$B$3,G$1:R$1,0))*IF(OR(F636="L",F636="S",F636="I"),-1,1)</f>
        <v>-189477.27</v>
      </c>
      <c r="AO636" s="487" t="str">
        <f>+VLOOKUP($AJ636,Data_Validation!$A:$D,1,0)</f>
        <v>G42602</v>
      </c>
      <c r="AP636" s="487" t="str">
        <f>+VLOOKUP($AJ636,Data_Validation!$A:$D,3,0)</f>
        <v>Véhicules neufs</v>
      </c>
      <c r="AQ636" s="487" t="str">
        <f>+VLOOKUP($AJ636,Data_Validation!$A:$D,4,0)</f>
        <v>Camions détail</v>
      </c>
      <c r="AR636" s="487" t="s">
        <v>299</v>
      </c>
      <c r="AS636" s="487" t="str">
        <f>+VLOOKUP($AJ636,Data_Validation!$A:$E,5,0)</f>
        <v>Oui</v>
      </c>
      <c r="AT636" s="904" t="str">
        <f t="shared" si="57"/>
        <v>G42602</v>
      </c>
      <c r="AU636" s="488" t="str">
        <f t="shared" si="58"/>
        <v>VENTES GMC CANYON</v>
      </c>
      <c r="AV636" s="899">
        <f>IFERROR(INDEX(V636:AG636,1,MATCH(Parametres!$B$3,V$1:AG$1,0)-1)*IF(OR(C636="L",C636="S",C636="I"),-1,1),"")</f>
        <v>2</v>
      </c>
      <c r="AW636" s="899">
        <f t="shared" si="59"/>
        <v>1</v>
      </c>
      <c r="AX636" s="899">
        <f>INDEX(V636:AG636,1,MATCH(Parametres!$B$3,V$1:AG$1,0))*IF(OR(C636="L",C636="S",C636="I"),-1,1)</f>
        <v>3</v>
      </c>
      <c r="AY636" s="487" t="s">
        <v>337</v>
      </c>
      <c r="AZ636" s="487" t="str">
        <f>+VLOOKUP($AJ636,Data_Validation!$A:$E,5,0)</f>
        <v>Oui</v>
      </c>
    </row>
    <row r="637" spans="1:52" ht="15" customHeight="1">
      <c r="A637" s="706" t="s">
        <v>1148</v>
      </c>
      <c r="B637" s="706">
        <v>2026</v>
      </c>
      <c r="C637" s="706" t="s">
        <v>2310</v>
      </c>
      <c r="D637" s="706" t="s">
        <v>2311</v>
      </c>
      <c r="E637" s="706" t="s">
        <v>1149</v>
      </c>
      <c r="F637" s="706" t="s">
        <v>1149</v>
      </c>
      <c r="G637" s="706">
        <v>46340</v>
      </c>
      <c r="H637" s="706">
        <v>97633</v>
      </c>
      <c r="I637" s="706">
        <v>97633</v>
      </c>
      <c r="J637" s="706">
        <v>245035.39</v>
      </c>
      <c r="K637" s="706">
        <v>300989.39</v>
      </c>
      <c r="L637" s="706">
        <v>300989.39</v>
      </c>
      <c r="M637" s="706">
        <v>300989.39</v>
      </c>
      <c r="N637" s="706">
        <v>357986.39</v>
      </c>
      <c r="O637" s="706">
        <v>357986.39</v>
      </c>
      <c r="P637" s="706">
        <v>0</v>
      </c>
      <c r="Q637" s="706">
        <v>0</v>
      </c>
      <c r="R637" s="706">
        <v>0</v>
      </c>
      <c r="S637" s="706">
        <v>44748.3</v>
      </c>
      <c r="T637" s="706">
        <v>44748.3</v>
      </c>
      <c r="U637" s="706">
        <v>0</v>
      </c>
      <c r="V637" s="706">
        <v>1</v>
      </c>
      <c r="W637" s="706">
        <v>2</v>
      </c>
      <c r="X637" s="706">
        <v>2</v>
      </c>
      <c r="Y637" s="706">
        <v>5</v>
      </c>
      <c r="Z637" s="706">
        <v>6</v>
      </c>
      <c r="AA637" s="706">
        <v>6</v>
      </c>
      <c r="AB637" s="706">
        <v>6</v>
      </c>
      <c r="AC637" s="706">
        <v>7</v>
      </c>
      <c r="AD637" s="706">
        <v>7</v>
      </c>
      <c r="AE637" s="706">
        <v>0</v>
      </c>
      <c r="AF637" s="706">
        <v>0</v>
      </c>
      <c r="AG637" s="706">
        <v>0</v>
      </c>
      <c r="AH637" s="706">
        <v>1</v>
      </c>
      <c r="AI637" s="706">
        <v>1</v>
      </c>
      <c r="AJ637" s="905" t="str">
        <f t="shared" si="60"/>
        <v>G42612</v>
      </c>
      <c r="AK637" s="905" t="str">
        <f t="shared" si="61"/>
        <v>VTES-BUICK ENVISION</v>
      </c>
      <c r="AL637" s="905">
        <f>IFERROR(INDEX(G637:R637,1,MATCH(Parametres!$B$3,G$1:R$1,0)-1)*IF(OR(F637="L",F637="S",F637="I"),-1,1),"")</f>
        <v>-300989.39</v>
      </c>
      <c r="AM637" s="1047">
        <f t="shared" si="56"/>
        <v>-56997</v>
      </c>
      <c r="AN637" s="905">
        <f>INDEX(G637:R637,1,MATCH(Parametres!$B$3,G$1:R$1,0))*IF(OR(F637="L",F637="S",F637="I"),-1,1)</f>
        <v>-357986.39</v>
      </c>
      <c r="AO637" s="487" t="str">
        <f>+VLOOKUP($AJ637,Data_Validation!$A:$D,1,0)</f>
        <v>G42612</v>
      </c>
      <c r="AP637" s="487" t="str">
        <f>+VLOOKUP($AJ637,Data_Validation!$A:$D,3,0)</f>
        <v>Véhicules neufs</v>
      </c>
      <c r="AQ637" s="487" t="str">
        <f>+VLOOKUP($AJ637,Data_Validation!$A:$D,4,0)</f>
        <v>Camions détail</v>
      </c>
      <c r="AR637" s="487" t="s">
        <v>299</v>
      </c>
      <c r="AS637" s="487" t="str">
        <f>+VLOOKUP($AJ637,Data_Validation!$A:$E,5,0)</f>
        <v>Oui</v>
      </c>
      <c r="AT637" s="904" t="str">
        <f t="shared" si="57"/>
        <v>G42612</v>
      </c>
      <c r="AU637" s="488" t="str">
        <f t="shared" si="58"/>
        <v>VTES-BUICK ENVISION</v>
      </c>
      <c r="AV637" s="899">
        <f>IFERROR(INDEX(V637:AG637,1,MATCH(Parametres!$B$3,V$1:AG$1,0)-1)*IF(OR(C637="L",C637="S",C637="I"),-1,1),"")</f>
        <v>6</v>
      </c>
      <c r="AW637" s="899">
        <f t="shared" si="59"/>
        <v>1</v>
      </c>
      <c r="AX637" s="899">
        <f>INDEX(V637:AG637,1,MATCH(Parametres!$B$3,V$1:AG$1,0))*IF(OR(C637="L",C637="S",C637="I"),-1,1)</f>
        <v>7</v>
      </c>
      <c r="AY637" s="487" t="s">
        <v>337</v>
      </c>
      <c r="AZ637" s="487" t="str">
        <f>+VLOOKUP($AJ637,Data_Validation!$A:$E,5,0)</f>
        <v>Oui</v>
      </c>
    </row>
    <row r="638" spans="1:52" ht="15" customHeight="1">
      <c r="A638" s="706" t="s">
        <v>1148</v>
      </c>
      <c r="B638" s="706">
        <v>2026</v>
      </c>
      <c r="C638" s="706" t="s">
        <v>2312</v>
      </c>
      <c r="D638" s="706" t="s">
        <v>2313</v>
      </c>
      <c r="E638" s="706" t="s">
        <v>1149</v>
      </c>
      <c r="F638" s="706" t="s">
        <v>1149</v>
      </c>
      <c r="G638" s="706">
        <v>0</v>
      </c>
      <c r="H638" s="706">
        <v>0</v>
      </c>
      <c r="I638" s="706">
        <v>69622.98</v>
      </c>
      <c r="J638" s="706">
        <v>205199.02</v>
      </c>
      <c r="K638" s="706">
        <v>238124.56</v>
      </c>
      <c r="L638" s="706">
        <v>341374.39</v>
      </c>
      <c r="M638" s="706">
        <v>377507.42</v>
      </c>
      <c r="N638" s="706">
        <v>377507.42</v>
      </c>
      <c r="O638" s="706">
        <v>410902.47</v>
      </c>
      <c r="P638" s="706">
        <v>0</v>
      </c>
      <c r="Q638" s="706">
        <v>0</v>
      </c>
      <c r="R638" s="706">
        <v>0</v>
      </c>
      <c r="S638" s="706">
        <v>47188.43</v>
      </c>
      <c r="T638" s="706">
        <v>47188.43</v>
      </c>
      <c r="U638" s="706">
        <v>0</v>
      </c>
      <c r="V638" s="706">
        <v>0</v>
      </c>
      <c r="W638" s="706">
        <v>0</v>
      </c>
      <c r="X638" s="706">
        <v>2</v>
      </c>
      <c r="Y638" s="706">
        <v>6</v>
      </c>
      <c r="Z638" s="706">
        <v>7</v>
      </c>
      <c r="AA638" s="706">
        <v>10</v>
      </c>
      <c r="AB638" s="706">
        <v>11</v>
      </c>
      <c r="AC638" s="706">
        <v>11</v>
      </c>
      <c r="AD638" s="706">
        <v>12</v>
      </c>
      <c r="AE638" s="706">
        <v>0</v>
      </c>
      <c r="AF638" s="706">
        <v>0</v>
      </c>
      <c r="AG638" s="706">
        <v>0</v>
      </c>
      <c r="AH638" s="706">
        <v>1</v>
      </c>
      <c r="AI638" s="706">
        <v>1</v>
      </c>
      <c r="AJ638" s="905" t="str">
        <f t="shared" si="60"/>
        <v>G42613</v>
      </c>
      <c r="AK638" s="905" t="str">
        <f t="shared" si="61"/>
        <v>VTES-BUICK ENVISTA</v>
      </c>
      <c r="AL638" s="905">
        <f>IFERROR(INDEX(G638:R638,1,MATCH(Parametres!$B$3,G$1:R$1,0)-1)*IF(OR(F638="L",F638="S",F638="I"),-1,1),"")</f>
        <v>-377507.42</v>
      </c>
      <c r="AM638" s="905">
        <f t="shared" si="56"/>
        <v>0</v>
      </c>
      <c r="AN638" s="905">
        <f>INDEX(G638:R638,1,MATCH(Parametres!$B$3,G$1:R$1,0))*IF(OR(F638="L",F638="S",F638="I"),-1,1)</f>
        <v>-377507.42</v>
      </c>
      <c r="AO638" s="487" t="str">
        <f>+VLOOKUP($AJ638,Data_Validation!$A:$D,1,0)</f>
        <v>G42613</v>
      </c>
      <c r="AP638" s="487" t="str">
        <f>+VLOOKUP($AJ638,Data_Validation!$A:$D,3,0)</f>
        <v>Véhicules neufs</v>
      </c>
      <c r="AQ638" s="487" t="str">
        <f>+VLOOKUP($AJ638,Data_Validation!$A:$D,4,0)</f>
        <v>Camions détail</v>
      </c>
      <c r="AR638" s="487" t="s">
        <v>299</v>
      </c>
      <c r="AS638" s="487" t="str">
        <f>+VLOOKUP($AJ638,Data_Validation!$A:$E,5,0)</f>
        <v>Oui</v>
      </c>
      <c r="AT638" s="904" t="str">
        <f t="shared" si="57"/>
        <v>G42613</v>
      </c>
      <c r="AU638" s="488" t="str">
        <f t="shared" si="58"/>
        <v>VTES-BUICK ENVISTA</v>
      </c>
      <c r="AV638" s="899">
        <f>IFERROR(INDEX(V638:AG638,1,MATCH(Parametres!$B$3,V$1:AG$1,0)-1)*IF(OR(C638="L",C638="S",C638="I"),-1,1),"")</f>
        <v>11</v>
      </c>
      <c r="AW638" s="899">
        <f t="shared" si="59"/>
        <v>0</v>
      </c>
      <c r="AX638" s="899">
        <f>INDEX(V638:AG638,1,MATCH(Parametres!$B$3,V$1:AG$1,0))*IF(OR(C638="L",C638="S",C638="I"),-1,1)</f>
        <v>11</v>
      </c>
      <c r="AY638" s="487" t="s">
        <v>337</v>
      </c>
      <c r="AZ638" s="487" t="str">
        <f>+VLOOKUP($AJ638,Data_Validation!$A:$E,5,0)</f>
        <v>Oui</v>
      </c>
    </row>
    <row r="639" spans="1:52" ht="15" customHeight="1">
      <c r="A639" s="706" t="s">
        <v>1148</v>
      </c>
      <c r="B639" s="706">
        <v>2026</v>
      </c>
      <c r="C639" s="706" t="s">
        <v>2314</v>
      </c>
      <c r="D639" s="706" t="s">
        <v>2315</v>
      </c>
      <c r="E639" s="706" t="s">
        <v>1149</v>
      </c>
      <c r="F639" s="706" t="s">
        <v>1149</v>
      </c>
      <c r="G639" s="706">
        <v>0</v>
      </c>
      <c r="H639" s="706">
        <v>0</v>
      </c>
      <c r="I639" s="706">
        <v>0</v>
      </c>
      <c r="J639" s="706">
        <v>0</v>
      </c>
      <c r="K639" s="706">
        <v>0</v>
      </c>
      <c r="L639" s="706">
        <v>0</v>
      </c>
      <c r="M639" s="706">
        <v>0</v>
      </c>
      <c r="N639" s="706">
        <v>0</v>
      </c>
      <c r="O639" s="706">
        <v>0</v>
      </c>
      <c r="P639" s="706">
        <v>0</v>
      </c>
      <c r="Q639" s="706">
        <v>0</v>
      </c>
      <c r="R639" s="706">
        <v>0</v>
      </c>
      <c r="S639" s="706">
        <v>0</v>
      </c>
      <c r="T639" s="706">
        <v>0</v>
      </c>
      <c r="U639" s="706">
        <v>0</v>
      </c>
      <c r="V639" s="706">
        <v>0</v>
      </c>
      <c r="W639" s="706">
        <v>0</v>
      </c>
      <c r="X639" s="706">
        <v>0</v>
      </c>
      <c r="Y639" s="706">
        <v>0</v>
      </c>
      <c r="Z639" s="706">
        <v>0</v>
      </c>
      <c r="AA639" s="706">
        <v>0</v>
      </c>
      <c r="AB639" s="706">
        <v>0</v>
      </c>
      <c r="AC639" s="706">
        <v>0</v>
      </c>
      <c r="AD639" s="706">
        <v>0</v>
      </c>
      <c r="AE639" s="706">
        <v>0</v>
      </c>
      <c r="AF639" s="706">
        <v>0</v>
      </c>
      <c r="AG639" s="706">
        <v>0</v>
      </c>
      <c r="AH639" s="706">
        <v>0</v>
      </c>
      <c r="AI639" s="706">
        <v>0</v>
      </c>
      <c r="AJ639" s="905" t="str">
        <f t="shared" si="60"/>
        <v>G42620</v>
      </c>
      <c r="AK639" s="905" t="str">
        <f t="shared" si="61"/>
        <v>VTES-SPICK/COLORDO   -LOC</v>
      </c>
      <c r="AL639" s="905">
        <f>IFERROR(INDEX(G639:R639,1,MATCH(Parametres!$B$3,G$1:R$1,0)-1)*IF(OR(F639="L",F639="S",F639="I"),-1,1),"")</f>
        <v>0</v>
      </c>
      <c r="AM639" s="905">
        <f t="shared" si="56"/>
        <v>0</v>
      </c>
      <c r="AN639" s="905">
        <f>INDEX(G639:R639,1,MATCH(Parametres!$B$3,G$1:R$1,0))*IF(OR(F639="L",F639="S",F639="I"),-1,1)</f>
        <v>0</v>
      </c>
      <c r="AO639" s="487" t="e">
        <f>+VLOOKUP($AJ639,Data_Validation!$A:$D,1,0)</f>
        <v>#N/A</v>
      </c>
      <c r="AP639" s="487" t="e">
        <f>+VLOOKUP($AJ639,Data_Validation!$A:$D,3,0)</f>
        <v>#N/A</v>
      </c>
      <c r="AQ639" s="487" t="e">
        <f>+VLOOKUP($AJ639,Data_Validation!$A:$D,4,0)</f>
        <v>#N/A</v>
      </c>
      <c r="AR639" s="487" t="s">
        <v>299</v>
      </c>
      <c r="AS639" s="487" t="e">
        <f>+VLOOKUP($AJ639,Data_Validation!$A:$E,5,0)</f>
        <v>#N/A</v>
      </c>
      <c r="AT639" s="904" t="str">
        <f t="shared" si="57"/>
        <v>G42620</v>
      </c>
      <c r="AU639" s="488" t="str">
        <f t="shared" si="58"/>
        <v>VTES-SPICK/COLORDO   -LOC</v>
      </c>
      <c r="AV639" s="899">
        <f>IFERROR(INDEX(V639:AG639,1,MATCH(Parametres!$B$3,V$1:AG$1,0)-1)*IF(OR(C639="L",C639="S",C639="I"),-1,1),"")</f>
        <v>0</v>
      </c>
      <c r="AW639" s="899">
        <f t="shared" si="59"/>
        <v>0</v>
      </c>
      <c r="AX639" s="899">
        <f>INDEX(V639:AG639,1,MATCH(Parametres!$B$3,V$1:AG$1,0))*IF(OR(C639="L",C639="S",C639="I"),-1,1)</f>
        <v>0</v>
      </c>
      <c r="AY639" s="487" t="s">
        <v>337</v>
      </c>
      <c r="AZ639" s="487" t="e">
        <f>+VLOOKUP($AJ639,Data_Validation!$A:$E,5,0)</f>
        <v>#N/A</v>
      </c>
    </row>
    <row r="640" spans="1:52" ht="15" customHeight="1">
      <c r="A640" s="706" t="s">
        <v>1148</v>
      </c>
      <c r="B640" s="706">
        <v>2026</v>
      </c>
      <c r="C640" s="706" t="s">
        <v>2316</v>
      </c>
      <c r="D640" s="706" t="s">
        <v>2317</v>
      </c>
      <c r="E640" s="706" t="s">
        <v>1149</v>
      </c>
      <c r="F640" s="706" t="s">
        <v>1149</v>
      </c>
      <c r="G640" s="706">
        <v>62388</v>
      </c>
      <c r="H640" s="706">
        <v>120522.54</v>
      </c>
      <c r="I640" s="706">
        <v>120522.54</v>
      </c>
      <c r="J640" s="706">
        <v>182683.54</v>
      </c>
      <c r="K640" s="706">
        <v>252626.54</v>
      </c>
      <c r="L640" s="706">
        <v>311964.53999999998</v>
      </c>
      <c r="M640" s="706">
        <v>516521.54</v>
      </c>
      <c r="N640" s="706">
        <v>516521.54</v>
      </c>
      <c r="O640" s="706">
        <v>570870.82999999996</v>
      </c>
      <c r="P640" s="706">
        <v>0</v>
      </c>
      <c r="Q640" s="706">
        <v>0</v>
      </c>
      <c r="R640" s="706">
        <v>0</v>
      </c>
      <c r="S640" s="706">
        <v>64565.19</v>
      </c>
      <c r="T640" s="706">
        <v>64565.19</v>
      </c>
      <c r="U640" s="706">
        <v>0</v>
      </c>
      <c r="V640" s="706">
        <v>1</v>
      </c>
      <c r="W640" s="706">
        <v>2</v>
      </c>
      <c r="X640" s="706">
        <v>2</v>
      </c>
      <c r="Y640" s="706">
        <v>3</v>
      </c>
      <c r="Z640" s="706">
        <v>4</v>
      </c>
      <c r="AA640" s="706">
        <v>5</v>
      </c>
      <c r="AB640" s="706">
        <v>8</v>
      </c>
      <c r="AC640" s="706">
        <v>8</v>
      </c>
      <c r="AD640" s="706">
        <v>9</v>
      </c>
      <c r="AE640" s="706">
        <v>0</v>
      </c>
      <c r="AF640" s="706">
        <v>0</v>
      </c>
      <c r="AG640" s="706">
        <v>0</v>
      </c>
      <c r="AH640" s="706">
        <v>1</v>
      </c>
      <c r="AI640" s="706">
        <v>1</v>
      </c>
      <c r="AJ640" s="905" t="str">
        <f t="shared" si="60"/>
        <v>G42700</v>
      </c>
      <c r="AK640" s="905" t="str">
        <f t="shared" si="61"/>
        <v>VTES-TRAVERSE</v>
      </c>
      <c r="AL640" s="905">
        <f>IFERROR(INDEX(G640:R640,1,MATCH(Parametres!$B$3,G$1:R$1,0)-1)*IF(OR(F640="L",F640="S",F640="I"),-1,1),"")</f>
        <v>-516521.54</v>
      </c>
      <c r="AM640" s="905">
        <f t="shared" si="56"/>
        <v>0</v>
      </c>
      <c r="AN640" s="905">
        <f>INDEX(G640:R640,1,MATCH(Parametres!$B$3,G$1:R$1,0))*IF(OR(F640="L",F640="S",F640="I"),-1,1)</f>
        <v>-516521.54</v>
      </c>
      <c r="AO640" s="487" t="str">
        <f>+VLOOKUP($AJ640,Data_Validation!$A:$D,1,0)</f>
        <v>G42700</v>
      </c>
      <c r="AP640" s="487" t="str">
        <f>+VLOOKUP($AJ640,Data_Validation!$A:$D,3,0)</f>
        <v>Véhicules neufs</v>
      </c>
      <c r="AQ640" s="487" t="str">
        <f>+VLOOKUP($AJ640,Data_Validation!$A:$D,4,0)</f>
        <v>Camions détail</v>
      </c>
      <c r="AR640" s="487" t="s">
        <v>299</v>
      </c>
      <c r="AS640" s="487" t="str">
        <f>+VLOOKUP($AJ640,Data_Validation!$A:$E,5,0)</f>
        <v>Oui</v>
      </c>
      <c r="AT640" s="904" t="str">
        <f t="shared" si="57"/>
        <v>G42700</v>
      </c>
      <c r="AU640" s="488" t="str">
        <f t="shared" si="58"/>
        <v>VTES-TRAVERSE</v>
      </c>
      <c r="AV640" s="899">
        <f>IFERROR(INDEX(V640:AG640,1,MATCH(Parametres!$B$3,V$1:AG$1,0)-1)*IF(OR(C640="L",C640="S",C640="I"),-1,1),"")</f>
        <v>8</v>
      </c>
      <c r="AW640" s="899">
        <f t="shared" si="59"/>
        <v>0</v>
      </c>
      <c r="AX640" s="899">
        <f>INDEX(V640:AG640,1,MATCH(Parametres!$B$3,V$1:AG$1,0))*IF(OR(C640="L",C640="S",C640="I"),-1,1)</f>
        <v>8</v>
      </c>
      <c r="AY640" s="487" t="s">
        <v>337</v>
      </c>
      <c r="AZ640" s="487" t="str">
        <f>+VLOOKUP($AJ640,Data_Validation!$A:$E,5,0)</f>
        <v>Oui</v>
      </c>
    </row>
    <row r="641" spans="1:52" ht="15" customHeight="1">
      <c r="A641" s="706" t="s">
        <v>1148</v>
      </c>
      <c r="B641" s="706">
        <v>2026</v>
      </c>
      <c r="C641" s="706" t="s">
        <v>2318</v>
      </c>
      <c r="D641" s="706" t="s">
        <v>2319</v>
      </c>
      <c r="E641" s="706" t="s">
        <v>1149</v>
      </c>
      <c r="F641" s="706" t="s">
        <v>1149</v>
      </c>
      <c r="G641" s="706">
        <v>0</v>
      </c>
      <c r="H641" s="706">
        <v>0</v>
      </c>
      <c r="I641" s="706">
        <v>0</v>
      </c>
      <c r="J641" s="706">
        <v>78598.5</v>
      </c>
      <c r="K641" s="706">
        <v>144076.42000000001</v>
      </c>
      <c r="L641" s="706">
        <v>144076.42000000001</v>
      </c>
      <c r="M641" s="706">
        <v>144076.42000000001</v>
      </c>
      <c r="N641" s="706">
        <v>144076.42000000001</v>
      </c>
      <c r="O641" s="706">
        <v>144076.42000000001</v>
      </c>
      <c r="P641" s="706">
        <v>0</v>
      </c>
      <c r="Q641" s="706">
        <v>0</v>
      </c>
      <c r="R641" s="706">
        <v>0</v>
      </c>
      <c r="S641" s="706">
        <v>18009.55</v>
      </c>
      <c r="T641" s="706">
        <v>18009.55</v>
      </c>
      <c r="U641" s="706">
        <v>0</v>
      </c>
      <c r="V641" s="706">
        <v>0</v>
      </c>
      <c r="W641" s="706">
        <v>0</v>
      </c>
      <c r="X641" s="706">
        <v>0</v>
      </c>
      <c r="Y641" s="706">
        <v>1</v>
      </c>
      <c r="Z641" s="706">
        <v>2</v>
      </c>
      <c r="AA641" s="706">
        <v>2</v>
      </c>
      <c r="AB641" s="706">
        <v>2</v>
      </c>
      <c r="AC641" s="706">
        <v>2</v>
      </c>
      <c r="AD641" s="706">
        <v>2</v>
      </c>
      <c r="AE641" s="706">
        <v>0</v>
      </c>
      <c r="AF641" s="706">
        <v>0</v>
      </c>
      <c r="AG641" s="706">
        <v>0</v>
      </c>
      <c r="AH641" s="706">
        <v>0</v>
      </c>
      <c r="AI641" s="706">
        <v>0</v>
      </c>
      <c r="AJ641" s="905" t="str">
        <f t="shared" si="60"/>
        <v>G42800</v>
      </c>
      <c r="AK641" s="905" t="str">
        <f t="shared" si="61"/>
        <v>VENTES BUICK ENCLAVE</v>
      </c>
      <c r="AL641" s="905">
        <f>IFERROR(INDEX(G641:R641,1,MATCH(Parametres!$B$3,G$1:R$1,0)-1)*IF(OR(F641="L",F641="S",F641="I"),-1,1),"")</f>
        <v>-144076.42000000001</v>
      </c>
      <c r="AM641" s="1047">
        <f t="shared" si="56"/>
        <v>0</v>
      </c>
      <c r="AN641" s="905">
        <f>INDEX(G641:R641,1,MATCH(Parametres!$B$3,G$1:R$1,0))*IF(OR(F641="L",F641="S",F641="I"),-1,1)</f>
        <v>-144076.42000000001</v>
      </c>
      <c r="AO641" s="487" t="str">
        <f>+VLOOKUP($AJ641,Data_Validation!$A:$D,1,0)</f>
        <v>G42800</v>
      </c>
      <c r="AP641" s="487" t="str">
        <f>+VLOOKUP($AJ641,Data_Validation!$A:$D,3,0)</f>
        <v>Véhicules neufs</v>
      </c>
      <c r="AQ641" s="487" t="str">
        <f>+VLOOKUP($AJ641,Data_Validation!$A:$D,4,0)</f>
        <v>Camions détail</v>
      </c>
      <c r="AR641" s="487" t="s">
        <v>299</v>
      </c>
      <c r="AS641" s="487" t="str">
        <f>+VLOOKUP($AJ641,Data_Validation!$A:$E,5,0)</f>
        <v>Oui</v>
      </c>
      <c r="AT641" s="904" t="str">
        <f t="shared" si="57"/>
        <v>G42800</v>
      </c>
      <c r="AU641" s="488" t="str">
        <f t="shared" si="58"/>
        <v>VENTES BUICK ENCLAVE</v>
      </c>
      <c r="AV641" s="899">
        <f>IFERROR(INDEX(V641:AG641,1,MATCH(Parametres!$B$3,V$1:AG$1,0)-1)*IF(OR(C641="L",C641="S",C641="I"),-1,1),"")</f>
        <v>2</v>
      </c>
      <c r="AW641" s="899">
        <f t="shared" si="59"/>
        <v>0</v>
      </c>
      <c r="AX641" s="899">
        <f>INDEX(V641:AG641,1,MATCH(Parametres!$B$3,V$1:AG$1,0))*IF(OR(C641="L",C641="S",C641="I"),-1,1)</f>
        <v>2</v>
      </c>
      <c r="AY641" s="487" t="s">
        <v>337</v>
      </c>
      <c r="AZ641" s="487" t="str">
        <f>+VLOOKUP($AJ641,Data_Validation!$A:$E,5,0)</f>
        <v>Oui</v>
      </c>
    </row>
    <row r="642" spans="1:52" ht="15" customHeight="1">
      <c r="A642" s="706" t="s">
        <v>1148</v>
      </c>
      <c r="B642" s="706">
        <v>2026</v>
      </c>
      <c r="C642" s="706" t="s">
        <v>2320</v>
      </c>
      <c r="D642" s="706" t="s">
        <v>2321</v>
      </c>
      <c r="E642" s="706" t="s">
        <v>1149</v>
      </c>
      <c r="F642" s="706" t="s">
        <v>1149</v>
      </c>
      <c r="G642" s="706">
        <v>39888.67</v>
      </c>
      <c r="H642" s="706">
        <v>73703.41</v>
      </c>
      <c r="I642" s="706">
        <v>73703.41</v>
      </c>
      <c r="J642" s="706">
        <v>112838.66</v>
      </c>
      <c r="K642" s="706">
        <v>112838.66</v>
      </c>
      <c r="L642" s="706">
        <v>186623.41</v>
      </c>
      <c r="M642" s="706">
        <v>186623.41</v>
      </c>
      <c r="N642" s="706">
        <v>224877.41</v>
      </c>
      <c r="O642" s="706">
        <v>299823.40999999997</v>
      </c>
      <c r="P642" s="706">
        <v>0</v>
      </c>
      <c r="Q642" s="706">
        <v>0</v>
      </c>
      <c r="R642" s="706">
        <v>0</v>
      </c>
      <c r="S642" s="706">
        <v>28109.68</v>
      </c>
      <c r="T642" s="706">
        <v>28109.68</v>
      </c>
      <c r="U642" s="706">
        <v>0</v>
      </c>
      <c r="V642" s="706">
        <v>1</v>
      </c>
      <c r="W642" s="706">
        <v>2</v>
      </c>
      <c r="X642" s="706">
        <v>2</v>
      </c>
      <c r="Y642" s="706">
        <v>3</v>
      </c>
      <c r="Z642" s="706">
        <v>3</v>
      </c>
      <c r="AA642" s="706">
        <v>5</v>
      </c>
      <c r="AB642" s="706">
        <v>5</v>
      </c>
      <c r="AC642" s="706">
        <v>6</v>
      </c>
      <c r="AD642" s="706">
        <v>8</v>
      </c>
      <c r="AE642" s="706">
        <v>0</v>
      </c>
      <c r="AF642" s="706">
        <v>0</v>
      </c>
      <c r="AG642" s="706">
        <v>0</v>
      </c>
      <c r="AH642" s="706">
        <v>1</v>
      </c>
      <c r="AI642" s="706">
        <v>1</v>
      </c>
      <c r="AJ642" s="905" t="str">
        <f t="shared" si="60"/>
        <v>G42804</v>
      </c>
      <c r="AK642" s="905" t="str">
        <f t="shared" si="61"/>
        <v>VENTE BUICK ENCORE</v>
      </c>
      <c r="AL642" s="905">
        <f>IFERROR(INDEX(G642:R642,1,MATCH(Parametres!$B$3,G$1:R$1,0)-1)*IF(OR(F642="L",F642="S",F642="I"),-1,1),"")</f>
        <v>-186623.41</v>
      </c>
      <c r="AM642" s="905">
        <f t="shared" si="56"/>
        <v>-38254</v>
      </c>
      <c r="AN642" s="905">
        <f>INDEX(G642:R642,1,MATCH(Parametres!$B$3,G$1:R$1,0))*IF(OR(F642="L",F642="S",F642="I"),-1,1)</f>
        <v>-224877.41</v>
      </c>
      <c r="AO642" s="487" t="str">
        <f>+VLOOKUP($AJ642,Data_Validation!$A:$D,1,0)</f>
        <v>G42804</v>
      </c>
      <c r="AP642" s="487" t="str">
        <f>+VLOOKUP($AJ642,Data_Validation!$A:$D,3,0)</f>
        <v>Véhicules neufs</v>
      </c>
      <c r="AQ642" s="487" t="str">
        <f>+VLOOKUP($AJ642,Data_Validation!$A:$D,4,0)</f>
        <v>Camions détail</v>
      </c>
      <c r="AR642" s="487" t="s">
        <v>299</v>
      </c>
      <c r="AS642" s="487" t="str">
        <f>+VLOOKUP($AJ642,Data_Validation!$A:$E,5,0)</f>
        <v>Oui</v>
      </c>
      <c r="AT642" s="904" t="str">
        <f t="shared" si="57"/>
        <v>G42804</v>
      </c>
      <c r="AU642" s="488" t="str">
        <f t="shared" si="58"/>
        <v>VENTE BUICK ENCORE</v>
      </c>
      <c r="AV642" s="899">
        <f>IFERROR(INDEX(V642:AG642,1,MATCH(Parametres!$B$3,V$1:AG$1,0)-1)*IF(OR(C642="L",C642="S",C642="I"),-1,1),"")</f>
        <v>5</v>
      </c>
      <c r="AW642" s="899">
        <f t="shared" si="59"/>
        <v>1</v>
      </c>
      <c r="AX642" s="899">
        <f>INDEX(V642:AG642,1,MATCH(Parametres!$B$3,V$1:AG$1,0))*IF(OR(C642="L",C642="S",C642="I"),-1,1)</f>
        <v>6</v>
      </c>
      <c r="AY642" s="487" t="s">
        <v>337</v>
      </c>
      <c r="AZ642" s="487" t="str">
        <f>+VLOOKUP($AJ642,Data_Validation!$A:$E,5,0)</f>
        <v>Oui</v>
      </c>
    </row>
    <row r="643" spans="1:52" ht="15" customHeight="1">
      <c r="A643" s="706" t="s">
        <v>1148</v>
      </c>
      <c r="B643" s="706">
        <v>2026</v>
      </c>
      <c r="C643" s="706" t="s">
        <v>2322</v>
      </c>
      <c r="D643" s="706" t="s">
        <v>2323</v>
      </c>
      <c r="E643" s="706" t="s">
        <v>1149</v>
      </c>
      <c r="F643" s="706" t="s">
        <v>1149</v>
      </c>
      <c r="G643" s="706">
        <v>0</v>
      </c>
      <c r="H643" s="706">
        <v>0</v>
      </c>
      <c r="I643" s="706">
        <v>0</v>
      </c>
      <c r="J643" s="706">
        <v>0</v>
      </c>
      <c r="K643" s="706">
        <v>0</v>
      </c>
      <c r="L643" s="706">
        <v>0</v>
      </c>
      <c r="M643" s="706">
        <v>0</v>
      </c>
      <c r="N643" s="706">
        <v>0</v>
      </c>
      <c r="O643" s="706">
        <v>0</v>
      </c>
      <c r="P643" s="706">
        <v>0</v>
      </c>
      <c r="Q643" s="706">
        <v>0</v>
      </c>
      <c r="R643" s="706">
        <v>0</v>
      </c>
      <c r="S643" s="706">
        <v>0</v>
      </c>
      <c r="T643" s="706">
        <v>0</v>
      </c>
      <c r="U643" s="706">
        <v>0</v>
      </c>
      <c r="V643" s="706">
        <v>0</v>
      </c>
      <c r="W643" s="706">
        <v>0</v>
      </c>
      <c r="X643" s="706">
        <v>0</v>
      </c>
      <c r="Y643" s="706">
        <v>0</v>
      </c>
      <c r="Z643" s="706">
        <v>0</v>
      </c>
      <c r="AA643" s="706">
        <v>0</v>
      </c>
      <c r="AB643" s="706">
        <v>0</v>
      </c>
      <c r="AC643" s="706">
        <v>0</v>
      </c>
      <c r="AD643" s="706">
        <v>0</v>
      </c>
      <c r="AE643" s="706">
        <v>0</v>
      </c>
      <c r="AF643" s="706">
        <v>0</v>
      </c>
      <c r="AG643" s="706">
        <v>0</v>
      </c>
      <c r="AH643" s="706">
        <v>0</v>
      </c>
      <c r="AI643" s="706">
        <v>0</v>
      </c>
      <c r="AJ643" s="905" t="str">
        <f t="shared" si="60"/>
        <v>G42820</v>
      </c>
      <c r="AK643" s="905" t="str">
        <f t="shared" si="61"/>
        <v>VTES-TRAIL BALSER/EXT-LOC</v>
      </c>
      <c r="AL643" s="905">
        <f>IFERROR(INDEX(G643:R643,1,MATCH(Parametres!$B$3,G$1:R$1,0)-1)*IF(OR(F643="L",F643="S",F643="I"),-1,1),"")</f>
        <v>0</v>
      </c>
      <c r="AM643" s="905">
        <f t="shared" si="56"/>
        <v>0</v>
      </c>
      <c r="AN643" s="905">
        <f>INDEX(G643:R643,1,MATCH(Parametres!$B$3,G$1:R$1,0))*IF(OR(F643="L",F643="S",F643="I"),-1,1)</f>
        <v>0</v>
      </c>
      <c r="AO643" s="487" t="e">
        <f>+VLOOKUP($AJ643,Data_Validation!$A:$D,1,0)</f>
        <v>#N/A</v>
      </c>
      <c r="AP643" s="487" t="e">
        <f>+VLOOKUP($AJ643,Data_Validation!$A:$D,3,0)</f>
        <v>#N/A</v>
      </c>
      <c r="AQ643" s="487" t="e">
        <f>+VLOOKUP($AJ643,Data_Validation!$A:$D,4,0)</f>
        <v>#N/A</v>
      </c>
      <c r="AR643" s="487" t="s">
        <v>299</v>
      </c>
      <c r="AS643" s="487" t="e">
        <f>+VLOOKUP($AJ643,Data_Validation!$A:$E,5,0)</f>
        <v>#N/A</v>
      </c>
      <c r="AT643" s="904" t="str">
        <f t="shared" si="57"/>
        <v>G42820</v>
      </c>
      <c r="AU643" s="488" t="str">
        <f t="shared" si="58"/>
        <v>VTES-TRAIL BALSER/EXT-LOC</v>
      </c>
      <c r="AV643" s="899">
        <f>IFERROR(INDEX(V643:AG643,1,MATCH(Parametres!$B$3,V$1:AG$1,0)-1)*IF(OR(C643="L",C643="S",C643="I"),-1,1),"")</f>
        <v>0</v>
      </c>
      <c r="AW643" s="899">
        <f t="shared" si="59"/>
        <v>0</v>
      </c>
      <c r="AX643" s="899">
        <f>INDEX(V643:AG643,1,MATCH(Parametres!$B$3,V$1:AG$1,0))*IF(OR(C643="L",C643="S",C643="I"),-1,1)</f>
        <v>0</v>
      </c>
      <c r="AY643" s="487" t="s">
        <v>337</v>
      </c>
      <c r="AZ643" s="487" t="e">
        <f>+VLOOKUP($AJ643,Data_Validation!$A:$E,5,0)</f>
        <v>#N/A</v>
      </c>
    </row>
    <row r="644" spans="1:52" ht="15" customHeight="1">
      <c r="A644" s="706" t="s">
        <v>1148</v>
      </c>
      <c r="B644" s="706">
        <v>2026</v>
      </c>
      <c r="C644" s="706" t="s">
        <v>2324</v>
      </c>
      <c r="D644" s="706" t="s">
        <v>2325</v>
      </c>
      <c r="E644" s="706" t="s">
        <v>1149</v>
      </c>
      <c r="F644" s="706" t="s">
        <v>1149</v>
      </c>
      <c r="G644" s="706">
        <v>168379.09</v>
      </c>
      <c r="H644" s="706">
        <v>262448.33</v>
      </c>
      <c r="I644" s="706">
        <v>360576.65</v>
      </c>
      <c r="J644" s="706">
        <v>483517.66</v>
      </c>
      <c r="K644" s="706">
        <v>549168.63</v>
      </c>
      <c r="L644" s="706">
        <v>579311.63</v>
      </c>
      <c r="M644" s="706">
        <v>739326.38</v>
      </c>
      <c r="N644" s="706">
        <v>828032.88</v>
      </c>
      <c r="O644" s="706">
        <v>895476.88</v>
      </c>
      <c r="P644" s="706">
        <v>0</v>
      </c>
      <c r="Q644" s="706">
        <v>0</v>
      </c>
      <c r="R644" s="706">
        <v>0</v>
      </c>
      <c r="S644" s="706">
        <v>103504.11</v>
      </c>
      <c r="T644" s="706">
        <v>103504.11</v>
      </c>
      <c r="U644" s="706">
        <v>0</v>
      </c>
      <c r="V644" s="706">
        <v>5</v>
      </c>
      <c r="W644" s="706">
        <v>8</v>
      </c>
      <c r="X644" s="706">
        <v>11</v>
      </c>
      <c r="Y644" s="706">
        <v>15</v>
      </c>
      <c r="Z644" s="706">
        <v>17</v>
      </c>
      <c r="AA644" s="706">
        <v>18</v>
      </c>
      <c r="AB644" s="706">
        <v>23</v>
      </c>
      <c r="AC644" s="706">
        <v>26</v>
      </c>
      <c r="AD644" s="706">
        <v>28</v>
      </c>
      <c r="AE644" s="706">
        <v>0</v>
      </c>
      <c r="AF644" s="706">
        <v>0</v>
      </c>
      <c r="AG644" s="706">
        <v>0</v>
      </c>
      <c r="AH644" s="706">
        <v>3</v>
      </c>
      <c r="AI644" s="706">
        <v>3</v>
      </c>
      <c r="AJ644" s="905" t="str">
        <f t="shared" si="60"/>
        <v>G42850</v>
      </c>
      <c r="AK644" s="905" t="str">
        <f t="shared" si="61"/>
        <v>VENTES CHEVROLET TRAX</v>
      </c>
      <c r="AL644" s="905">
        <f>IFERROR(INDEX(G644:R644,1,MATCH(Parametres!$B$3,G$1:R$1,0)-1)*IF(OR(F644="L",F644="S",F644="I"),-1,1),"")</f>
        <v>-739326.38</v>
      </c>
      <c r="AM644" s="905">
        <f t="shared" ref="AM644:AM663" si="62">AN644-AL644</f>
        <v>-88706.5</v>
      </c>
      <c r="AN644" s="905">
        <f>INDEX(G644:R644,1,MATCH(Parametres!$B$3,G$1:R$1,0))*IF(OR(F644="L",F644="S",F644="I"),-1,1)</f>
        <v>-828032.88</v>
      </c>
      <c r="AO644" s="487" t="str">
        <f>+VLOOKUP($AJ644,Data_Validation!$A:$D,1,0)</f>
        <v>G42850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G42850</v>
      </c>
      <c r="AU644" s="488" t="str">
        <f t="shared" ref="AU644:AU663" si="64">D644</f>
        <v>VENTES CHEVROLET TRAX</v>
      </c>
      <c r="AV644" s="899">
        <f>IFERROR(INDEX(V644:AG644,1,MATCH(Parametres!$B$3,V$1:AG$1,0)-1)*IF(OR(C644="L",C644="S",C644="I"),-1,1),"")</f>
        <v>23</v>
      </c>
      <c r="AW644" s="899">
        <f t="shared" ref="AW644:AW663" si="65">AX644-AV644</f>
        <v>3</v>
      </c>
      <c r="AX644" s="899">
        <f>INDEX(V644:AG644,1,MATCH(Parametres!$B$3,V$1:AG$1,0))*IF(OR(C644="L",C644="S",C644="I"),-1,1)</f>
        <v>26</v>
      </c>
      <c r="AY644" s="487" t="s">
        <v>337</v>
      </c>
      <c r="AZ644" s="487" t="str">
        <f>+VLOOKUP($AJ644,Data_Validation!$A:$E,5,0)</f>
        <v>Oui</v>
      </c>
    </row>
    <row r="645" spans="1:52" ht="15" customHeight="1">
      <c r="A645" s="706" t="s">
        <v>1148</v>
      </c>
      <c r="B645" s="706">
        <v>2026</v>
      </c>
      <c r="C645" s="706" t="s">
        <v>2326</v>
      </c>
      <c r="D645" s="706" t="s">
        <v>2327</v>
      </c>
      <c r="E645" s="706" t="s">
        <v>1149</v>
      </c>
      <c r="F645" s="706" t="s">
        <v>1149</v>
      </c>
      <c r="G645" s="706">
        <v>287291.71999999997</v>
      </c>
      <c r="H645" s="706">
        <v>383345.72</v>
      </c>
      <c r="I645" s="706">
        <v>648665.23</v>
      </c>
      <c r="J645" s="706">
        <v>648665.23</v>
      </c>
      <c r="K645" s="706">
        <v>719273.23</v>
      </c>
      <c r="L645" s="706">
        <v>908769.62</v>
      </c>
      <c r="M645" s="706">
        <v>908769.62</v>
      </c>
      <c r="N645" s="706">
        <v>1007730.36</v>
      </c>
      <c r="O645" s="706">
        <v>1007730.36</v>
      </c>
      <c r="P645" s="706">
        <v>0</v>
      </c>
      <c r="Q645" s="706">
        <v>0</v>
      </c>
      <c r="R645" s="706">
        <v>0</v>
      </c>
      <c r="S645" s="706">
        <v>125966.3</v>
      </c>
      <c r="T645" s="706">
        <v>125966.3</v>
      </c>
      <c r="U645" s="706">
        <v>0</v>
      </c>
      <c r="V645" s="706">
        <v>3</v>
      </c>
      <c r="W645" s="706">
        <v>4</v>
      </c>
      <c r="X645" s="706">
        <v>7</v>
      </c>
      <c r="Y645" s="706">
        <v>7</v>
      </c>
      <c r="Z645" s="706">
        <v>8</v>
      </c>
      <c r="AA645" s="706">
        <v>10</v>
      </c>
      <c r="AB645" s="706">
        <v>10</v>
      </c>
      <c r="AC645" s="706">
        <v>11</v>
      </c>
      <c r="AD645" s="706">
        <v>11</v>
      </c>
      <c r="AE645" s="706">
        <v>0</v>
      </c>
      <c r="AF645" s="706">
        <v>0</v>
      </c>
      <c r="AG645" s="706">
        <v>0</v>
      </c>
      <c r="AH645" s="706">
        <v>1</v>
      </c>
      <c r="AI645" s="706">
        <v>1</v>
      </c>
      <c r="AJ645" s="905" t="str">
        <f t="shared" si="60"/>
        <v>G42900</v>
      </c>
      <c r="AK645" s="905" t="str">
        <f t="shared" si="61"/>
        <v>VTES-TAHOE/SUBURBAN</v>
      </c>
      <c r="AL645" s="905">
        <f>IFERROR(INDEX(G645:R645,1,MATCH(Parametres!$B$3,G$1:R$1,0)-1)*IF(OR(F645="L",F645="S",F645="I"),-1,1),"")</f>
        <v>-908769.62</v>
      </c>
      <c r="AM645" s="905">
        <f t="shared" si="62"/>
        <v>-98960.739999999991</v>
      </c>
      <c r="AN645" s="905">
        <f>INDEX(G645:R645,1,MATCH(Parametres!$B$3,G$1:R$1,0))*IF(OR(F645="L",F645="S",F645="I"),-1,1)</f>
        <v>-1007730.36</v>
      </c>
      <c r="AO645" s="487" t="str">
        <f>+VLOOKUP($AJ645,Data_Validation!$A:$D,1,0)</f>
        <v>G42900</v>
      </c>
      <c r="AP645" s="487" t="str">
        <f>+VLOOKUP($AJ645,Data_Validation!$A:$D,3,0)</f>
        <v>Véhicules neufs</v>
      </c>
      <c r="AQ645" s="487" t="str">
        <f>+VLOOKUP($AJ645,Data_Validation!$A:$D,4,0)</f>
        <v>Camions détail</v>
      </c>
      <c r="AR645" s="487" t="s">
        <v>299</v>
      </c>
      <c r="AS645" s="487" t="str">
        <f>+VLOOKUP($AJ645,Data_Validation!$A:$E,5,0)</f>
        <v>Oui</v>
      </c>
      <c r="AT645" s="904" t="str">
        <f t="shared" si="63"/>
        <v>G42900</v>
      </c>
      <c r="AU645" s="488" t="str">
        <f t="shared" si="64"/>
        <v>VTES-TAHOE/SUBURBAN</v>
      </c>
      <c r="AV645" s="899">
        <f>IFERROR(INDEX(V645:AG645,1,MATCH(Parametres!$B$3,V$1:AG$1,0)-1)*IF(OR(C645="L",C645="S",C645="I"),-1,1),"")</f>
        <v>10</v>
      </c>
      <c r="AW645" s="899">
        <f t="shared" si="65"/>
        <v>1</v>
      </c>
      <c r="AX645" s="899">
        <f>INDEX(V645:AG645,1,MATCH(Parametres!$B$3,V$1:AG$1,0))*IF(OR(C645="L",C645="S",C645="I"),-1,1)</f>
        <v>11</v>
      </c>
      <c r="AY645" s="487" t="s">
        <v>337</v>
      </c>
      <c r="AZ645" s="487" t="str">
        <f>+VLOOKUP($AJ645,Data_Validation!$A:$E,5,0)</f>
        <v>Oui</v>
      </c>
    </row>
    <row r="646" spans="1:52" ht="15" customHeight="1">
      <c r="A646" s="706" t="s">
        <v>1148</v>
      </c>
      <c r="B646" s="706">
        <v>2026</v>
      </c>
      <c r="C646" s="706" t="s">
        <v>2328</v>
      </c>
      <c r="D646" s="706" t="s">
        <v>2329</v>
      </c>
      <c r="E646" s="706" t="s">
        <v>1149</v>
      </c>
      <c r="F646" s="706" t="s">
        <v>1149</v>
      </c>
      <c r="G646" s="706">
        <v>289436.21999999997</v>
      </c>
      <c r="H646" s="706">
        <v>585097.43999999994</v>
      </c>
      <c r="I646" s="706">
        <v>1072442.8400000001</v>
      </c>
      <c r="J646" s="706">
        <v>1373843.79</v>
      </c>
      <c r="K646" s="706">
        <v>1836796.65</v>
      </c>
      <c r="L646" s="706">
        <v>2376096.3199999998</v>
      </c>
      <c r="M646" s="706">
        <v>2681788.81</v>
      </c>
      <c r="N646" s="706">
        <v>2823888.81</v>
      </c>
      <c r="O646" s="706">
        <v>3066554.86</v>
      </c>
      <c r="P646" s="706">
        <v>0</v>
      </c>
      <c r="Q646" s="706">
        <v>0</v>
      </c>
      <c r="R646" s="706">
        <v>0</v>
      </c>
      <c r="S646" s="706">
        <v>352986.1</v>
      </c>
      <c r="T646" s="706">
        <v>352986.1</v>
      </c>
      <c r="U646" s="706">
        <v>0</v>
      </c>
      <c r="V646" s="706">
        <v>4</v>
      </c>
      <c r="W646" s="706">
        <v>8</v>
      </c>
      <c r="X646" s="706">
        <v>14</v>
      </c>
      <c r="Y646" s="706">
        <v>18</v>
      </c>
      <c r="Z646" s="706">
        <v>24</v>
      </c>
      <c r="AA646" s="706">
        <v>31</v>
      </c>
      <c r="AB646" s="706">
        <v>35</v>
      </c>
      <c r="AC646" s="706">
        <v>37</v>
      </c>
      <c r="AD646" s="706">
        <v>40</v>
      </c>
      <c r="AE646" s="706">
        <v>0</v>
      </c>
      <c r="AF646" s="706">
        <v>0</v>
      </c>
      <c r="AG646" s="706">
        <v>0</v>
      </c>
      <c r="AH646" s="706">
        <v>5</v>
      </c>
      <c r="AI646" s="706">
        <v>5</v>
      </c>
      <c r="AJ646" s="905" t="str">
        <f t="shared" si="60"/>
        <v>G43000</v>
      </c>
      <c r="AK646" s="905" t="str">
        <f t="shared" si="61"/>
        <v>VTES-CL 1500 SILVERADO</v>
      </c>
      <c r="AL646" s="905">
        <f>IFERROR(INDEX(G646:R646,1,MATCH(Parametres!$B$3,G$1:R$1,0)-1)*IF(OR(F646="L",F646="S",F646="I"),-1,1),"")</f>
        <v>-2681788.81</v>
      </c>
      <c r="AM646" s="905">
        <f t="shared" si="62"/>
        <v>-142100</v>
      </c>
      <c r="AN646" s="905">
        <f>INDEX(G646:R646,1,MATCH(Parametres!$B$3,G$1:R$1,0))*IF(OR(F646="L",F646="S",F646="I"),-1,1)</f>
        <v>-2823888.81</v>
      </c>
      <c r="AO646" s="487" t="str">
        <f>+VLOOKUP($AJ646,Data_Validation!$A:$D,1,0)</f>
        <v>G43000</v>
      </c>
      <c r="AP646" s="487" t="str">
        <f>+VLOOKUP($AJ646,Data_Validation!$A:$D,3,0)</f>
        <v>Véhicules neufs</v>
      </c>
      <c r="AQ646" s="487" t="str">
        <f>+VLOOKUP($AJ646,Data_Validation!$A:$D,4,0)</f>
        <v>Camions détail</v>
      </c>
      <c r="AR646" s="487" t="s">
        <v>299</v>
      </c>
      <c r="AS646" s="487" t="str">
        <f>+VLOOKUP($AJ646,Data_Validation!$A:$E,5,0)</f>
        <v>Oui</v>
      </c>
      <c r="AT646" s="904" t="str">
        <f t="shared" si="63"/>
        <v>G43000</v>
      </c>
      <c r="AU646" s="488" t="str">
        <f t="shared" si="64"/>
        <v>VTES-CL 1500 SILVERADO</v>
      </c>
      <c r="AV646" s="899">
        <f>IFERROR(INDEX(V646:AG646,1,MATCH(Parametres!$B$3,V$1:AG$1,0)-1)*IF(OR(C646="L",C646="S",C646="I"),-1,1),"")</f>
        <v>35</v>
      </c>
      <c r="AW646" s="899">
        <f t="shared" si="65"/>
        <v>2</v>
      </c>
      <c r="AX646" s="899">
        <f>INDEX(V646:AG646,1,MATCH(Parametres!$B$3,V$1:AG$1,0))*IF(OR(C646="L",C646="S",C646="I"),-1,1)</f>
        <v>37</v>
      </c>
      <c r="AY646" s="487" t="s">
        <v>337</v>
      </c>
      <c r="AZ646" s="487" t="str">
        <f>+VLOOKUP($AJ646,Data_Validation!$A:$E,5,0)</f>
        <v>Oui</v>
      </c>
    </row>
    <row r="647" spans="1:52" ht="15" customHeight="1">
      <c r="A647" s="706" t="s">
        <v>1148</v>
      </c>
      <c r="B647" s="706">
        <v>2026</v>
      </c>
      <c r="C647" s="706" t="s">
        <v>2330</v>
      </c>
      <c r="D647" s="706" t="s">
        <v>2331</v>
      </c>
      <c r="E647" s="706" t="s">
        <v>1149</v>
      </c>
      <c r="F647" s="706" t="s">
        <v>1149</v>
      </c>
      <c r="G647" s="706">
        <v>0</v>
      </c>
      <c r="H647" s="706">
        <v>0</v>
      </c>
      <c r="I647" s="706">
        <v>0</v>
      </c>
      <c r="J647" s="706">
        <v>223630.12</v>
      </c>
      <c r="K647" s="706">
        <v>223630.12</v>
      </c>
      <c r="L647" s="706">
        <v>223630.12</v>
      </c>
      <c r="M647" s="706">
        <v>337598.12</v>
      </c>
      <c r="N647" s="706">
        <v>337598.12</v>
      </c>
      <c r="O647" s="706">
        <v>431610.67</v>
      </c>
      <c r="P647" s="706">
        <v>0</v>
      </c>
      <c r="Q647" s="706">
        <v>0</v>
      </c>
      <c r="R647" s="706">
        <v>0</v>
      </c>
      <c r="S647" s="706">
        <v>42199.77</v>
      </c>
      <c r="T647" s="706">
        <v>42199.77</v>
      </c>
      <c r="U647" s="706">
        <v>0</v>
      </c>
      <c r="V647" s="706">
        <v>0</v>
      </c>
      <c r="W647" s="706">
        <v>0</v>
      </c>
      <c r="X647" s="706">
        <v>0</v>
      </c>
      <c r="Y647" s="706">
        <v>2</v>
      </c>
      <c r="Z647" s="706">
        <v>2</v>
      </c>
      <c r="AA647" s="706">
        <v>2</v>
      </c>
      <c r="AB647" s="706">
        <v>3</v>
      </c>
      <c r="AC647" s="706">
        <v>3</v>
      </c>
      <c r="AD647" s="706">
        <v>4</v>
      </c>
      <c r="AE647" s="706">
        <v>0</v>
      </c>
      <c r="AF647" s="706">
        <v>0</v>
      </c>
      <c r="AG647" s="706">
        <v>0</v>
      </c>
      <c r="AH647" s="706">
        <v>0</v>
      </c>
      <c r="AI647" s="706">
        <v>0</v>
      </c>
      <c r="AJ647" s="905" t="str">
        <f t="shared" si="60"/>
        <v>G43001</v>
      </c>
      <c r="AK647" s="905" t="str">
        <f t="shared" si="61"/>
        <v>VTES - SILVERADO EV</v>
      </c>
      <c r="AL647" s="905">
        <f>IFERROR(INDEX(G647:R647,1,MATCH(Parametres!$B$3,G$1:R$1,0)-1)*IF(OR(F647="L",F647="S",F647="I"),-1,1),"")</f>
        <v>-337598.12</v>
      </c>
      <c r="AM647" s="905">
        <f t="shared" si="62"/>
        <v>0</v>
      </c>
      <c r="AN647" s="905">
        <f>INDEX(G647:R647,1,MATCH(Parametres!$B$3,G$1:R$1,0))*IF(OR(F647="L",F647="S",F647="I"),-1,1)</f>
        <v>-337598.12</v>
      </c>
      <c r="AO647" s="487" t="str">
        <f>+VLOOKUP($AJ647,Data_Validation!$A:$D,1,0)</f>
        <v>G43001</v>
      </c>
      <c r="AP647" s="487" t="str">
        <f>+VLOOKUP($AJ647,Data_Validation!$A:$D,3,0)</f>
        <v>Véhicules neufs</v>
      </c>
      <c r="AQ647" s="487" t="str">
        <f>+VLOOKUP($AJ647,Data_Validation!$A:$D,4,0)</f>
        <v>Camions electriques</v>
      </c>
      <c r="AR647" s="487" t="s">
        <v>299</v>
      </c>
      <c r="AS647" s="487" t="str">
        <f>+VLOOKUP($AJ647,Data_Validation!$A:$E,5,0)</f>
        <v>Oui</v>
      </c>
      <c r="AT647" s="904" t="str">
        <f t="shared" si="63"/>
        <v>G43001</v>
      </c>
      <c r="AU647" s="488" t="str">
        <f t="shared" si="64"/>
        <v>VTES - SILVERADO EV</v>
      </c>
      <c r="AV647" s="899">
        <f>IFERROR(INDEX(V647:AG647,1,MATCH(Parametres!$B$3,V$1:AG$1,0)-1)*IF(OR(C647="L",C647="S",C647="I"),-1,1),"")</f>
        <v>3</v>
      </c>
      <c r="AW647" s="899">
        <f t="shared" si="65"/>
        <v>0</v>
      </c>
      <c r="AX647" s="899">
        <f>INDEX(V647:AG647,1,MATCH(Parametres!$B$3,V$1:AG$1,0))*IF(OR(C647="L",C647="S",C647="I"),-1,1)</f>
        <v>3</v>
      </c>
      <c r="AY647" s="487" t="s">
        <v>337</v>
      </c>
      <c r="AZ647" s="487" t="str">
        <f>+VLOOKUP($AJ647,Data_Validation!$A:$E,5,0)</f>
        <v>Oui</v>
      </c>
    </row>
    <row r="648" spans="1:52" ht="15" customHeight="1">
      <c r="A648" s="706" t="s">
        <v>1148</v>
      </c>
      <c r="B648" s="706">
        <v>2026</v>
      </c>
      <c r="C648" s="706" t="s">
        <v>2332</v>
      </c>
      <c r="D648" s="706" t="s">
        <v>2333</v>
      </c>
      <c r="E648" s="706" t="s">
        <v>1149</v>
      </c>
      <c r="F648" s="706" t="s">
        <v>1149</v>
      </c>
      <c r="G648" s="706">
        <v>98800</v>
      </c>
      <c r="H648" s="706">
        <v>416993.4</v>
      </c>
      <c r="I648" s="706">
        <v>761414.4</v>
      </c>
      <c r="J648" s="706">
        <v>761414.4</v>
      </c>
      <c r="K648" s="706">
        <v>1002240.95</v>
      </c>
      <c r="L648" s="706">
        <v>1426646.45</v>
      </c>
      <c r="M648" s="706">
        <v>1687018.95</v>
      </c>
      <c r="N648" s="706">
        <v>1778089.07</v>
      </c>
      <c r="O648" s="706">
        <v>1893949.61</v>
      </c>
      <c r="P648" s="706">
        <v>0</v>
      </c>
      <c r="Q648" s="706">
        <v>0</v>
      </c>
      <c r="R648" s="706">
        <v>0</v>
      </c>
      <c r="S648" s="706">
        <v>222261.13</v>
      </c>
      <c r="T648" s="706">
        <v>222261.13</v>
      </c>
      <c r="U648" s="706">
        <v>0</v>
      </c>
      <c r="V648" s="706">
        <v>1</v>
      </c>
      <c r="W648" s="706">
        <v>4</v>
      </c>
      <c r="X648" s="706">
        <v>7</v>
      </c>
      <c r="Y648" s="706">
        <v>7</v>
      </c>
      <c r="Z648" s="706">
        <v>9</v>
      </c>
      <c r="AA648" s="706">
        <v>13</v>
      </c>
      <c r="AB648" s="706">
        <v>15</v>
      </c>
      <c r="AC648" s="706">
        <v>16</v>
      </c>
      <c r="AD648" s="706">
        <v>17</v>
      </c>
      <c r="AE648" s="706">
        <v>0</v>
      </c>
      <c r="AF648" s="706">
        <v>0</v>
      </c>
      <c r="AG648" s="706">
        <v>0</v>
      </c>
      <c r="AH648" s="706">
        <v>2</v>
      </c>
      <c r="AI648" s="706">
        <v>2</v>
      </c>
      <c r="AJ648" s="905" t="str">
        <f t="shared" si="60"/>
        <v>G43002</v>
      </c>
      <c r="AK648" s="905" t="str">
        <f t="shared" si="61"/>
        <v>VENTES - YUKON</v>
      </c>
      <c r="AL648" s="905">
        <f>IFERROR(INDEX(G648:R648,1,MATCH(Parametres!$B$3,G$1:R$1,0)-1)*IF(OR(F648="L",F648="S",F648="I"),-1,1),"")</f>
        <v>-1687018.95</v>
      </c>
      <c r="AM648" s="905">
        <f t="shared" si="62"/>
        <v>-91070.120000000112</v>
      </c>
      <c r="AN648" s="905">
        <f>INDEX(G648:R648,1,MATCH(Parametres!$B$3,G$1:R$1,0))*IF(OR(F648="L",F648="S",F648="I"),-1,1)</f>
        <v>-1778089.07</v>
      </c>
      <c r="AO648" s="487" t="str">
        <f>+VLOOKUP($AJ648,Data_Validation!$A:$D,1,0)</f>
        <v>G43002</v>
      </c>
      <c r="AP648" s="487" t="str">
        <f>+VLOOKUP($AJ648,Data_Validation!$A:$D,3,0)</f>
        <v>Véhicules neufs</v>
      </c>
      <c r="AQ648" s="487" t="str">
        <f>+VLOOKUP($AJ648,Data_Validation!$A:$D,4,0)</f>
        <v>Camions détail</v>
      </c>
      <c r="AR648" s="487" t="s">
        <v>299</v>
      </c>
      <c r="AS648" s="487" t="str">
        <f>+VLOOKUP($AJ648,Data_Validation!$A:$E,5,0)</f>
        <v>Oui</v>
      </c>
      <c r="AT648" s="904" t="str">
        <f t="shared" si="63"/>
        <v>G43002</v>
      </c>
      <c r="AU648" s="488" t="str">
        <f t="shared" si="64"/>
        <v>VENTES - YUKON</v>
      </c>
      <c r="AV648" s="899">
        <f>IFERROR(INDEX(V648:AG648,1,MATCH(Parametres!$B$3,V$1:AG$1,0)-1)*IF(OR(C648="L",C648="S",C648="I"),-1,1),"")</f>
        <v>15</v>
      </c>
      <c r="AW648" s="899">
        <f t="shared" si="65"/>
        <v>1</v>
      </c>
      <c r="AX648" s="899">
        <f>INDEX(V648:AG648,1,MATCH(Parametres!$B$3,V$1:AG$1,0))*IF(OR(C648="L",C648="S",C648="I"),-1,1)</f>
        <v>16</v>
      </c>
      <c r="AY648" s="487" t="s">
        <v>337</v>
      </c>
      <c r="AZ648" s="487" t="str">
        <f>+VLOOKUP($AJ648,Data_Validation!$A:$E,5,0)</f>
        <v>Oui</v>
      </c>
    </row>
    <row r="649" spans="1:52" ht="15" customHeight="1">
      <c r="A649" s="706" t="s">
        <v>1148</v>
      </c>
      <c r="B649" s="706">
        <v>2026</v>
      </c>
      <c r="C649" s="706" t="s">
        <v>2334</v>
      </c>
      <c r="D649" s="706" t="s">
        <v>2335</v>
      </c>
      <c r="E649" s="706" t="s">
        <v>1149</v>
      </c>
      <c r="F649" s="706" t="s">
        <v>1149</v>
      </c>
      <c r="G649" s="706">
        <v>0</v>
      </c>
      <c r="H649" s="706">
        <v>0</v>
      </c>
      <c r="I649" s="706">
        <v>0</v>
      </c>
      <c r="J649" s="706">
        <v>0</v>
      </c>
      <c r="K649" s="706">
        <v>0</v>
      </c>
      <c r="L649" s="706">
        <v>0</v>
      </c>
      <c r="M649" s="706">
        <v>0</v>
      </c>
      <c r="N649" s="706">
        <v>0</v>
      </c>
      <c r="O649" s="706">
        <v>0</v>
      </c>
      <c r="P649" s="706">
        <v>0</v>
      </c>
      <c r="Q649" s="706">
        <v>0</v>
      </c>
      <c r="R649" s="706">
        <v>0</v>
      </c>
      <c r="S649" s="706">
        <v>0</v>
      </c>
      <c r="T649" s="706">
        <v>0</v>
      </c>
      <c r="U649" s="706">
        <v>0</v>
      </c>
      <c r="V649" s="706">
        <v>0</v>
      </c>
      <c r="W649" s="706">
        <v>0</v>
      </c>
      <c r="X649" s="706">
        <v>0</v>
      </c>
      <c r="Y649" s="706">
        <v>0</v>
      </c>
      <c r="Z649" s="706">
        <v>0</v>
      </c>
      <c r="AA649" s="706">
        <v>0</v>
      </c>
      <c r="AB649" s="706">
        <v>0</v>
      </c>
      <c r="AC649" s="706">
        <v>0</v>
      </c>
      <c r="AD649" s="706">
        <v>0</v>
      </c>
      <c r="AE649" s="706">
        <v>0</v>
      </c>
      <c r="AF649" s="706">
        <v>0</v>
      </c>
      <c r="AG649" s="706">
        <v>0</v>
      </c>
      <c r="AH649" s="706">
        <v>0</v>
      </c>
      <c r="AI649" s="706">
        <v>0</v>
      </c>
      <c r="AJ649" s="905" t="str">
        <f t="shared" si="60"/>
        <v>G43020</v>
      </c>
      <c r="AK649" s="905" t="str">
        <f t="shared" si="61"/>
        <v>CL 1500 SILVERADO    -LOC</v>
      </c>
      <c r="AL649" s="905">
        <f>IFERROR(INDEX(G649:R649,1,MATCH(Parametres!$B$3,G$1:R$1,0)-1)*IF(OR(F649="L",F649="S",F649="I"),-1,1),"")</f>
        <v>0</v>
      </c>
      <c r="AM649" s="905">
        <f t="shared" si="62"/>
        <v>0</v>
      </c>
      <c r="AN649" s="905">
        <f>INDEX(G649:R649,1,MATCH(Parametres!$B$3,G$1:R$1,0))*IF(OR(F649="L",F649="S",F649="I"),-1,1)</f>
        <v>0</v>
      </c>
      <c r="AO649" s="487" t="e">
        <f>+VLOOKUP($AJ649,Data_Validation!$A:$D,1,0)</f>
        <v>#N/A</v>
      </c>
      <c r="AP649" s="487" t="e">
        <f>+VLOOKUP($AJ649,Data_Validation!$A:$D,3,0)</f>
        <v>#N/A</v>
      </c>
      <c r="AQ649" s="487" t="e">
        <f>+VLOOKUP($AJ649,Data_Validation!$A:$D,4,0)</f>
        <v>#N/A</v>
      </c>
      <c r="AR649" s="487" t="s">
        <v>299</v>
      </c>
      <c r="AS649" s="487" t="e">
        <f>+VLOOKUP($AJ649,Data_Validation!$A:$E,5,0)</f>
        <v>#N/A</v>
      </c>
      <c r="AT649" s="904" t="str">
        <f t="shared" si="63"/>
        <v>G43020</v>
      </c>
      <c r="AU649" s="488" t="str">
        <f t="shared" si="64"/>
        <v>CL 1500 SILVERADO    -LOC</v>
      </c>
      <c r="AV649" s="899">
        <f>IFERROR(INDEX(V649:AG649,1,MATCH(Parametres!$B$3,V$1:AG$1,0)-1)*IF(OR(C649="L",C649="S",C649="I"),-1,1),"")</f>
        <v>0</v>
      </c>
      <c r="AW649" s="899">
        <f t="shared" si="65"/>
        <v>0</v>
      </c>
      <c r="AX649" s="899">
        <f>INDEX(V649:AG649,1,MATCH(Parametres!$B$3,V$1:AG$1,0))*IF(OR(C649="L",C649="S",C649="I"),-1,1)</f>
        <v>0</v>
      </c>
      <c r="AY649" s="487" t="s">
        <v>337</v>
      </c>
      <c r="AZ649" s="487" t="e">
        <f>+VLOOKUP($AJ649,Data_Validation!$A:$E,5,0)</f>
        <v>#N/A</v>
      </c>
    </row>
    <row r="650" spans="1:52" ht="15" customHeight="1">
      <c r="A650" s="706" t="s">
        <v>1148</v>
      </c>
      <c r="B650" s="706">
        <v>2026</v>
      </c>
      <c r="C650" s="706" t="s">
        <v>2336</v>
      </c>
      <c r="D650" s="706" t="s">
        <v>2337</v>
      </c>
      <c r="E650" s="706" t="s">
        <v>1149</v>
      </c>
      <c r="F650" s="706" t="s">
        <v>1149</v>
      </c>
      <c r="G650" s="706">
        <v>99462.5</v>
      </c>
      <c r="H650" s="706">
        <v>300736.38</v>
      </c>
      <c r="I650" s="706">
        <v>699613.48</v>
      </c>
      <c r="J650" s="706">
        <v>699613.48</v>
      </c>
      <c r="K650" s="706">
        <v>797713.35</v>
      </c>
      <c r="L650" s="706">
        <v>900846.35</v>
      </c>
      <c r="M650" s="706">
        <v>982505.35</v>
      </c>
      <c r="N650" s="706">
        <v>1183426.69</v>
      </c>
      <c r="O650" s="706">
        <v>1183426.69</v>
      </c>
      <c r="P650" s="706">
        <v>0</v>
      </c>
      <c r="Q650" s="706">
        <v>0</v>
      </c>
      <c r="R650" s="706">
        <v>0</v>
      </c>
      <c r="S650" s="706">
        <v>147928.34</v>
      </c>
      <c r="T650" s="706">
        <v>147928.34</v>
      </c>
      <c r="U650" s="706">
        <v>0</v>
      </c>
      <c r="V650" s="706">
        <v>1</v>
      </c>
      <c r="W650" s="706">
        <v>3</v>
      </c>
      <c r="X650" s="706">
        <v>7</v>
      </c>
      <c r="Y650" s="706">
        <v>7</v>
      </c>
      <c r="Z650" s="706">
        <v>8</v>
      </c>
      <c r="AA650" s="706">
        <v>9</v>
      </c>
      <c r="AB650" s="706">
        <v>10</v>
      </c>
      <c r="AC650" s="706">
        <v>12</v>
      </c>
      <c r="AD650" s="706">
        <v>12</v>
      </c>
      <c r="AE650" s="706">
        <v>0</v>
      </c>
      <c r="AF650" s="706">
        <v>0</v>
      </c>
      <c r="AG650" s="706">
        <v>0</v>
      </c>
      <c r="AH650" s="706">
        <v>2</v>
      </c>
      <c r="AI650" s="706">
        <v>2</v>
      </c>
      <c r="AJ650" s="905" t="str">
        <f t="shared" si="60"/>
        <v>G43100</v>
      </c>
      <c r="AK650" s="905" t="str">
        <f t="shared" si="61"/>
        <v>VTES-CL 2500 SILVERADO</v>
      </c>
      <c r="AL650" s="905">
        <f>IFERROR(INDEX(G650:R650,1,MATCH(Parametres!$B$3,G$1:R$1,0)-1)*IF(OR(F650="L",F650="S",F650="I"),-1,1),"")</f>
        <v>-982505.35</v>
      </c>
      <c r="AM650" s="905">
        <f t="shared" si="62"/>
        <v>-200921.33999999997</v>
      </c>
      <c r="AN650" s="905">
        <f>INDEX(G650:R650,1,MATCH(Parametres!$B$3,G$1:R$1,0))*IF(OR(F650="L",F650="S",F650="I"),-1,1)</f>
        <v>-1183426.69</v>
      </c>
      <c r="AO650" s="487" t="str">
        <f>+VLOOKUP($AJ650,Data_Validation!$A:$D,1,0)</f>
        <v>G43100</v>
      </c>
      <c r="AP650" s="487" t="str">
        <f>+VLOOKUP($AJ650,Data_Validation!$A:$D,3,0)</f>
        <v>Véhicules neufs</v>
      </c>
      <c r="AQ650" s="487" t="str">
        <f>+VLOOKUP($AJ650,Data_Validation!$A:$D,4,0)</f>
        <v>Camions détail</v>
      </c>
      <c r="AR650" s="487" t="s">
        <v>299</v>
      </c>
      <c r="AS650" s="487" t="str">
        <f>+VLOOKUP($AJ650,Data_Validation!$A:$E,5,0)</f>
        <v>Oui</v>
      </c>
      <c r="AT650" s="904" t="str">
        <f t="shared" si="63"/>
        <v>G43100</v>
      </c>
      <c r="AU650" s="488" t="str">
        <f t="shared" si="64"/>
        <v>VTES-CL 2500 SILVERADO</v>
      </c>
      <c r="AV650" s="899">
        <f>IFERROR(INDEX(V650:AG650,1,MATCH(Parametres!$B$3,V$1:AG$1,0)-1)*IF(OR(C650="L",C650="S",C650="I"),-1,1),"")</f>
        <v>10</v>
      </c>
      <c r="AW650" s="899">
        <f t="shared" si="65"/>
        <v>2</v>
      </c>
      <c r="AX650" s="899">
        <f>INDEX(V650:AG650,1,MATCH(Parametres!$B$3,V$1:AG$1,0))*IF(OR(C650="L",C650="S",C650="I"),-1,1)</f>
        <v>12</v>
      </c>
      <c r="AY650" s="487" t="s">
        <v>337</v>
      </c>
      <c r="AZ650" s="487" t="str">
        <f>+VLOOKUP($AJ650,Data_Validation!$A:$E,5,0)</f>
        <v>Oui</v>
      </c>
    </row>
    <row r="651" spans="1:52" ht="15" customHeight="1">
      <c r="A651" s="706" t="s">
        <v>1148</v>
      </c>
      <c r="B651" s="706">
        <v>2026</v>
      </c>
      <c r="C651" s="706" t="s">
        <v>2338</v>
      </c>
      <c r="D651" s="706" t="s">
        <v>2339</v>
      </c>
      <c r="E651" s="706" t="s">
        <v>1149</v>
      </c>
      <c r="F651" s="706" t="s">
        <v>1149</v>
      </c>
      <c r="G651" s="706">
        <v>151109.81</v>
      </c>
      <c r="H651" s="706">
        <v>552459.31000000006</v>
      </c>
      <c r="I651" s="706">
        <v>877349.59</v>
      </c>
      <c r="J651" s="706">
        <v>1661761.38</v>
      </c>
      <c r="K651" s="706">
        <v>2046401.16</v>
      </c>
      <c r="L651" s="706">
        <v>2212712.61</v>
      </c>
      <c r="M651" s="706">
        <v>2761064.06</v>
      </c>
      <c r="N651" s="706">
        <v>3369328.95</v>
      </c>
      <c r="O651" s="706">
        <v>3680189.45</v>
      </c>
      <c r="P651" s="706">
        <v>0</v>
      </c>
      <c r="Q651" s="706">
        <v>0</v>
      </c>
      <c r="R651" s="706">
        <v>0</v>
      </c>
      <c r="S651" s="706">
        <v>421166.12</v>
      </c>
      <c r="T651" s="706">
        <v>421166.12</v>
      </c>
      <c r="U651" s="706">
        <v>0</v>
      </c>
      <c r="V651" s="706">
        <v>2</v>
      </c>
      <c r="W651" s="706">
        <v>7</v>
      </c>
      <c r="X651" s="706">
        <v>11</v>
      </c>
      <c r="Y651" s="706">
        <v>21</v>
      </c>
      <c r="Z651" s="706">
        <v>26</v>
      </c>
      <c r="AA651" s="706">
        <v>28</v>
      </c>
      <c r="AB651" s="706">
        <v>35</v>
      </c>
      <c r="AC651" s="706">
        <v>43</v>
      </c>
      <c r="AD651" s="706">
        <v>47</v>
      </c>
      <c r="AE651" s="706">
        <v>0</v>
      </c>
      <c r="AF651" s="706">
        <v>0</v>
      </c>
      <c r="AG651" s="706">
        <v>0</v>
      </c>
      <c r="AH651" s="706">
        <v>5</v>
      </c>
      <c r="AI651" s="706">
        <v>5</v>
      </c>
      <c r="AJ651" s="905" t="str">
        <f t="shared" si="60"/>
        <v>G43102</v>
      </c>
      <c r="AK651" s="905" t="str">
        <f t="shared" si="61"/>
        <v>VENTE CL 1500 SIERRA</v>
      </c>
      <c r="AL651" s="905">
        <f>IFERROR(INDEX(G651:R651,1,MATCH(Parametres!$B$3,G$1:R$1,0)-1)*IF(OR(F651="L",F651="S",F651="I"),-1,1),"")</f>
        <v>-2761064.06</v>
      </c>
      <c r="AM651" s="905">
        <f t="shared" si="62"/>
        <v>-608264.89000000013</v>
      </c>
      <c r="AN651" s="905">
        <f>INDEX(G651:R651,1,MATCH(Parametres!$B$3,G$1:R$1,0))*IF(OR(F651="L",F651="S",F651="I"),-1,1)</f>
        <v>-3369328.95</v>
      </c>
      <c r="AO651" s="487" t="str">
        <f>+VLOOKUP($AJ651,Data_Validation!$A:$D,1,0)</f>
        <v>G43102</v>
      </c>
      <c r="AP651" s="487" t="str">
        <f>+VLOOKUP($AJ651,Data_Validation!$A:$D,3,0)</f>
        <v>Véhicules neufs</v>
      </c>
      <c r="AQ651" s="487" t="str">
        <f>+VLOOKUP($AJ651,Data_Validation!$A:$D,4,0)</f>
        <v>Camions détail</v>
      </c>
      <c r="AR651" s="487" t="s">
        <v>299</v>
      </c>
      <c r="AS651" s="487" t="str">
        <f>+VLOOKUP($AJ651,Data_Validation!$A:$E,5,0)</f>
        <v>Oui</v>
      </c>
      <c r="AT651" s="904" t="str">
        <f t="shared" si="63"/>
        <v>G43102</v>
      </c>
      <c r="AU651" s="488" t="str">
        <f t="shared" si="64"/>
        <v>VENTE CL 1500 SIERRA</v>
      </c>
      <c r="AV651" s="899">
        <f>IFERROR(INDEX(V651:AG651,1,MATCH(Parametres!$B$3,V$1:AG$1,0)-1)*IF(OR(C651="L",C651="S",C651="I"),-1,1),"")</f>
        <v>35</v>
      </c>
      <c r="AW651" s="899">
        <f t="shared" si="65"/>
        <v>8</v>
      </c>
      <c r="AX651" s="899">
        <f>INDEX(V651:AG651,1,MATCH(Parametres!$B$3,V$1:AG$1,0))*IF(OR(C651="L",C651="S",C651="I"),-1,1)</f>
        <v>43</v>
      </c>
      <c r="AY651" s="487" t="s">
        <v>337</v>
      </c>
      <c r="AZ651" s="487" t="str">
        <f>+VLOOKUP($AJ651,Data_Validation!$A:$E,5,0)</f>
        <v>Oui</v>
      </c>
    </row>
    <row r="652" spans="1:52" ht="15" customHeight="1">
      <c r="A652" s="706" t="s">
        <v>1148</v>
      </c>
      <c r="B652" s="706">
        <v>2026</v>
      </c>
      <c r="C652" s="706" t="s">
        <v>2340</v>
      </c>
      <c r="D652" s="706" t="s">
        <v>2341</v>
      </c>
      <c r="E652" s="706" t="s">
        <v>1149</v>
      </c>
      <c r="F652" s="706" t="s">
        <v>1149</v>
      </c>
      <c r="G652" s="706">
        <v>112099</v>
      </c>
      <c r="H652" s="706">
        <v>220097</v>
      </c>
      <c r="I652" s="706">
        <v>220097</v>
      </c>
      <c r="J652" s="706">
        <v>332280.53999999998</v>
      </c>
      <c r="K652" s="706">
        <v>332280.53999999998</v>
      </c>
      <c r="L652" s="706">
        <v>427949.66</v>
      </c>
      <c r="M652" s="706">
        <v>427949.66</v>
      </c>
      <c r="N652" s="706">
        <v>427949.66</v>
      </c>
      <c r="O652" s="706">
        <v>427949.66</v>
      </c>
      <c r="P652" s="706">
        <v>0</v>
      </c>
      <c r="Q652" s="706">
        <v>0</v>
      </c>
      <c r="R652" s="706">
        <v>0</v>
      </c>
      <c r="S652" s="706">
        <v>53493.71</v>
      </c>
      <c r="T652" s="706">
        <v>53493.71</v>
      </c>
      <c r="U652" s="706">
        <v>0</v>
      </c>
      <c r="V652" s="706">
        <v>1</v>
      </c>
      <c r="W652" s="706">
        <v>2</v>
      </c>
      <c r="X652" s="706">
        <v>2</v>
      </c>
      <c r="Y652" s="706">
        <v>3</v>
      </c>
      <c r="Z652" s="706">
        <v>3</v>
      </c>
      <c r="AA652" s="706">
        <v>4</v>
      </c>
      <c r="AB652" s="706">
        <v>4</v>
      </c>
      <c r="AC652" s="706">
        <v>4</v>
      </c>
      <c r="AD652" s="706">
        <v>4</v>
      </c>
      <c r="AE652" s="706">
        <v>0</v>
      </c>
      <c r="AF652" s="706">
        <v>0</v>
      </c>
      <c r="AG652" s="706">
        <v>0</v>
      </c>
      <c r="AH652" s="706">
        <v>1</v>
      </c>
      <c r="AI652" s="706">
        <v>1</v>
      </c>
      <c r="AJ652" s="905" t="str">
        <f t="shared" si="60"/>
        <v>G43103</v>
      </c>
      <c r="AK652" s="905" t="str">
        <f t="shared" si="61"/>
        <v>VENTE - SIERRA EV</v>
      </c>
      <c r="AL652" s="905">
        <f>IFERROR(INDEX(G652:R652,1,MATCH(Parametres!$B$3,G$1:R$1,0)-1)*IF(OR(F652="L",F652="S",F652="I"),-1,1),"")</f>
        <v>-427949.66</v>
      </c>
      <c r="AM652" s="905">
        <f t="shared" si="62"/>
        <v>0</v>
      </c>
      <c r="AN652" s="905">
        <f>INDEX(G652:R652,1,MATCH(Parametres!$B$3,G$1:R$1,0))*IF(OR(F652="L",F652="S",F652="I"),-1,1)</f>
        <v>-427949.66</v>
      </c>
      <c r="AO652" s="487" t="str">
        <f>+VLOOKUP($AJ652,Data_Validation!$A:$D,1,0)</f>
        <v>G43103</v>
      </c>
      <c r="AP652" s="487" t="str">
        <f>+VLOOKUP($AJ652,Data_Validation!$A:$D,3,0)</f>
        <v>Véhicules neufs</v>
      </c>
      <c r="AQ652" s="487" t="str">
        <f>+VLOOKUP($AJ652,Data_Validation!$A:$D,4,0)</f>
        <v>Camions electriques</v>
      </c>
      <c r="AR652" s="487" t="s">
        <v>299</v>
      </c>
      <c r="AS652" s="487" t="str">
        <f>+VLOOKUP($AJ652,Data_Validation!$A:$E,5,0)</f>
        <v>Oui</v>
      </c>
      <c r="AT652" s="904" t="str">
        <f t="shared" si="63"/>
        <v>G43103</v>
      </c>
      <c r="AU652" s="488" t="str">
        <f t="shared" si="64"/>
        <v>VENTE - SIERRA EV</v>
      </c>
      <c r="AV652" s="899">
        <f>IFERROR(INDEX(V652:AG652,1,MATCH(Parametres!$B$3,V$1:AG$1,0)-1)*IF(OR(C652="L",C652="S",C652="I"),-1,1),"")</f>
        <v>4</v>
      </c>
      <c r="AW652" s="899">
        <f t="shared" si="65"/>
        <v>0</v>
      </c>
      <c r="AX652" s="899">
        <f>INDEX(V652:AG652,1,MATCH(Parametres!$B$3,V$1:AG$1,0))*IF(OR(C652="L",C652="S",C652="I"),-1,1)</f>
        <v>4</v>
      </c>
      <c r="AY652" s="487" t="s">
        <v>337</v>
      </c>
      <c r="AZ652" s="487" t="str">
        <f>+VLOOKUP($AJ652,Data_Validation!$A:$E,5,0)</f>
        <v>Oui</v>
      </c>
    </row>
    <row r="653" spans="1:52" ht="15" customHeight="1">
      <c r="A653" s="706" t="s">
        <v>1148</v>
      </c>
      <c r="B653" s="706">
        <v>2026</v>
      </c>
      <c r="C653" s="706" t="s">
        <v>2342</v>
      </c>
      <c r="D653" s="706" t="s">
        <v>2343</v>
      </c>
      <c r="E653" s="706" t="s">
        <v>1149</v>
      </c>
      <c r="F653" s="706" t="s">
        <v>1149</v>
      </c>
      <c r="G653" s="706">
        <v>0</v>
      </c>
      <c r="H653" s="706">
        <v>0</v>
      </c>
      <c r="I653" s="706">
        <v>0</v>
      </c>
      <c r="J653" s="706">
        <v>0</v>
      </c>
      <c r="K653" s="706">
        <v>0</v>
      </c>
      <c r="L653" s="706">
        <v>0</v>
      </c>
      <c r="M653" s="706">
        <v>0</v>
      </c>
      <c r="N653" s="706">
        <v>0</v>
      </c>
      <c r="O653" s="706">
        <v>0</v>
      </c>
      <c r="P653" s="706">
        <v>0</v>
      </c>
      <c r="Q653" s="706">
        <v>0</v>
      </c>
      <c r="R653" s="706">
        <v>0</v>
      </c>
      <c r="S653" s="706">
        <v>0</v>
      </c>
      <c r="T653" s="706">
        <v>0</v>
      </c>
      <c r="U653" s="706">
        <v>0</v>
      </c>
      <c r="V653" s="706">
        <v>0</v>
      </c>
      <c r="W653" s="706">
        <v>0</v>
      </c>
      <c r="X653" s="706">
        <v>0</v>
      </c>
      <c r="Y653" s="706">
        <v>0</v>
      </c>
      <c r="Z653" s="706">
        <v>0</v>
      </c>
      <c r="AA653" s="706">
        <v>0</v>
      </c>
      <c r="AB653" s="706">
        <v>0</v>
      </c>
      <c r="AC653" s="706">
        <v>0</v>
      </c>
      <c r="AD653" s="706">
        <v>0</v>
      </c>
      <c r="AE653" s="706">
        <v>0</v>
      </c>
      <c r="AF653" s="706">
        <v>0</v>
      </c>
      <c r="AG653" s="706">
        <v>0</v>
      </c>
      <c r="AH653" s="706">
        <v>0</v>
      </c>
      <c r="AI653" s="706">
        <v>0</v>
      </c>
      <c r="AJ653" s="905" t="str">
        <f t="shared" si="60"/>
        <v>G43120</v>
      </c>
      <c r="AK653" s="905" t="str">
        <f t="shared" si="61"/>
        <v>VTES-CL 2500 SILVERAD-LOC</v>
      </c>
      <c r="AL653" s="905">
        <f>IFERROR(INDEX(G653:R653,1,MATCH(Parametres!$B$3,G$1:R$1,0)-1)*IF(OR(F653="L",F653="S",F653="I"),-1,1),"")</f>
        <v>0</v>
      </c>
      <c r="AM653" s="905">
        <f t="shared" si="62"/>
        <v>0</v>
      </c>
      <c r="AN653" s="905">
        <f>INDEX(G653:R653,1,MATCH(Parametres!$B$3,G$1:R$1,0))*IF(OR(F653="L",F653="S",F653="I"),-1,1)</f>
        <v>0</v>
      </c>
      <c r="AO653" s="487" t="e">
        <f>+VLOOKUP($AJ653,Data_Validation!$A:$D,1,0)</f>
        <v>#N/A</v>
      </c>
      <c r="AP653" s="487" t="e">
        <f>+VLOOKUP($AJ653,Data_Validation!$A:$D,3,0)</f>
        <v>#N/A</v>
      </c>
      <c r="AQ653" s="487" t="e">
        <f>+VLOOKUP($AJ653,Data_Validation!$A:$D,4,0)</f>
        <v>#N/A</v>
      </c>
      <c r="AR653" s="487" t="s">
        <v>299</v>
      </c>
      <c r="AS653" s="487" t="e">
        <f>+VLOOKUP($AJ653,Data_Validation!$A:$E,5,0)</f>
        <v>#N/A</v>
      </c>
      <c r="AT653" s="904" t="str">
        <f t="shared" si="63"/>
        <v>G43120</v>
      </c>
      <c r="AU653" s="488" t="str">
        <f t="shared" si="64"/>
        <v>VTES-CL 2500 SILVERAD-LOC</v>
      </c>
      <c r="AV653" s="899">
        <f>IFERROR(INDEX(V653:AG653,1,MATCH(Parametres!$B$3,V$1:AG$1,0)-1)*IF(OR(C653="L",C653="S",C653="I"),-1,1),"")</f>
        <v>0</v>
      </c>
      <c r="AW653" s="899">
        <f t="shared" si="65"/>
        <v>0</v>
      </c>
      <c r="AX653" s="899">
        <f>INDEX(V653:AG653,1,MATCH(Parametres!$B$3,V$1:AG$1,0))*IF(OR(C653="L",C653="S",C653="I"),-1,1)</f>
        <v>0</v>
      </c>
      <c r="AY653" s="487" t="s">
        <v>337</v>
      </c>
      <c r="AZ653" s="487" t="e">
        <f>+VLOOKUP($AJ653,Data_Validation!$A:$E,5,0)</f>
        <v>#N/A</v>
      </c>
    </row>
    <row r="654" spans="1:52" ht="15" customHeight="1">
      <c r="A654" s="706" t="s">
        <v>1148</v>
      </c>
      <c r="B654" s="706">
        <v>2026</v>
      </c>
      <c r="C654" s="706" t="s">
        <v>2344</v>
      </c>
      <c r="D654" s="706" t="s">
        <v>2345</v>
      </c>
      <c r="E654" s="706" t="s">
        <v>1149</v>
      </c>
      <c r="F654" s="706" t="s">
        <v>1149</v>
      </c>
      <c r="G654" s="706">
        <v>0</v>
      </c>
      <c r="H654" s="706">
        <v>0</v>
      </c>
      <c r="I654" s="706">
        <v>0</v>
      </c>
      <c r="J654" s="706">
        <v>0</v>
      </c>
      <c r="K654" s="706">
        <v>0</v>
      </c>
      <c r="L654" s="706">
        <v>0</v>
      </c>
      <c r="M654" s="706">
        <v>0</v>
      </c>
      <c r="N654" s="706">
        <v>0</v>
      </c>
      <c r="O654" s="706">
        <v>0</v>
      </c>
      <c r="P654" s="706">
        <v>0</v>
      </c>
      <c r="Q654" s="706">
        <v>0</v>
      </c>
      <c r="R654" s="706">
        <v>0</v>
      </c>
      <c r="S654" s="706">
        <v>0</v>
      </c>
      <c r="T654" s="706">
        <v>0</v>
      </c>
      <c r="U654" s="706">
        <v>0</v>
      </c>
      <c r="V654" s="706">
        <v>0</v>
      </c>
      <c r="W654" s="706">
        <v>0</v>
      </c>
      <c r="X654" s="706">
        <v>0</v>
      </c>
      <c r="Y654" s="706">
        <v>0</v>
      </c>
      <c r="Z654" s="706">
        <v>0</v>
      </c>
      <c r="AA654" s="706">
        <v>0</v>
      </c>
      <c r="AB654" s="706">
        <v>0</v>
      </c>
      <c r="AC654" s="706">
        <v>0</v>
      </c>
      <c r="AD654" s="706">
        <v>0</v>
      </c>
      <c r="AE654" s="706">
        <v>0</v>
      </c>
      <c r="AF654" s="706">
        <v>0</v>
      </c>
      <c r="AG654" s="706">
        <v>0</v>
      </c>
      <c r="AH654" s="706">
        <v>0</v>
      </c>
      <c r="AI654" s="706">
        <v>0</v>
      </c>
      <c r="AJ654" s="905" t="str">
        <f t="shared" si="60"/>
        <v>G43200</v>
      </c>
      <c r="AK654" s="905" t="str">
        <f t="shared" si="61"/>
        <v>VTES-CL 3500 SILVERADO</v>
      </c>
      <c r="AL654" s="905">
        <f>IFERROR(INDEX(G654:R654,1,MATCH(Parametres!$B$3,G$1:R$1,0)-1)*IF(OR(F654="L",F654="S",F654="I"),-1,1),"")</f>
        <v>0</v>
      </c>
      <c r="AM654" s="905">
        <f t="shared" si="62"/>
        <v>0</v>
      </c>
      <c r="AN654" s="905">
        <f>INDEX(G654:R654,1,MATCH(Parametres!$B$3,G$1:R$1,0))*IF(OR(F654="L",F654="S",F654="I"),-1,1)</f>
        <v>0</v>
      </c>
      <c r="AO654" s="487" t="str">
        <f>+VLOOKUP($AJ654,Data_Validation!$A:$D,1,0)</f>
        <v>G43200</v>
      </c>
      <c r="AP654" s="487" t="str">
        <f>+VLOOKUP($AJ654,Data_Validation!$A:$D,3,0)</f>
        <v>Véhicules neufs</v>
      </c>
      <c r="AQ654" s="487" t="str">
        <f>+VLOOKUP($AJ654,Data_Validation!$A:$D,4,0)</f>
        <v>Camions détail</v>
      </c>
      <c r="AR654" s="487" t="s">
        <v>299</v>
      </c>
      <c r="AS654" s="487" t="str">
        <f>+VLOOKUP($AJ654,Data_Validation!$A:$E,5,0)</f>
        <v>Oui</v>
      </c>
      <c r="AT654" s="904" t="str">
        <f t="shared" si="63"/>
        <v>G43200</v>
      </c>
      <c r="AU654" s="488" t="str">
        <f t="shared" si="64"/>
        <v>VTES-CL 3500 SILVERADO</v>
      </c>
      <c r="AV654" s="899">
        <f>IFERROR(INDEX(V654:AG654,1,MATCH(Parametres!$B$3,V$1:AG$1,0)-1)*IF(OR(C654="L",C654="S",C654="I"),-1,1),"")</f>
        <v>0</v>
      </c>
      <c r="AW654" s="899">
        <f t="shared" si="65"/>
        <v>0</v>
      </c>
      <c r="AX654" s="899">
        <f>INDEX(V654:AG654,1,MATCH(Parametres!$B$3,V$1:AG$1,0))*IF(OR(C654="L",C654="S",C654="I"),-1,1)</f>
        <v>0</v>
      </c>
      <c r="AY654" s="487" t="s">
        <v>337</v>
      </c>
      <c r="AZ654" s="487" t="str">
        <f>+VLOOKUP($AJ654,Data_Validation!$A:$E,5,0)</f>
        <v>Oui</v>
      </c>
    </row>
    <row r="655" spans="1:52" ht="15" customHeight="1">
      <c r="A655" s="706" t="s">
        <v>1148</v>
      </c>
      <c r="B655" s="706">
        <v>2026</v>
      </c>
      <c r="C655" s="706" t="s">
        <v>2346</v>
      </c>
      <c r="D655" s="706" t="s">
        <v>2347</v>
      </c>
      <c r="E655" s="706" t="s">
        <v>1149</v>
      </c>
      <c r="F655" s="706" t="s">
        <v>1149</v>
      </c>
      <c r="G655" s="706">
        <v>335187.62</v>
      </c>
      <c r="H655" s="706">
        <v>335187.62</v>
      </c>
      <c r="I655" s="706">
        <v>550751.96</v>
      </c>
      <c r="J655" s="706">
        <v>988047.33</v>
      </c>
      <c r="K655" s="706">
        <v>1385656.33</v>
      </c>
      <c r="L655" s="706">
        <v>1507893.33</v>
      </c>
      <c r="M655" s="706">
        <v>1736558.83</v>
      </c>
      <c r="N655" s="706">
        <v>1844697.83</v>
      </c>
      <c r="O655" s="706">
        <v>1844697.83</v>
      </c>
      <c r="P655" s="706">
        <v>0</v>
      </c>
      <c r="Q655" s="706">
        <v>0</v>
      </c>
      <c r="R655" s="706">
        <v>0</v>
      </c>
      <c r="S655" s="706">
        <v>230587.23</v>
      </c>
      <c r="T655" s="706">
        <v>230587.23</v>
      </c>
      <c r="U655" s="706">
        <v>0</v>
      </c>
      <c r="V655" s="706">
        <v>3</v>
      </c>
      <c r="W655" s="706">
        <v>3</v>
      </c>
      <c r="X655" s="706">
        <v>5</v>
      </c>
      <c r="Y655" s="706">
        <v>9</v>
      </c>
      <c r="Z655" s="706">
        <v>13</v>
      </c>
      <c r="AA655" s="706">
        <v>14</v>
      </c>
      <c r="AB655" s="706">
        <v>16</v>
      </c>
      <c r="AC655" s="706">
        <v>17</v>
      </c>
      <c r="AD655" s="706">
        <v>17</v>
      </c>
      <c r="AE655" s="706">
        <v>0</v>
      </c>
      <c r="AF655" s="706">
        <v>0</v>
      </c>
      <c r="AG655" s="706">
        <v>0</v>
      </c>
      <c r="AH655" s="706">
        <v>2</v>
      </c>
      <c r="AI655" s="706">
        <v>2</v>
      </c>
      <c r="AJ655" s="905" t="str">
        <f t="shared" si="60"/>
        <v>G43202</v>
      </c>
      <c r="AK655" s="905" t="str">
        <f t="shared" si="61"/>
        <v>VENTES - CL2500 SIERRA</v>
      </c>
      <c r="AL655" s="905">
        <f>IFERROR(INDEX(G655:R655,1,MATCH(Parametres!$B$3,G$1:R$1,0)-1)*IF(OR(F655="L",F655="S",F655="I"),-1,1),"")</f>
        <v>-1736558.83</v>
      </c>
      <c r="AM655" s="905">
        <f t="shared" si="62"/>
        <v>-108139</v>
      </c>
      <c r="AN655" s="905">
        <f>INDEX(G655:R655,1,MATCH(Parametres!$B$3,G$1:R$1,0))*IF(OR(F655="L",F655="S",F655="I"),-1,1)</f>
        <v>-1844697.83</v>
      </c>
      <c r="AO655" s="487" t="str">
        <f>+VLOOKUP($AJ655,Data_Validation!$A:$D,1,0)</f>
        <v>G43202</v>
      </c>
      <c r="AP655" s="487" t="str">
        <f>+VLOOKUP($AJ655,Data_Validation!$A:$D,3,0)</f>
        <v>Véhicules neufs</v>
      </c>
      <c r="AQ655" s="487" t="str">
        <f>+VLOOKUP($AJ655,Data_Validation!$A:$D,4,0)</f>
        <v>Camions détail</v>
      </c>
      <c r="AR655" s="487" t="s">
        <v>299</v>
      </c>
      <c r="AS655" s="487" t="str">
        <f>+VLOOKUP($AJ655,Data_Validation!$A:$E,5,0)</f>
        <v>Oui</v>
      </c>
      <c r="AT655" s="904" t="str">
        <f t="shared" si="63"/>
        <v>G43202</v>
      </c>
      <c r="AU655" s="488" t="str">
        <f t="shared" si="64"/>
        <v>VENTES - CL2500 SIERRA</v>
      </c>
      <c r="AV655" s="899">
        <f>IFERROR(INDEX(V655:AG655,1,MATCH(Parametres!$B$3,V$1:AG$1,0)-1)*IF(OR(C655="L",C655="S",C655="I"),-1,1),"")</f>
        <v>16</v>
      </c>
      <c r="AW655" s="899">
        <f t="shared" si="65"/>
        <v>1</v>
      </c>
      <c r="AX655" s="899">
        <f>INDEX(V655:AG655,1,MATCH(Parametres!$B$3,V$1:AG$1,0))*IF(OR(C655="L",C655="S",C655="I"),-1,1)</f>
        <v>17</v>
      </c>
      <c r="AY655" s="487" t="s">
        <v>337</v>
      </c>
      <c r="AZ655" s="487" t="str">
        <f>+VLOOKUP($AJ655,Data_Validation!$A:$E,5,0)</f>
        <v>Oui</v>
      </c>
    </row>
    <row r="656" spans="1:52" ht="15" customHeight="1">
      <c r="A656" s="706" t="s">
        <v>1148</v>
      </c>
      <c r="B656" s="706">
        <v>2026</v>
      </c>
      <c r="C656" s="706" t="s">
        <v>2348</v>
      </c>
      <c r="D656" s="706" t="s">
        <v>2349</v>
      </c>
      <c r="E656" s="706" t="s">
        <v>1149</v>
      </c>
      <c r="F656" s="706" t="s">
        <v>1149</v>
      </c>
      <c r="G656" s="706">
        <v>234777.15</v>
      </c>
      <c r="H656" s="706">
        <v>234777.15</v>
      </c>
      <c r="I656" s="706">
        <v>351065.15</v>
      </c>
      <c r="J656" s="706">
        <v>351065.15</v>
      </c>
      <c r="K656" s="706">
        <v>351065.15</v>
      </c>
      <c r="L656" s="706">
        <v>351065.15</v>
      </c>
      <c r="M656" s="706">
        <v>351065.15</v>
      </c>
      <c r="N656" s="706">
        <v>351065.15</v>
      </c>
      <c r="O656" s="706">
        <v>351065.15</v>
      </c>
      <c r="P656" s="706">
        <v>0</v>
      </c>
      <c r="Q656" s="706">
        <v>0</v>
      </c>
      <c r="R656" s="706">
        <v>0</v>
      </c>
      <c r="S656" s="706">
        <v>43883.14</v>
      </c>
      <c r="T656" s="706">
        <v>43883.14</v>
      </c>
      <c r="U656" s="706">
        <v>0</v>
      </c>
      <c r="V656" s="706">
        <v>2</v>
      </c>
      <c r="W656" s="706">
        <v>2</v>
      </c>
      <c r="X656" s="706">
        <v>3</v>
      </c>
      <c r="Y656" s="706">
        <v>3</v>
      </c>
      <c r="Z656" s="706">
        <v>3</v>
      </c>
      <c r="AA656" s="706">
        <v>3</v>
      </c>
      <c r="AB656" s="706">
        <v>3</v>
      </c>
      <c r="AC656" s="706">
        <v>3</v>
      </c>
      <c r="AD656" s="706">
        <v>3</v>
      </c>
      <c r="AE656" s="706">
        <v>0</v>
      </c>
      <c r="AF656" s="706">
        <v>0</v>
      </c>
      <c r="AG656" s="706">
        <v>0</v>
      </c>
      <c r="AH656" s="706">
        <v>0</v>
      </c>
      <c r="AI656" s="706">
        <v>0</v>
      </c>
      <c r="AJ656" s="905" t="str">
        <f t="shared" si="60"/>
        <v>G43203</v>
      </c>
      <c r="AK656" s="905" t="str">
        <f t="shared" si="61"/>
        <v>VENTES - SIERRA 3500</v>
      </c>
      <c r="AL656" s="905">
        <f>IFERROR(INDEX(G656:R656,1,MATCH(Parametres!$B$3,G$1:R$1,0)-1)*IF(OR(F656="L",F656="S",F656="I"),-1,1),"")</f>
        <v>-351065.15</v>
      </c>
      <c r="AM656" s="905">
        <f t="shared" si="62"/>
        <v>0</v>
      </c>
      <c r="AN656" s="905">
        <f>INDEX(G656:R656,1,MATCH(Parametres!$B$3,G$1:R$1,0))*IF(OR(F656="L",F656="S",F656="I"),-1,1)</f>
        <v>-351065.15</v>
      </c>
      <c r="AO656" s="487" t="str">
        <f>+VLOOKUP($AJ656,Data_Validation!$A:$D,1,0)</f>
        <v>G43203</v>
      </c>
      <c r="AP656" s="487" t="str">
        <f>+VLOOKUP($AJ656,Data_Validation!$A:$D,3,0)</f>
        <v>Véhicules neufs</v>
      </c>
      <c r="AQ656" s="487" t="str">
        <f>+VLOOKUP($AJ656,Data_Validation!$A:$D,4,0)</f>
        <v>Camions détail</v>
      </c>
      <c r="AR656" s="487" t="s">
        <v>299</v>
      </c>
      <c r="AS656" s="487" t="str">
        <f>+VLOOKUP($AJ656,Data_Validation!$A:$E,5,0)</f>
        <v>Oui</v>
      </c>
      <c r="AT656" s="904" t="str">
        <f t="shared" si="63"/>
        <v>G43203</v>
      </c>
      <c r="AU656" s="488" t="str">
        <f t="shared" si="64"/>
        <v>VENTES - SIERRA 3500</v>
      </c>
      <c r="AV656" s="899">
        <f>IFERROR(INDEX(V656:AG656,1,MATCH(Parametres!$B$3,V$1:AG$1,0)-1)*IF(OR(C656="L",C656="S",C656="I"),-1,1),"")</f>
        <v>3</v>
      </c>
      <c r="AW656" s="899">
        <f t="shared" si="65"/>
        <v>0</v>
      </c>
      <c r="AX656" s="899">
        <f>INDEX(V656:AG656,1,MATCH(Parametres!$B$3,V$1:AG$1,0))*IF(OR(C656="L",C656="S",C656="I"),-1,1)</f>
        <v>3</v>
      </c>
      <c r="AY656" s="487" t="s">
        <v>337</v>
      </c>
      <c r="AZ656" s="487" t="str">
        <f>+VLOOKUP($AJ656,Data_Validation!$A:$E,5,0)</f>
        <v>Oui</v>
      </c>
    </row>
    <row r="657" spans="1:52" ht="15" customHeight="1">
      <c r="A657" s="706" t="s">
        <v>1148</v>
      </c>
      <c r="B657" s="706">
        <v>2026</v>
      </c>
      <c r="C657" s="706" t="s">
        <v>2350</v>
      </c>
      <c r="D657" s="706" t="s">
        <v>2351</v>
      </c>
      <c r="E657" s="706" t="s">
        <v>1149</v>
      </c>
      <c r="F657" s="706" t="s">
        <v>1149</v>
      </c>
      <c r="G657" s="706">
        <v>0</v>
      </c>
      <c r="H657" s="706">
        <v>0</v>
      </c>
      <c r="I657" s="706">
        <v>0</v>
      </c>
      <c r="J657" s="706">
        <v>0</v>
      </c>
      <c r="K657" s="706">
        <v>0</v>
      </c>
      <c r="L657" s="706">
        <v>38693</v>
      </c>
      <c r="M657" s="706">
        <v>38693</v>
      </c>
      <c r="N657" s="706">
        <v>38693</v>
      </c>
      <c r="O657" s="706">
        <v>38693</v>
      </c>
      <c r="P657" s="706">
        <v>0</v>
      </c>
      <c r="Q657" s="706">
        <v>0</v>
      </c>
      <c r="R657" s="706">
        <v>0</v>
      </c>
      <c r="S657" s="706">
        <v>4836.63</v>
      </c>
      <c r="T657" s="706">
        <v>4836.63</v>
      </c>
      <c r="U657" s="706">
        <v>0</v>
      </c>
      <c r="V657" s="706">
        <v>0</v>
      </c>
      <c r="W657" s="706">
        <v>0</v>
      </c>
      <c r="X657" s="706">
        <v>0</v>
      </c>
      <c r="Y657" s="706">
        <v>0</v>
      </c>
      <c r="Z657" s="706">
        <v>0</v>
      </c>
      <c r="AA657" s="706">
        <v>1</v>
      </c>
      <c r="AB657" s="706">
        <v>1</v>
      </c>
      <c r="AC657" s="706">
        <v>1</v>
      </c>
      <c r="AD657" s="706">
        <v>1</v>
      </c>
      <c r="AE657" s="706">
        <v>0</v>
      </c>
      <c r="AF657" s="706">
        <v>0</v>
      </c>
      <c r="AG657" s="706">
        <v>0</v>
      </c>
      <c r="AH657" s="706">
        <v>0</v>
      </c>
      <c r="AI657" s="706">
        <v>0</v>
      </c>
      <c r="AJ657" s="905" t="str">
        <f t="shared" si="60"/>
        <v>G43300</v>
      </c>
      <c r="AK657" s="905" t="str">
        <f t="shared" si="61"/>
        <v>VENTES BLAZER</v>
      </c>
      <c r="AL657" s="905">
        <f>IFERROR(INDEX(G657:R657,1,MATCH(Parametres!$B$3,G$1:R$1,0)-1)*IF(OR(F657="L",F657="S",F657="I"),-1,1),"")</f>
        <v>-38693</v>
      </c>
      <c r="AM657" s="905">
        <f t="shared" si="62"/>
        <v>0</v>
      </c>
      <c r="AN657" s="905">
        <f>INDEX(G657:R657,1,MATCH(Parametres!$B$3,G$1:R$1,0))*IF(OR(F657="L",F657="S",F657="I"),-1,1)</f>
        <v>-38693</v>
      </c>
      <c r="AO657" s="487" t="str">
        <f>+VLOOKUP($AJ657,Data_Validation!$A:$D,1,0)</f>
        <v>G43300</v>
      </c>
      <c r="AP657" s="487" t="str">
        <f>+VLOOKUP($AJ657,Data_Validation!$A:$D,3,0)</f>
        <v>Véhicules neufs</v>
      </c>
      <c r="AQ657" s="487" t="str">
        <f>+VLOOKUP($AJ657,Data_Validation!$A:$D,4,0)</f>
        <v>Camions détail</v>
      </c>
      <c r="AR657" s="487" t="s">
        <v>299</v>
      </c>
      <c r="AS657" s="487" t="str">
        <f>+VLOOKUP($AJ657,Data_Validation!$A:$E,5,0)</f>
        <v>Oui</v>
      </c>
      <c r="AT657" s="904" t="str">
        <f t="shared" si="63"/>
        <v>G43300</v>
      </c>
      <c r="AU657" s="488" t="str">
        <f t="shared" si="64"/>
        <v>VENTES BLAZER</v>
      </c>
      <c r="AV657" s="899">
        <f>IFERROR(INDEX(V657:AG657,1,MATCH(Parametres!$B$3,V$1:AG$1,0)-1)*IF(OR(C657="L",C657="S",C657="I"),-1,1),"")</f>
        <v>1</v>
      </c>
      <c r="AW657" s="899">
        <f t="shared" si="65"/>
        <v>0</v>
      </c>
      <c r="AX657" s="899">
        <f>INDEX(V657:AG657,1,MATCH(Parametres!$B$3,V$1:AG$1,0))*IF(OR(C657="L",C657="S",C657="I"),-1,1)</f>
        <v>1</v>
      </c>
      <c r="AY657" s="487" t="s">
        <v>337</v>
      </c>
      <c r="AZ657" s="487" t="str">
        <f>+VLOOKUP($AJ657,Data_Validation!$A:$E,5,0)</f>
        <v>Oui</v>
      </c>
    </row>
    <row r="658" spans="1:52" ht="15" customHeight="1">
      <c r="A658" s="706" t="s">
        <v>1148</v>
      </c>
      <c r="B658" s="706">
        <v>2026</v>
      </c>
      <c r="C658" s="706" t="s">
        <v>2352</v>
      </c>
      <c r="D658" s="706" t="s">
        <v>2353</v>
      </c>
      <c r="E658" s="706" t="s">
        <v>1149</v>
      </c>
      <c r="F658" s="706" t="s">
        <v>1149</v>
      </c>
      <c r="G658" s="706">
        <v>0</v>
      </c>
      <c r="H658" s="706">
        <v>0</v>
      </c>
      <c r="I658" s="706">
        <v>178425.14</v>
      </c>
      <c r="J658" s="706">
        <v>340072.14</v>
      </c>
      <c r="K658" s="706">
        <v>458380.64</v>
      </c>
      <c r="L658" s="706">
        <v>458380.64</v>
      </c>
      <c r="M658" s="706">
        <v>458380.64</v>
      </c>
      <c r="N658" s="706">
        <v>458380.64</v>
      </c>
      <c r="O658" s="706">
        <v>519902.64</v>
      </c>
      <c r="P658" s="706">
        <v>0</v>
      </c>
      <c r="Q658" s="706">
        <v>0</v>
      </c>
      <c r="R658" s="706">
        <v>0</v>
      </c>
      <c r="S658" s="706">
        <v>57297.58</v>
      </c>
      <c r="T658" s="706">
        <v>57297.58</v>
      </c>
      <c r="U658" s="706">
        <v>0</v>
      </c>
      <c r="V658" s="706">
        <v>0</v>
      </c>
      <c r="W658" s="706">
        <v>0</v>
      </c>
      <c r="X658" s="706">
        <v>3</v>
      </c>
      <c r="Y658" s="706">
        <v>6</v>
      </c>
      <c r="Z658" s="706">
        <v>8</v>
      </c>
      <c r="AA658" s="706">
        <v>8</v>
      </c>
      <c r="AB658" s="706">
        <v>8</v>
      </c>
      <c r="AC658" s="706">
        <v>8</v>
      </c>
      <c r="AD658" s="706">
        <v>9</v>
      </c>
      <c r="AE658" s="706">
        <v>0</v>
      </c>
      <c r="AF658" s="706">
        <v>0</v>
      </c>
      <c r="AG658" s="706">
        <v>0</v>
      </c>
      <c r="AH658" s="706">
        <v>1</v>
      </c>
      <c r="AI658" s="706">
        <v>1</v>
      </c>
      <c r="AJ658" s="905" t="str">
        <f t="shared" si="60"/>
        <v>G43301</v>
      </c>
      <c r="AK658" s="905" t="str">
        <f t="shared" si="61"/>
        <v>VENTES BLAZER EV</v>
      </c>
      <c r="AL658" s="905">
        <f>IFERROR(INDEX(G658:R658,1,MATCH(Parametres!$B$3,G$1:R$1,0)-1)*IF(OR(F658="L",F658="S",F658="I"),-1,1),"")</f>
        <v>-458380.64</v>
      </c>
      <c r="AM658" s="905">
        <f t="shared" si="62"/>
        <v>0</v>
      </c>
      <c r="AN658" s="905">
        <f>INDEX(G658:R658,1,MATCH(Parametres!$B$3,G$1:R$1,0))*IF(OR(F658="L",F658="S",F658="I"),-1,1)</f>
        <v>-458380.64</v>
      </c>
      <c r="AO658" s="487" t="str">
        <f>+VLOOKUP($AJ658,Data_Validation!$A:$D,1,0)</f>
        <v>G43301</v>
      </c>
      <c r="AP658" s="487" t="str">
        <f>+VLOOKUP($AJ658,Data_Validation!$A:$D,3,0)</f>
        <v>Véhicules neufs</v>
      </c>
      <c r="AQ658" s="487" t="str">
        <f>+VLOOKUP($AJ658,Data_Validation!$A:$D,4,0)</f>
        <v>Camions electriques</v>
      </c>
      <c r="AR658" s="487" t="s">
        <v>299</v>
      </c>
      <c r="AS658" s="487" t="str">
        <f>+VLOOKUP($AJ658,Data_Validation!$A:$E,5,0)</f>
        <v>Oui</v>
      </c>
      <c r="AT658" s="904" t="str">
        <f t="shared" si="63"/>
        <v>G43301</v>
      </c>
      <c r="AU658" s="488" t="str">
        <f t="shared" si="64"/>
        <v>VENTES BLAZER EV</v>
      </c>
      <c r="AV658" s="899">
        <f>IFERROR(INDEX(V658:AG658,1,MATCH(Parametres!$B$3,V$1:AG$1,0)-1)*IF(OR(C658="L",C658="S",C658="I"),-1,1),"")</f>
        <v>8</v>
      </c>
      <c r="AW658" s="899">
        <f t="shared" si="65"/>
        <v>0</v>
      </c>
      <c r="AX658" s="899">
        <f>INDEX(V658:AG658,1,MATCH(Parametres!$B$3,V$1:AG$1,0))*IF(OR(C658="L",C658="S",C658="I"),-1,1)</f>
        <v>8</v>
      </c>
      <c r="AY658" s="487" t="s">
        <v>337</v>
      </c>
      <c r="AZ658" s="487" t="str">
        <f>+VLOOKUP($AJ658,Data_Validation!$A:$E,5,0)</f>
        <v>Oui</v>
      </c>
    </row>
    <row r="659" spans="1:52" ht="15" customHeight="1">
      <c r="A659" s="706" t="s">
        <v>1148</v>
      </c>
      <c r="B659" s="706">
        <v>2026</v>
      </c>
      <c r="C659" s="706" t="s">
        <v>2354</v>
      </c>
      <c r="D659" s="706" t="s">
        <v>2355</v>
      </c>
      <c r="E659" s="706" t="s">
        <v>1149</v>
      </c>
      <c r="F659" s="706" t="s">
        <v>1149</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905" t="str">
        <f t="shared" ref="AJ659:AJ663" si="66">C659</f>
        <v>G43320</v>
      </c>
      <c r="AK659" s="905" t="str">
        <f t="shared" ref="AK659:AK663" si="67">D659</f>
        <v>VTES-AVALANCHE       -LOC</v>
      </c>
      <c r="AL659" s="905">
        <f>IFERROR(INDEX(G659:R659,1,MATCH(Parametres!$B$3,G$1:R$1,0)-1)*IF(OR(F659="L",F659="S",F659="I"),-1,1),"")</f>
        <v>0</v>
      </c>
      <c r="AM659" s="905">
        <f t="shared" si="62"/>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63"/>
        <v>G43320</v>
      </c>
      <c r="AU659" s="488" t="str">
        <f t="shared" si="64"/>
        <v>VTES-AVALANCHE       -LOC</v>
      </c>
      <c r="AV659" s="899">
        <f>IFERROR(INDEX(V659:AG659,1,MATCH(Parametres!$B$3,V$1:AG$1,0)-1)*IF(OR(C659="L",C659="S",C659="I"),-1,1),"")</f>
        <v>0</v>
      </c>
      <c r="AW659" s="899">
        <f t="shared" si="65"/>
        <v>0</v>
      </c>
      <c r="AX659" s="899">
        <f>INDEX(V659:AG659,1,MATCH(Parametres!$B$3,V$1:AG$1,0))*IF(OR(C659="L",C659="S",C659="I"),-1,1)</f>
        <v>0</v>
      </c>
      <c r="AY659" s="487" t="s">
        <v>337</v>
      </c>
      <c r="AZ659" s="487" t="e">
        <f>+VLOOKUP($AJ659,Data_Validation!$A:$E,5,0)</f>
        <v>#N/A</v>
      </c>
    </row>
    <row r="660" spans="1:52" ht="15" customHeight="1">
      <c r="A660" s="706" t="s">
        <v>1148</v>
      </c>
      <c r="B660" s="706">
        <v>2026</v>
      </c>
      <c r="C660" s="706" t="s">
        <v>2356</v>
      </c>
      <c r="D660" s="706" t="s">
        <v>2357</v>
      </c>
      <c r="E660" s="706" t="s">
        <v>1149</v>
      </c>
      <c r="F660" s="706" t="s">
        <v>1149</v>
      </c>
      <c r="G660" s="706">
        <v>84235</v>
      </c>
      <c r="H660" s="706">
        <v>173987.78</v>
      </c>
      <c r="I660" s="706">
        <v>221362.43</v>
      </c>
      <c r="J660" s="706">
        <v>262011.43</v>
      </c>
      <c r="K660" s="706">
        <v>309659.93</v>
      </c>
      <c r="L660" s="706">
        <v>353920.93</v>
      </c>
      <c r="M660" s="706">
        <v>391398.43</v>
      </c>
      <c r="N660" s="706">
        <v>391398.43</v>
      </c>
      <c r="O660" s="706">
        <v>391398.43</v>
      </c>
      <c r="P660" s="706">
        <v>0</v>
      </c>
      <c r="Q660" s="706">
        <v>0</v>
      </c>
      <c r="R660" s="706">
        <v>0</v>
      </c>
      <c r="S660" s="706">
        <v>48924.800000000003</v>
      </c>
      <c r="T660" s="706">
        <v>48924.800000000003</v>
      </c>
      <c r="U660" s="706">
        <v>0</v>
      </c>
      <c r="V660" s="706">
        <v>2</v>
      </c>
      <c r="W660" s="706">
        <v>4</v>
      </c>
      <c r="X660" s="706">
        <v>5</v>
      </c>
      <c r="Y660" s="706">
        <v>6</v>
      </c>
      <c r="Z660" s="706">
        <v>7</v>
      </c>
      <c r="AA660" s="706">
        <v>8</v>
      </c>
      <c r="AB660" s="706">
        <v>9</v>
      </c>
      <c r="AC660" s="706">
        <v>9</v>
      </c>
      <c r="AD660" s="706">
        <v>9</v>
      </c>
      <c r="AE660" s="706">
        <v>0</v>
      </c>
      <c r="AF660" s="706">
        <v>0</v>
      </c>
      <c r="AG660" s="706">
        <v>0</v>
      </c>
      <c r="AH660" s="706">
        <v>1</v>
      </c>
      <c r="AI660" s="706">
        <v>1</v>
      </c>
      <c r="AJ660" s="905" t="str">
        <f t="shared" si="66"/>
        <v>G43400</v>
      </c>
      <c r="AK660" s="905" t="str">
        <f t="shared" si="67"/>
        <v>VENTES EQUINOX</v>
      </c>
      <c r="AL660" s="905">
        <f>IFERROR(INDEX(G660:R660,1,MATCH(Parametres!$B$3,G$1:R$1,0)-1)*IF(OR(F660="L",F660="S",F660="I"),-1,1),"")</f>
        <v>-391398.43</v>
      </c>
      <c r="AM660" s="905">
        <f t="shared" si="62"/>
        <v>0</v>
      </c>
      <c r="AN660" s="905">
        <f>INDEX(G660:R660,1,MATCH(Parametres!$B$3,G$1:R$1,0))*IF(OR(F660="L",F660="S",F660="I"),-1,1)</f>
        <v>-391398.43</v>
      </c>
      <c r="AO660" s="487" t="str">
        <f>+VLOOKUP($AJ660,Data_Validation!$A:$D,1,0)</f>
        <v>G43400</v>
      </c>
      <c r="AP660" s="487" t="str">
        <f>+VLOOKUP($AJ660,Data_Validation!$A:$D,3,0)</f>
        <v>Véhicules neufs</v>
      </c>
      <c r="AQ660" s="487" t="str">
        <f>+VLOOKUP($AJ660,Data_Validation!$A:$D,4,0)</f>
        <v>Camions détail</v>
      </c>
      <c r="AR660" s="487" t="s">
        <v>299</v>
      </c>
      <c r="AS660" s="487" t="str">
        <f>+VLOOKUP($AJ660,Data_Validation!$A:$E,5,0)</f>
        <v>Oui</v>
      </c>
      <c r="AT660" s="904" t="str">
        <f t="shared" si="63"/>
        <v>G43400</v>
      </c>
      <c r="AU660" s="488" t="str">
        <f t="shared" si="64"/>
        <v>VENTES EQUINOX</v>
      </c>
      <c r="AV660" s="899">
        <f>IFERROR(INDEX(V660:AG660,1,MATCH(Parametres!$B$3,V$1:AG$1,0)-1)*IF(OR(C660="L",C660="S",C660="I"),-1,1),"")</f>
        <v>9</v>
      </c>
      <c r="AW660" s="899">
        <f t="shared" si="65"/>
        <v>0</v>
      </c>
      <c r="AX660" s="899">
        <f>INDEX(V660:AG660,1,MATCH(Parametres!$B$3,V$1:AG$1,0))*IF(OR(C660="L",C660="S",C660="I"),-1,1)</f>
        <v>9</v>
      </c>
      <c r="AY660" s="487" t="s">
        <v>337</v>
      </c>
      <c r="AZ660" s="487" t="str">
        <f>+VLOOKUP($AJ660,Data_Validation!$A:$E,5,0)</f>
        <v>Oui</v>
      </c>
    </row>
    <row r="661" spans="1:52" ht="15" customHeight="1">
      <c r="A661" s="706" t="s">
        <v>1148</v>
      </c>
      <c r="B661" s="706">
        <v>2026</v>
      </c>
      <c r="C661" s="706" t="s">
        <v>2358</v>
      </c>
      <c r="D661" s="706" t="s">
        <v>2359</v>
      </c>
      <c r="E661" s="706" t="s">
        <v>1149</v>
      </c>
      <c r="F661" s="706" t="s">
        <v>1149</v>
      </c>
      <c r="G661" s="706">
        <v>0</v>
      </c>
      <c r="H661" s="706">
        <v>110438.28</v>
      </c>
      <c r="I661" s="706">
        <v>348535.12</v>
      </c>
      <c r="J661" s="706">
        <v>1423503.96</v>
      </c>
      <c r="K661" s="706">
        <v>1573976.96</v>
      </c>
      <c r="L661" s="706">
        <v>1622869.96</v>
      </c>
      <c r="M661" s="706">
        <v>1949739.22</v>
      </c>
      <c r="N661" s="706">
        <v>2432205.88</v>
      </c>
      <c r="O661" s="706">
        <v>2782562.38</v>
      </c>
      <c r="P661" s="706">
        <v>0</v>
      </c>
      <c r="Q661" s="706">
        <v>0</v>
      </c>
      <c r="R661" s="706">
        <v>0</v>
      </c>
      <c r="S661" s="706">
        <v>304025.74</v>
      </c>
      <c r="T661" s="706">
        <v>304025.74</v>
      </c>
      <c r="U661" s="706">
        <v>0</v>
      </c>
      <c r="V661" s="706">
        <v>0</v>
      </c>
      <c r="W661" s="706">
        <v>2</v>
      </c>
      <c r="X661" s="706">
        <v>7</v>
      </c>
      <c r="Y661" s="706">
        <v>29</v>
      </c>
      <c r="Z661" s="706">
        <v>32</v>
      </c>
      <c r="AA661" s="706">
        <v>33</v>
      </c>
      <c r="AB661" s="706">
        <v>40</v>
      </c>
      <c r="AC661" s="706">
        <v>50</v>
      </c>
      <c r="AD661" s="706">
        <v>57</v>
      </c>
      <c r="AE661" s="706">
        <v>0</v>
      </c>
      <c r="AF661" s="706">
        <v>0</v>
      </c>
      <c r="AG661" s="706">
        <v>0</v>
      </c>
      <c r="AH661" s="706">
        <v>6</v>
      </c>
      <c r="AI661" s="706">
        <v>6</v>
      </c>
      <c r="AJ661" s="905" t="str">
        <f t="shared" si="66"/>
        <v>G43401</v>
      </c>
      <c r="AK661" s="905" t="str">
        <f t="shared" si="67"/>
        <v>VTES - EQUINOX EV</v>
      </c>
      <c r="AL661" s="905">
        <f>IFERROR(INDEX(G661:R661,1,MATCH(Parametres!$B$3,G$1:R$1,0)-1)*IF(OR(F661="L",F661="S",F661="I"),-1,1),"")</f>
        <v>-1949739.22</v>
      </c>
      <c r="AM661" s="905">
        <f t="shared" si="62"/>
        <v>-482466.65999999992</v>
      </c>
      <c r="AN661" s="905">
        <f>INDEX(G661:R661,1,MATCH(Parametres!$B$3,G$1:R$1,0))*IF(OR(F661="L",F661="S",F661="I"),-1,1)</f>
        <v>-2432205.88</v>
      </c>
      <c r="AO661" s="487" t="str">
        <f>+VLOOKUP($AJ661,Data_Validation!$A:$D,1,0)</f>
        <v>G43401</v>
      </c>
      <c r="AP661" s="487" t="str">
        <f>+VLOOKUP($AJ661,Data_Validation!$A:$D,3,0)</f>
        <v>Véhicules neufs</v>
      </c>
      <c r="AQ661" s="487" t="str">
        <f>+VLOOKUP($AJ661,Data_Validation!$A:$D,4,0)</f>
        <v>Camions electriques</v>
      </c>
      <c r="AR661" s="487" t="s">
        <v>299</v>
      </c>
      <c r="AS661" s="487" t="str">
        <f>+VLOOKUP($AJ661,Data_Validation!$A:$E,5,0)</f>
        <v>Oui</v>
      </c>
      <c r="AT661" s="904" t="str">
        <f t="shared" si="63"/>
        <v>G43401</v>
      </c>
      <c r="AU661" s="488" t="str">
        <f t="shared" si="64"/>
        <v>VTES - EQUINOX EV</v>
      </c>
      <c r="AV661" s="899">
        <f>IFERROR(INDEX(V661:AG661,1,MATCH(Parametres!$B$3,V$1:AG$1,0)-1)*IF(OR(C661="L",C661="S",C661="I"),-1,1),"")</f>
        <v>40</v>
      </c>
      <c r="AW661" s="899">
        <f t="shared" si="65"/>
        <v>10</v>
      </c>
      <c r="AX661" s="899">
        <f>INDEX(V661:AG661,1,MATCH(Parametres!$B$3,V$1:AG$1,0))*IF(OR(C661="L",C661="S",C661="I"),-1,1)</f>
        <v>50</v>
      </c>
      <c r="AY661" s="487" t="s">
        <v>337</v>
      </c>
      <c r="AZ661" s="487" t="str">
        <f>+VLOOKUP($AJ661,Data_Validation!$A:$E,5,0)</f>
        <v>Oui</v>
      </c>
    </row>
    <row r="662" spans="1:52" ht="15" customHeight="1">
      <c r="A662" s="706" t="s">
        <v>1148</v>
      </c>
      <c r="B662" s="706">
        <v>2026</v>
      </c>
      <c r="C662" s="706" t="s">
        <v>2360</v>
      </c>
      <c r="D662" s="706" t="s">
        <v>2361</v>
      </c>
      <c r="E662" s="706" t="s">
        <v>1149</v>
      </c>
      <c r="F662" s="706" t="s">
        <v>1149</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905" t="str">
        <f t="shared" si="66"/>
        <v>G43420</v>
      </c>
      <c r="AK662" s="905" t="str">
        <f t="shared" si="67"/>
        <v>VTES-TRACKER         -LOC</v>
      </c>
      <c r="AL662" s="905">
        <f>IFERROR(INDEX(G662:R662,1,MATCH(Parametres!$B$3,G$1:R$1,0)-1)*IF(OR(F662="L",F662="S",F662="I"),-1,1),"")</f>
        <v>0</v>
      </c>
      <c r="AM662" s="905">
        <f t="shared" si="62"/>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63"/>
        <v>G43420</v>
      </c>
      <c r="AU662" s="488" t="str">
        <f t="shared" si="64"/>
        <v>VTES-TRACKER         -LOC</v>
      </c>
      <c r="AV662" s="899">
        <f>IFERROR(INDEX(V662:AG662,1,MATCH(Parametres!$B$3,V$1:AG$1,0)-1)*IF(OR(C662="L",C662="S",C662="I"),-1,1),"")</f>
        <v>0</v>
      </c>
      <c r="AW662" s="899">
        <f t="shared" si="65"/>
        <v>0</v>
      </c>
      <c r="AX662" s="899">
        <f>INDEX(V662:AG662,1,MATCH(Parametres!$B$3,V$1:AG$1,0))*IF(OR(C662="L",C662="S",C662="I"),-1,1)</f>
        <v>0</v>
      </c>
      <c r="AY662" s="487" t="s">
        <v>337</v>
      </c>
      <c r="AZ662" s="487" t="e">
        <f>+VLOOKUP($AJ662,Data_Validation!$A:$E,5,0)</f>
        <v>#N/A</v>
      </c>
    </row>
    <row r="663" spans="1:52" ht="15" customHeight="1">
      <c r="A663" s="706" t="s">
        <v>1148</v>
      </c>
      <c r="B663" s="706">
        <v>2026</v>
      </c>
      <c r="C663" s="706" t="s">
        <v>2362</v>
      </c>
      <c r="D663" s="706" t="s">
        <v>2363</v>
      </c>
      <c r="E663" s="706" t="s">
        <v>1149</v>
      </c>
      <c r="F663" s="706" t="s">
        <v>1149</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905" t="str">
        <f t="shared" si="66"/>
        <v>G43500</v>
      </c>
      <c r="AK663" s="905" t="str">
        <f t="shared" si="67"/>
        <v>VENTES CHEV CITY</v>
      </c>
      <c r="AL663" s="905">
        <f>IFERROR(INDEX(G663:R663,1,MATCH(Parametres!$B$3,G$1:R$1,0)-1)*IF(OR(F663="L",F663="S",F663="I"),-1,1),"")</f>
        <v>0</v>
      </c>
      <c r="AM663" s="905">
        <f t="shared" si="62"/>
        <v>0</v>
      </c>
      <c r="AN663" s="905">
        <f>INDEX(G663:R663,1,MATCH(Parametres!$B$3,G$1:R$1,0))*IF(OR(F663="L",F663="S",F663="I"),-1,1)</f>
        <v>0</v>
      </c>
      <c r="AO663" s="487" t="str">
        <f>+VLOOKUP($AJ663,Data_Validation!$A:$D,1,0)</f>
        <v>G43500</v>
      </c>
      <c r="AP663" s="487" t="str">
        <f>+VLOOKUP($AJ663,Data_Validation!$A:$D,3,0)</f>
        <v>Véhicules neufs</v>
      </c>
      <c r="AQ663" s="487" t="str">
        <f>+VLOOKUP($AJ663,Data_Validation!$A:$D,4,0)</f>
        <v>Camions détail</v>
      </c>
      <c r="AR663" s="487" t="s">
        <v>299</v>
      </c>
      <c r="AS663" s="487" t="str">
        <f>+VLOOKUP($AJ663,Data_Validation!$A:$E,5,0)</f>
        <v>Oui</v>
      </c>
      <c r="AT663" s="904" t="str">
        <f t="shared" si="63"/>
        <v>G43500</v>
      </c>
      <c r="AU663" s="488" t="str">
        <f t="shared" si="64"/>
        <v>VENTES CHEV CITY</v>
      </c>
      <c r="AV663" s="899">
        <f>IFERROR(INDEX(V663:AG663,1,MATCH(Parametres!$B$3,V$1:AG$1,0)-1)*IF(OR(C663="L",C663="S",C663="I"),-1,1),"")</f>
        <v>0</v>
      </c>
      <c r="AW663" s="899">
        <f t="shared" si="65"/>
        <v>0</v>
      </c>
      <c r="AX663" s="899">
        <f>INDEX(V663:AG663,1,MATCH(Parametres!$B$3,V$1:AG$1,0))*IF(OR(C663="L",C663="S",C663="I"),-1,1)</f>
        <v>0</v>
      </c>
      <c r="AY663" s="487" t="s">
        <v>337</v>
      </c>
      <c r="AZ663" s="487" t="str">
        <f>+VLOOKUP($AJ663,Data_Validation!$A:$E,5,0)</f>
        <v>Oui</v>
      </c>
    </row>
    <row r="664" spans="1:52" ht="15" customHeight="1">
      <c r="A664" s="706" t="s">
        <v>1148</v>
      </c>
      <c r="B664" s="706">
        <v>2026</v>
      </c>
      <c r="C664" s="706" t="s">
        <v>2364</v>
      </c>
      <c r="D664" s="706" t="s">
        <v>2365</v>
      </c>
      <c r="E664" s="706" t="s">
        <v>1149</v>
      </c>
      <c r="F664" s="706" t="s">
        <v>1149</v>
      </c>
      <c r="G664" s="706">
        <v>0</v>
      </c>
      <c r="H664" s="706">
        <v>0</v>
      </c>
      <c r="I664" s="706">
        <v>0</v>
      </c>
      <c r="J664" s="706">
        <v>0</v>
      </c>
      <c r="K664" s="706">
        <v>0</v>
      </c>
      <c r="L664" s="706">
        <v>0</v>
      </c>
      <c r="M664" s="706">
        <v>127470.08</v>
      </c>
      <c r="N664" s="706">
        <v>127470.08</v>
      </c>
      <c r="O664" s="706">
        <v>127470.08</v>
      </c>
      <c r="P664" s="706">
        <v>0</v>
      </c>
      <c r="Q664" s="706">
        <v>0</v>
      </c>
      <c r="R664" s="706">
        <v>0</v>
      </c>
      <c r="S664" s="706">
        <v>15933.76</v>
      </c>
      <c r="T664" s="706">
        <v>15933.76</v>
      </c>
      <c r="U664" s="706">
        <v>0</v>
      </c>
      <c r="V664" s="706">
        <v>0</v>
      </c>
      <c r="W664" s="706">
        <v>0</v>
      </c>
      <c r="X664" s="706">
        <v>0</v>
      </c>
      <c r="Y664" s="706">
        <v>0</v>
      </c>
      <c r="Z664" s="706">
        <v>0</v>
      </c>
      <c r="AA664" s="706">
        <v>0</v>
      </c>
      <c r="AB664" s="706">
        <v>1</v>
      </c>
      <c r="AC664" s="706">
        <v>1</v>
      </c>
      <c r="AD664" s="706">
        <v>1</v>
      </c>
      <c r="AE664" s="706">
        <v>0</v>
      </c>
      <c r="AF664" s="706">
        <v>0</v>
      </c>
      <c r="AG664" s="706">
        <v>0</v>
      </c>
      <c r="AH664" s="706">
        <v>0</v>
      </c>
      <c r="AI664" s="706">
        <v>0</v>
      </c>
      <c r="AJ664" s="905" t="str">
        <f t="shared" ref="AJ664:AJ727" si="68">C664</f>
        <v>G43501</v>
      </c>
      <c r="AK664" s="905" t="str">
        <f t="shared" ref="AK664:AK727" si="69">D664</f>
        <v>VTES - HUMMER EV SUV</v>
      </c>
      <c r="AL664" s="905">
        <f>IFERROR(INDEX(G664:R664,1,MATCH(Parametres!$B$3,G$1:R$1,0)-1)*IF(OR(F664="L",F664="S",F664="I"),-1,1),"")</f>
        <v>-127470.08</v>
      </c>
      <c r="AM664" s="905">
        <f t="shared" ref="AM664:AM727" si="70">AN664-AL664</f>
        <v>0</v>
      </c>
      <c r="AN664" s="905">
        <f>INDEX(G664:R664,1,MATCH(Parametres!$B$3,G$1:R$1,0))*IF(OR(F664="L",F664="S",F664="I"),-1,1)</f>
        <v>-127470.08</v>
      </c>
      <c r="AO664" s="487" t="str">
        <f>+VLOOKUP($AJ664,Data_Validation!$A:$D,1,0)</f>
        <v>G43501</v>
      </c>
      <c r="AP664" s="487" t="str">
        <f>+VLOOKUP($AJ664,Data_Validation!$A:$D,3,0)</f>
        <v>Véhicules neufs</v>
      </c>
      <c r="AQ664" s="487" t="str">
        <f>+VLOOKUP($AJ664,Data_Validation!$A:$D,4,0)</f>
        <v>Camions electriques</v>
      </c>
      <c r="AR664" s="487" t="s">
        <v>299</v>
      </c>
      <c r="AS664" s="487" t="str">
        <f>+VLOOKUP($AJ664,Data_Validation!$A:$E,5,0)</f>
        <v>Oui</v>
      </c>
      <c r="AT664" s="904" t="str">
        <f t="shared" ref="AT664:AT727" si="71">C664</f>
        <v>G43501</v>
      </c>
      <c r="AU664" s="488" t="str">
        <f t="shared" ref="AU664:AU727" si="72">D664</f>
        <v>VTES - HUMMER EV SUV</v>
      </c>
      <c r="AV664" s="899">
        <f>IFERROR(INDEX(V664:AG664,1,MATCH(Parametres!$B$3,V$1:AG$1,0)-1)*IF(OR(C664="L",C664="S",C664="I"),-1,1),"")</f>
        <v>1</v>
      </c>
      <c r="AW664" s="899">
        <f t="shared" ref="AW664:AW727" si="73">AX664-AV664</f>
        <v>0</v>
      </c>
      <c r="AX664" s="899">
        <f>INDEX(V664:AG664,1,MATCH(Parametres!$B$3,V$1:AG$1,0))*IF(OR(C664="L",C664="S",C664="I"),-1,1)</f>
        <v>1</v>
      </c>
      <c r="AY664" s="487" t="s">
        <v>337</v>
      </c>
      <c r="AZ664" s="487" t="str">
        <f>+VLOOKUP($AJ664,Data_Validation!$A:$E,5,0)</f>
        <v>Oui</v>
      </c>
    </row>
    <row r="665" spans="1:52" ht="15" customHeight="1">
      <c r="A665" s="706" t="s">
        <v>1148</v>
      </c>
      <c r="B665" s="706">
        <v>2026</v>
      </c>
      <c r="C665" s="706" t="s">
        <v>2366</v>
      </c>
      <c r="D665" s="706" t="s">
        <v>2367</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G43520</v>
      </c>
      <c r="AK665" s="905" t="str">
        <f t="shared" si="69"/>
        <v>VTES-SSR             -LOC</v>
      </c>
      <c r="AL665" s="905">
        <f>IFERROR(INDEX(G665:R665,1,MATCH(Parametres!$B$3,G$1:R$1,0)-1)*IF(OR(F665="L",F665="S",F665="I"),-1,1),"")</f>
        <v>0</v>
      </c>
      <c r="AM665" s="905">
        <f t="shared" si="70"/>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71"/>
        <v>G43520</v>
      </c>
      <c r="AU665" s="488" t="str">
        <f t="shared" si="72"/>
        <v>VTES-SSR             -LOC</v>
      </c>
      <c r="AV665" s="899">
        <f>IFERROR(INDEX(V665:AG665,1,MATCH(Parametres!$B$3,V$1:AG$1,0)-1)*IF(OR(C665="L",C665="S",C665="I"),-1,1),"")</f>
        <v>0</v>
      </c>
      <c r="AW665" s="899">
        <f t="shared" si="73"/>
        <v>0</v>
      </c>
      <c r="AX665" s="899">
        <f>INDEX(V665:AG665,1,MATCH(Parametres!$B$3,V$1:AG$1,0))*IF(OR(C665="L",C665="S",C665="I"),-1,1)</f>
        <v>0</v>
      </c>
      <c r="AY665" s="487" t="s">
        <v>337</v>
      </c>
      <c r="AZ665" s="487" t="e">
        <f>+VLOOKUP($AJ665,Data_Validation!$A:$E,5,0)</f>
        <v>#N/A</v>
      </c>
    </row>
    <row r="666" spans="1:52" ht="15" customHeight="1">
      <c r="A666" s="706" t="s">
        <v>1148</v>
      </c>
      <c r="B666" s="706">
        <v>2026</v>
      </c>
      <c r="C666" s="706" t="s">
        <v>2368</v>
      </c>
      <c r="D666" s="706" t="s">
        <v>2369</v>
      </c>
      <c r="E666" s="706" t="s">
        <v>1149</v>
      </c>
      <c r="F666" s="706" t="s">
        <v>1149</v>
      </c>
      <c r="G666" s="706">
        <v>40000</v>
      </c>
      <c r="H666" s="706">
        <v>72235</v>
      </c>
      <c r="I666" s="706">
        <v>72235</v>
      </c>
      <c r="J666" s="706">
        <v>72235</v>
      </c>
      <c r="K666" s="706">
        <v>109605.5</v>
      </c>
      <c r="L666" s="706">
        <v>109605.5</v>
      </c>
      <c r="M666" s="706">
        <v>109605.5</v>
      </c>
      <c r="N666" s="706">
        <v>143925.5</v>
      </c>
      <c r="O666" s="706">
        <v>186139.9</v>
      </c>
      <c r="P666" s="706">
        <v>0</v>
      </c>
      <c r="Q666" s="706">
        <v>0</v>
      </c>
      <c r="R666" s="706">
        <v>0</v>
      </c>
      <c r="S666" s="706">
        <v>17990.689999999999</v>
      </c>
      <c r="T666" s="706">
        <v>17990.689999999999</v>
      </c>
      <c r="U666" s="706">
        <v>0</v>
      </c>
      <c r="V666" s="706">
        <v>1</v>
      </c>
      <c r="W666" s="706">
        <v>2</v>
      </c>
      <c r="X666" s="706">
        <v>2</v>
      </c>
      <c r="Y666" s="706">
        <v>2</v>
      </c>
      <c r="Z666" s="706">
        <v>3</v>
      </c>
      <c r="AA666" s="706">
        <v>3</v>
      </c>
      <c r="AB666" s="706">
        <v>3</v>
      </c>
      <c r="AC666" s="706">
        <v>4</v>
      </c>
      <c r="AD666" s="706">
        <v>5</v>
      </c>
      <c r="AE666" s="706">
        <v>0</v>
      </c>
      <c r="AF666" s="706">
        <v>0</v>
      </c>
      <c r="AG666" s="706">
        <v>0</v>
      </c>
      <c r="AH666" s="706">
        <v>1</v>
      </c>
      <c r="AI666" s="706">
        <v>1</v>
      </c>
      <c r="AJ666" s="905" t="str">
        <f t="shared" si="68"/>
        <v>G43600</v>
      </c>
      <c r="AK666" s="905" t="str">
        <f t="shared" si="69"/>
        <v>VTES-TRAIL BLAZER</v>
      </c>
      <c r="AL666" s="905">
        <f>IFERROR(INDEX(G666:R666,1,MATCH(Parametres!$B$3,G$1:R$1,0)-1)*IF(OR(F666="L",F666="S",F666="I"),-1,1),"")</f>
        <v>-109605.5</v>
      </c>
      <c r="AM666" s="905">
        <f t="shared" si="70"/>
        <v>-34320</v>
      </c>
      <c r="AN666" s="905">
        <f>INDEX(G666:R666,1,MATCH(Parametres!$B$3,G$1:R$1,0))*IF(OR(F666="L",F666="S",F666="I"),-1,1)</f>
        <v>-143925.5</v>
      </c>
      <c r="AO666" s="487" t="str">
        <f>+VLOOKUP($AJ666,Data_Validation!$A:$D,1,0)</f>
        <v>G43600</v>
      </c>
      <c r="AP666" s="487" t="str">
        <f>+VLOOKUP($AJ666,Data_Validation!$A:$D,3,0)</f>
        <v>Véhicules neufs</v>
      </c>
      <c r="AQ666" s="487" t="str">
        <f>+VLOOKUP($AJ666,Data_Validation!$A:$D,4,0)</f>
        <v>Camions détail</v>
      </c>
      <c r="AR666" s="487" t="s">
        <v>299</v>
      </c>
      <c r="AS666" s="487" t="str">
        <f>+VLOOKUP($AJ666,Data_Validation!$A:$E,5,0)</f>
        <v>Oui</v>
      </c>
      <c r="AT666" s="904" t="str">
        <f t="shared" si="71"/>
        <v>G43600</v>
      </c>
      <c r="AU666" s="488" t="str">
        <f t="shared" si="72"/>
        <v>VTES-TRAIL BLAZER</v>
      </c>
      <c r="AV666" s="899">
        <f>IFERROR(INDEX(V666:AG666,1,MATCH(Parametres!$B$3,V$1:AG$1,0)-1)*IF(OR(C666="L",C666="S",C666="I"),-1,1),"")</f>
        <v>3</v>
      </c>
      <c r="AW666" s="899">
        <f t="shared" si="73"/>
        <v>1</v>
      </c>
      <c r="AX666" s="899">
        <f>INDEX(V666:AG666,1,MATCH(Parametres!$B$3,V$1:AG$1,0))*IF(OR(C666="L",C666="S",C666="I"),-1,1)</f>
        <v>4</v>
      </c>
      <c r="AY666" s="487" t="s">
        <v>337</v>
      </c>
      <c r="AZ666" s="487" t="str">
        <f>+VLOOKUP($AJ666,Data_Validation!$A:$E,5,0)</f>
        <v>Oui</v>
      </c>
    </row>
    <row r="667" spans="1:52" ht="15" customHeight="1">
      <c r="A667" s="706" t="s">
        <v>1148</v>
      </c>
      <c r="B667" s="706">
        <v>2026</v>
      </c>
      <c r="C667" s="706" t="s">
        <v>2370</v>
      </c>
      <c r="D667" s="706" t="s">
        <v>2371</v>
      </c>
      <c r="E667" s="706" t="s">
        <v>1149</v>
      </c>
      <c r="F667" s="706" t="s">
        <v>1149</v>
      </c>
      <c r="G667" s="706">
        <v>0</v>
      </c>
      <c r="H667" s="706">
        <v>0</v>
      </c>
      <c r="I667" s="706">
        <v>67438</v>
      </c>
      <c r="J667" s="706">
        <v>133438</v>
      </c>
      <c r="K667" s="706">
        <v>199872</v>
      </c>
      <c r="L667" s="706">
        <v>199872</v>
      </c>
      <c r="M667" s="706">
        <v>199872</v>
      </c>
      <c r="N667" s="706">
        <v>199872</v>
      </c>
      <c r="O667" s="706">
        <v>270224.28999999998</v>
      </c>
      <c r="P667" s="706">
        <v>0</v>
      </c>
      <c r="Q667" s="706">
        <v>0</v>
      </c>
      <c r="R667" s="706">
        <v>0</v>
      </c>
      <c r="S667" s="706">
        <v>24984</v>
      </c>
      <c r="T667" s="706">
        <v>24984</v>
      </c>
      <c r="U667" s="706">
        <v>0</v>
      </c>
      <c r="V667" s="706">
        <v>0</v>
      </c>
      <c r="W667" s="706">
        <v>0</v>
      </c>
      <c r="X667" s="706">
        <v>1</v>
      </c>
      <c r="Y667" s="706">
        <v>2</v>
      </c>
      <c r="Z667" s="706">
        <v>3</v>
      </c>
      <c r="AA667" s="706">
        <v>3</v>
      </c>
      <c r="AB667" s="706">
        <v>3</v>
      </c>
      <c r="AC667" s="706">
        <v>3</v>
      </c>
      <c r="AD667" s="706">
        <v>4</v>
      </c>
      <c r="AE667" s="706">
        <v>0</v>
      </c>
      <c r="AF667" s="706">
        <v>0</v>
      </c>
      <c r="AG667" s="706">
        <v>0</v>
      </c>
      <c r="AH667" s="706">
        <v>0</v>
      </c>
      <c r="AI667" s="706">
        <v>0</v>
      </c>
      <c r="AJ667" s="905" t="str">
        <f t="shared" si="68"/>
        <v>G43602</v>
      </c>
      <c r="AK667" s="905" t="str">
        <f t="shared" si="69"/>
        <v>VENTES GMC ACADIA</v>
      </c>
      <c r="AL667" s="905">
        <f>IFERROR(INDEX(G667:R667,1,MATCH(Parametres!$B$3,G$1:R$1,0)-1)*IF(OR(F667="L",F667="S",F667="I"),-1,1),"")</f>
        <v>-199872</v>
      </c>
      <c r="AM667" s="1047">
        <f t="shared" si="70"/>
        <v>0</v>
      </c>
      <c r="AN667" s="905">
        <f>INDEX(G667:R667,1,MATCH(Parametres!$B$3,G$1:R$1,0))*IF(OR(F667="L",F667="S",F667="I"),-1,1)</f>
        <v>-199872</v>
      </c>
      <c r="AO667" s="487" t="str">
        <f>+VLOOKUP($AJ667,Data_Validation!$A:$D,1,0)</f>
        <v>G43602</v>
      </c>
      <c r="AP667" s="487" t="str">
        <f>+VLOOKUP($AJ667,Data_Validation!$A:$D,3,0)</f>
        <v>Véhicules neufs</v>
      </c>
      <c r="AQ667" s="487" t="str">
        <f>+VLOOKUP($AJ667,Data_Validation!$A:$D,4,0)</f>
        <v>Camions détail</v>
      </c>
      <c r="AR667" s="487" t="s">
        <v>299</v>
      </c>
      <c r="AS667" s="487" t="str">
        <f>+VLOOKUP($AJ667,Data_Validation!$A:$E,5,0)</f>
        <v>Oui</v>
      </c>
      <c r="AT667" s="904" t="str">
        <f t="shared" si="71"/>
        <v>G43602</v>
      </c>
      <c r="AU667" s="488" t="str">
        <f t="shared" si="72"/>
        <v>VENTES GMC ACADIA</v>
      </c>
      <c r="AV667" s="899">
        <f>IFERROR(INDEX(V667:AG667,1,MATCH(Parametres!$B$3,V$1:AG$1,0)-1)*IF(OR(C667="L",C667="S",C667="I"),-1,1),"")</f>
        <v>3</v>
      </c>
      <c r="AW667" s="899">
        <f t="shared" si="73"/>
        <v>0</v>
      </c>
      <c r="AX667" s="899">
        <f>INDEX(V667:AG667,1,MATCH(Parametres!$B$3,V$1:AG$1,0))*IF(OR(C667="L",C667="S",C667="I"),-1,1)</f>
        <v>3</v>
      </c>
      <c r="AY667" s="487" t="s">
        <v>337</v>
      </c>
      <c r="AZ667" s="487" t="str">
        <f>+VLOOKUP($AJ667,Data_Validation!$A:$E,5,0)</f>
        <v>Oui</v>
      </c>
    </row>
    <row r="668" spans="1:52" ht="15" customHeight="1">
      <c r="A668" s="706" t="s">
        <v>1148</v>
      </c>
      <c r="B668" s="706">
        <v>2026</v>
      </c>
      <c r="C668" s="706" t="s">
        <v>2372</v>
      </c>
      <c r="D668" s="706" t="s">
        <v>2373</v>
      </c>
      <c r="E668" s="706" t="s">
        <v>1149</v>
      </c>
      <c r="F668" s="706" t="s">
        <v>1149</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905" t="str">
        <f t="shared" si="68"/>
        <v>G43800</v>
      </c>
      <c r="AK668" s="905" t="str">
        <f t="shared" si="69"/>
        <v>VTES-CHEV CAMION AUTRES</v>
      </c>
      <c r="AL668" s="905">
        <f>IFERROR(INDEX(G668:R668,1,MATCH(Parametres!$B$3,G$1:R$1,0)-1)*IF(OR(F668="L",F668="S",F668="I"),-1,1),"")</f>
        <v>0</v>
      </c>
      <c r="AM668" s="1047">
        <f t="shared" si="70"/>
        <v>0</v>
      </c>
      <c r="AN668" s="905">
        <f>INDEX(G668:R668,1,MATCH(Parametres!$B$3,G$1:R$1,0))*IF(OR(F668="L",F668="S",F668="I"),-1,1)</f>
        <v>0</v>
      </c>
      <c r="AO668" s="487" t="e">
        <f>+VLOOKUP($AJ668,Data_Validation!$A:$D,1,0)</f>
        <v>#N/A</v>
      </c>
      <c r="AP668" s="487" t="e">
        <f>+VLOOKUP($AJ668,Data_Validation!$A:$D,3,0)</f>
        <v>#N/A</v>
      </c>
      <c r="AQ668" s="487" t="e">
        <f>+VLOOKUP($AJ668,Data_Validation!$A:$D,4,0)</f>
        <v>#N/A</v>
      </c>
      <c r="AR668" s="487" t="s">
        <v>299</v>
      </c>
      <c r="AS668" s="487" t="e">
        <f>+VLOOKUP($AJ668,Data_Validation!$A:$E,5,0)</f>
        <v>#N/A</v>
      </c>
      <c r="AT668" s="904" t="str">
        <f t="shared" si="71"/>
        <v>G43800</v>
      </c>
      <c r="AU668" s="488" t="str">
        <f t="shared" si="72"/>
        <v>VTES-CHEV CAMION AUTRES</v>
      </c>
      <c r="AV668" s="899">
        <f>IFERROR(INDEX(V668:AG668,1,MATCH(Parametres!$B$3,V$1:AG$1,0)-1)*IF(OR(C668="L",C668="S",C668="I"),-1,1),"")</f>
        <v>0</v>
      </c>
      <c r="AW668" s="899">
        <f t="shared" si="73"/>
        <v>0</v>
      </c>
      <c r="AX668" s="899">
        <f>INDEX(V668:AG668,1,MATCH(Parametres!$B$3,V$1:AG$1,0))*IF(OR(C668="L",C668="S",C668="I"),-1,1)</f>
        <v>0</v>
      </c>
      <c r="AY668" s="487" t="s">
        <v>337</v>
      </c>
      <c r="AZ668" s="487" t="e">
        <f>+VLOOKUP($AJ668,Data_Validation!$A:$E,5,0)</f>
        <v>#N/A</v>
      </c>
    </row>
    <row r="669" spans="1:52" ht="15" customHeight="1">
      <c r="A669" s="706" t="s">
        <v>1148</v>
      </c>
      <c r="B669" s="706">
        <v>2026</v>
      </c>
      <c r="C669" s="706" t="s">
        <v>2374</v>
      </c>
      <c r="D669" s="706" t="s">
        <v>2375</v>
      </c>
      <c r="E669" s="706" t="s">
        <v>1149</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G43820</v>
      </c>
      <c r="AK669" s="905" t="str">
        <f t="shared" si="69"/>
        <v>VTES-CHEV CAM AUTRE  -LOC</v>
      </c>
      <c r="AL669" s="905">
        <f>IFERROR(INDEX(G669:R669,1,MATCH(Parametres!$B$3,G$1:R$1,0)-1)*IF(OR(F669="L",F669="S",F669="I"),-1,1),"")</f>
        <v>0</v>
      </c>
      <c r="AM669" s="1047">
        <f t="shared" si="70"/>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71"/>
        <v>G43820</v>
      </c>
      <c r="AU669" s="488" t="str">
        <f t="shared" si="72"/>
        <v>VTES-CHEV CAM AUTRE  -LOC</v>
      </c>
      <c r="AV669" s="899">
        <f>IFERROR(INDEX(V669:AG669,1,MATCH(Parametres!$B$3,V$1:AG$1,0)-1)*IF(OR(C669="L",C669="S",C669="I"),-1,1),"")</f>
        <v>0</v>
      </c>
      <c r="AW669" s="899">
        <f t="shared" si="73"/>
        <v>0</v>
      </c>
      <c r="AX669" s="899">
        <f>INDEX(V669:AG669,1,MATCH(Parametres!$B$3,V$1:AG$1,0))*IF(OR(C669="L",C669="S",C669="I"),-1,1)</f>
        <v>0</v>
      </c>
      <c r="AY669" s="487" t="s">
        <v>337</v>
      </c>
      <c r="AZ669" s="487" t="e">
        <f>+VLOOKUP($AJ669,Data_Validation!$A:$E,5,0)</f>
        <v>#N/A</v>
      </c>
    </row>
    <row r="670" spans="1:52" ht="15" customHeight="1">
      <c r="A670" s="706" t="s">
        <v>1148</v>
      </c>
      <c r="B670" s="706">
        <v>2026</v>
      </c>
      <c r="C670" s="706" t="s">
        <v>2376</v>
      </c>
      <c r="D670" s="706" t="s">
        <v>2377</v>
      </c>
      <c r="E670" s="706" t="s">
        <v>1149</v>
      </c>
      <c r="F670" s="706" t="s">
        <v>1149</v>
      </c>
      <c r="G670" s="706">
        <v>7341393.8700000001</v>
      </c>
      <c r="H670" s="706">
        <v>16188705.73</v>
      </c>
      <c r="I670" s="706">
        <v>24057643.949999999</v>
      </c>
      <c r="J670" s="706">
        <v>35215377.390000001</v>
      </c>
      <c r="K670" s="706">
        <v>46698197.899999999</v>
      </c>
      <c r="L670" s="706">
        <v>55470148.740000002</v>
      </c>
      <c r="M670" s="706">
        <v>59560774.780000001</v>
      </c>
      <c r="N670" s="706">
        <v>62083971.799999997</v>
      </c>
      <c r="O670" s="706">
        <v>64107297.729999997</v>
      </c>
      <c r="P670" s="706">
        <v>0</v>
      </c>
      <c r="Q670" s="706">
        <v>0</v>
      </c>
      <c r="R670" s="706">
        <v>0</v>
      </c>
      <c r="S670" s="706">
        <v>7760496.4800000004</v>
      </c>
      <c r="T670" s="706">
        <v>7760496.4800000004</v>
      </c>
      <c r="U670" s="706">
        <v>0</v>
      </c>
      <c r="V670" s="706">
        <v>113</v>
      </c>
      <c r="W670" s="706">
        <v>259</v>
      </c>
      <c r="X670" s="706">
        <v>393</v>
      </c>
      <c r="Y670" s="706">
        <v>551</v>
      </c>
      <c r="Z670" s="706">
        <v>725</v>
      </c>
      <c r="AA670" s="706">
        <v>846</v>
      </c>
      <c r="AB670" s="706">
        <v>904</v>
      </c>
      <c r="AC670" s="706">
        <v>938</v>
      </c>
      <c r="AD670" s="706">
        <v>970</v>
      </c>
      <c r="AE670" s="706">
        <v>0</v>
      </c>
      <c r="AF670" s="706">
        <v>0</v>
      </c>
      <c r="AG670" s="706">
        <v>0</v>
      </c>
      <c r="AH670" s="706">
        <v>117</v>
      </c>
      <c r="AI670" s="706">
        <v>117</v>
      </c>
      <c r="AJ670" s="905" t="str">
        <f t="shared" si="68"/>
        <v>G44000</v>
      </c>
      <c r="AK670" s="905" t="str">
        <f t="shared" si="69"/>
        <v>VENTES PARCS CAMIONS</v>
      </c>
      <c r="AL670" s="905">
        <f>IFERROR(INDEX(G670:R670,1,MATCH(Parametres!$B$3,G$1:R$1,0)-1)*IF(OR(F670="L",F670="S",F670="I"),-1,1),"")</f>
        <v>-59560774.780000001</v>
      </c>
      <c r="AM670" s="905">
        <f t="shared" si="70"/>
        <v>-2523197.0199999958</v>
      </c>
      <c r="AN670" s="905">
        <f>INDEX(G670:R670,1,MATCH(Parametres!$B$3,G$1:R$1,0))*IF(OR(F670="L",F670="S",F670="I"),-1,1)</f>
        <v>-62083971.799999997</v>
      </c>
      <c r="AO670" s="487" t="str">
        <f>+VLOOKUP($AJ670,Data_Validation!$A:$D,1,0)</f>
        <v>G44000</v>
      </c>
      <c r="AP670" s="487" t="str">
        <f>+VLOOKUP($AJ670,Data_Validation!$A:$D,3,0)</f>
        <v>Véhicules neufs</v>
      </c>
      <c r="AQ670" s="487" t="str">
        <f>+VLOOKUP($AJ670,Data_Validation!$A:$D,4,0)</f>
        <v>Flottes</v>
      </c>
      <c r="AR670" s="487" t="s">
        <v>299</v>
      </c>
      <c r="AS670" s="487" t="str">
        <f>+VLOOKUP($AJ670,Data_Validation!$A:$E,5,0)</f>
        <v>Oui</v>
      </c>
      <c r="AT670" s="904" t="str">
        <f t="shared" si="71"/>
        <v>G44000</v>
      </c>
      <c r="AU670" s="488" t="str">
        <f t="shared" si="72"/>
        <v>VENTES PARCS CAMIONS</v>
      </c>
      <c r="AV670" s="899">
        <f>IFERROR(INDEX(V670:AG670,1,MATCH(Parametres!$B$3,V$1:AG$1,0)-1)*IF(OR(C670="L",C670="S",C670="I"),-1,1),"")</f>
        <v>904</v>
      </c>
      <c r="AW670" s="899">
        <f t="shared" si="73"/>
        <v>34</v>
      </c>
      <c r="AX670" s="899">
        <f>INDEX(V670:AG670,1,MATCH(Parametres!$B$3,V$1:AG$1,0))*IF(OR(C670="L",C670="S",C670="I"),-1,1)</f>
        <v>938</v>
      </c>
      <c r="AY670" s="487" t="s">
        <v>337</v>
      </c>
      <c r="AZ670" s="487" t="str">
        <f>+VLOOKUP($AJ670,Data_Validation!$A:$E,5,0)</f>
        <v>Oui</v>
      </c>
    </row>
    <row r="671" spans="1:52" ht="15" customHeight="1">
      <c r="A671" s="706" t="s">
        <v>1148</v>
      </c>
      <c r="B671" s="706">
        <v>2026</v>
      </c>
      <c r="C671" s="706" t="s">
        <v>2378</v>
      </c>
      <c r="D671" s="706" t="s">
        <v>2379</v>
      </c>
      <c r="E671" s="706" t="s">
        <v>1149</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G44100</v>
      </c>
      <c r="AK671" s="905" t="str">
        <f t="shared" si="69"/>
        <v>VTES-INTERNE CAMIONS</v>
      </c>
      <c r="AL671" s="905">
        <f>IFERROR(INDEX(G671:R671,1,MATCH(Parametres!$B$3,G$1:R$1,0)-1)*IF(OR(F671="L",F671="S",F671="I"),-1,1),"")</f>
        <v>0</v>
      </c>
      <c r="AM671" s="905">
        <f t="shared" si="70"/>
        <v>0</v>
      </c>
      <c r="AN671" s="905">
        <f>INDEX(G671:R671,1,MATCH(Parametres!$B$3,G$1:R$1,0))*IF(OR(F671="L",F671="S",F671="I"),-1,1)</f>
        <v>0</v>
      </c>
      <c r="AO671" s="487" t="str">
        <f>+VLOOKUP($AJ671,Data_Validation!$A:$D,1,0)</f>
        <v>G44100</v>
      </c>
      <c r="AP671" s="487" t="str">
        <f>+VLOOKUP($AJ671,Data_Validation!$A:$D,3,0)</f>
        <v>Véhicules neufs</v>
      </c>
      <c r="AQ671" s="487" t="str">
        <f>+VLOOKUP($AJ671,Data_Validation!$A:$D,4,0)</f>
        <v>Flottes</v>
      </c>
      <c r="AR671" s="487" t="s">
        <v>299</v>
      </c>
      <c r="AS671" s="487" t="str">
        <f>+VLOOKUP($AJ671,Data_Validation!$A:$E,5,0)</f>
        <v>Oui</v>
      </c>
      <c r="AT671" s="904" t="str">
        <f t="shared" si="71"/>
        <v>G44100</v>
      </c>
      <c r="AU671" s="488" t="str">
        <f t="shared" si="72"/>
        <v>VTES-INTERNE CAMIONS</v>
      </c>
      <c r="AV671" s="899">
        <f>IFERROR(INDEX(V671:AG671,1,MATCH(Parametres!$B$3,V$1:AG$1,0)-1)*IF(OR(C671="L",C671="S",C671="I"),-1,1),"")</f>
        <v>0</v>
      </c>
      <c r="AW671" s="899">
        <f t="shared" si="73"/>
        <v>0</v>
      </c>
      <c r="AX671" s="899">
        <f>INDEX(V671:AG671,1,MATCH(Parametres!$B$3,V$1:AG$1,0))*IF(OR(C671="L",C671="S",C671="I"),-1,1)</f>
        <v>0</v>
      </c>
      <c r="AY671" s="487" t="s">
        <v>337</v>
      </c>
      <c r="AZ671" s="487" t="str">
        <f>+VLOOKUP($AJ671,Data_Validation!$A:$E,5,0)</f>
        <v>Oui</v>
      </c>
    </row>
    <row r="672" spans="1:52" ht="15" customHeight="1">
      <c r="A672" s="706" t="s">
        <v>1148</v>
      </c>
      <c r="B672" s="706">
        <v>2026</v>
      </c>
      <c r="C672" s="706" t="s">
        <v>2380</v>
      </c>
      <c r="D672" s="706" t="s">
        <v>3334</v>
      </c>
      <c r="E672" s="706" t="s">
        <v>333</v>
      </c>
      <c r="F672" s="706" t="s">
        <v>1149</v>
      </c>
      <c r="G672" s="706">
        <v>61922.46</v>
      </c>
      <c r="H672" s="706">
        <v>99457.46</v>
      </c>
      <c r="I672" s="706">
        <v>156410.91</v>
      </c>
      <c r="J672" s="706">
        <v>273816.55</v>
      </c>
      <c r="K672" s="706">
        <v>330493.25</v>
      </c>
      <c r="L672" s="706">
        <v>384528.25</v>
      </c>
      <c r="M672" s="706">
        <v>449564.25</v>
      </c>
      <c r="N672" s="706">
        <v>506031.05</v>
      </c>
      <c r="O672" s="706">
        <v>558260.44999999995</v>
      </c>
      <c r="P672" s="706">
        <v>0</v>
      </c>
      <c r="Q672" s="706">
        <v>0</v>
      </c>
      <c r="R672" s="706">
        <v>0</v>
      </c>
      <c r="S672" s="706">
        <v>63253.88</v>
      </c>
      <c r="T672" s="706">
        <v>63253.88</v>
      </c>
      <c r="U672" s="706">
        <v>0</v>
      </c>
      <c r="V672" s="706">
        <v>13</v>
      </c>
      <c r="W672" s="706">
        <v>24</v>
      </c>
      <c r="X672" s="706">
        <v>42</v>
      </c>
      <c r="Y672" s="706">
        <v>75</v>
      </c>
      <c r="Z672" s="706">
        <v>90</v>
      </c>
      <c r="AA672" s="706">
        <v>104</v>
      </c>
      <c r="AB672" s="706">
        <v>119</v>
      </c>
      <c r="AC672" s="706">
        <v>140</v>
      </c>
      <c r="AD672" s="706">
        <v>162</v>
      </c>
      <c r="AE672" s="706">
        <v>0</v>
      </c>
      <c r="AF672" s="706">
        <v>0</v>
      </c>
      <c r="AG672" s="706">
        <v>0</v>
      </c>
      <c r="AH672" s="706">
        <v>18</v>
      </c>
      <c r="AI672" s="706">
        <v>18</v>
      </c>
      <c r="AJ672" s="905" t="str">
        <f t="shared" si="68"/>
        <v>G44300</v>
      </c>
      <c r="AK672" s="905" t="str">
        <f t="shared" si="69"/>
        <v>VTES-PLAN PROTECTION -NF</v>
      </c>
      <c r="AL672" s="905">
        <f>IFERROR(INDEX(G672:R672,1,MATCH(Parametres!$B$3,G$1:R$1,0)-1)*IF(OR(F672="L",F672="S",F672="I"),-1,1),"")</f>
        <v>-449564.25</v>
      </c>
      <c r="AM672" s="905">
        <f t="shared" si="70"/>
        <v>-56466.799999999988</v>
      </c>
      <c r="AN672" s="905">
        <f>INDEX(G672:R672,1,MATCH(Parametres!$B$3,G$1:R$1,0))*IF(OR(F672="L",F672="S",F672="I"),-1,1)</f>
        <v>-506031.05</v>
      </c>
      <c r="AO672" s="487" t="str">
        <f>+VLOOKUP($AJ672,Data_Validation!$A:$D,1,0)</f>
        <v>G44300</v>
      </c>
      <c r="AP672" s="487" t="str">
        <f>+VLOOKUP($AJ672,Data_Validation!$A:$D,3,0)</f>
        <v>Véhicules neufs</v>
      </c>
      <c r="AQ672" s="487" t="str">
        <f>+VLOOKUP($AJ672,Data_Validation!$A:$D,4,0)</f>
        <v>Rev. Protections</v>
      </c>
      <c r="AR672" s="487" t="s">
        <v>299</v>
      </c>
      <c r="AS672" s="487" t="str">
        <f>+VLOOKUP($AJ672,Data_Validation!$A:$E,5,0)</f>
        <v>Oui</v>
      </c>
      <c r="AT672" s="904" t="str">
        <f t="shared" si="71"/>
        <v>G44300</v>
      </c>
      <c r="AU672" s="488" t="str">
        <f t="shared" si="72"/>
        <v>VTES-PLAN PROTECTION -NF</v>
      </c>
      <c r="AV672" s="899">
        <f>IFERROR(INDEX(V672:AG672,1,MATCH(Parametres!$B$3,V$1:AG$1,0)-1)*IF(OR(C672="L",C672="S",C672="I"),-1,1),"")</f>
        <v>119</v>
      </c>
      <c r="AW672" s="899">
        <f t="shared" si="73"/>
        <v>21</v>
      </c>
      <c r="AX672" s="899">
        <f>INDEX(V672:AG672,1,MATCH(Parametres!$B$3,V$1:AG$1,0))*IF(OR(C672="L",C672="S",C672="I"),-1,1)</f>
        <v>140</v>
      </c>
      <c r="AY672" s="487" t="s">
        <v>337</v>
      </c>
      <c r="AZ672" s="487" t="str">
        <f>+VLOOKUP($AJ672,Data_Validation!$A:$E,5,0)</f>
        <v>Oui</v>
      </c>
    </row>
    <row r="673" spans="1:52" ht="15" customHeight="1">
      <c r="A673" s="706" t="s">
        <v>1148</v>
      </c>
      <c r="B673" s="706">
        <v>2026</v>
      </c>
      <c r="C673" s="706" t="s">
        <v>2382</v>
      </c>
      <c r="D673" s="706" t="s">
        <v>2383</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905" t="str">
        <f t="shared" si="68"/>
        <v>G44400</v>
      </c>
      <c r="AK673" s="905" t="str">
        <f t="shared" si="69"/>
        <v>VENTE PROTECTION PLUS</v>
      </c>
      <c r="AL673" s="905">
        <f>IFERROR(INDEX(G673:R673,1,MATCH(Parametres!$B$3,G$1:R$1,0)-1)*IF(OR(F673="L",F673="S",F673="I"),-1,1),"")</f>
        <v>0</v>
      </c>
      <c r="AM673" s="905">
        <f t="shared" si="70"/>
        <v>0</v>
      </c>
      <c r="AN673" s="905">
        <f>INDEX(G673:R673,1,MATCH(Parametres!$B$3,G$1:R$1,0))*IF(OR(F673="L",F673="S",F673="I"),-1,1)</f>
        <v>0</v>
      </c>
      <c r="AO673" s="487" t="str">
        <f>+VLOOKUP($AJ673,Data_Validation!$A:$D,1,0)</f>
        <v>G44400</v>
      </c>
      <c r="AP673" s="487" t="str">
        <f>+VLOOKUP($AJ673,Data_Validation!$A:$D,3,0)</f>
        <v>Véhicules neufs</v>
      </c>
      <c r="AQ673" s="487" t="str">
        <f>+VLOOKUP($AJ673,Data_Validation!$A:$D,4,0)</f>
        <v>Rev. Protections</v>
      </c>
      <c r="AR673" s="487" t="s">
        <v>299</v>
      </c>
      <c r="AS673" s="487" t="str">
        <f>+VLOOKUP($AJ673,Data_Validation!$A:$E,5,0)</f>
        <v>Oui</v>
      </c>
      <c r="AT673" s="904" t="str">
        <f t="shared" si="71"/>
        <v>G44400</v>
      </c>
      <c r="AU673" s="488" t="str">
        <f t="shared" si="72"/>
        <v>VENTE PROTECTION PLUS</v>
      </c>
      <c r="AV673" s="899">
        <f>IFERROR(INDEX(V673:AG673,1,MATCH(Parametres!$B$3,V$1:AG$1,0)-1)*IF(OR(C673="L",C673="S",C673="I"),-1,1),"")</f>
        <v>0</v>
      </c>
      <c r="AW673" s="899">
        <f t="shared" si="73"/>
        <v>0</v>
      </c>
      <c r="AX673" s="899">
        <f>INDEX(V673:AG673,1,MATCH(Parametres!$B$3,V$1:AG$1,0))*IF(OR(C673="L",C673="S",C673="I"),-1,1)</f>
        <v>0</v>
      </c>
      <c r="AY673" s="487" t="s">
        <v>337</v>
      </c>
      <c r="AZ673" s="487" t="str">
        <f>+VLOOKUP($AJ673,Data_Validation!$A:$E,5,0)</f>
        <v>Oui</v>
      </c>
    </row>
    <row r="674" spans="1:52" ht="15" customHeight="1">
      <c r="A674" s="706" t="s">
        <v>1148</v>
      </c>
      <c r="B674" s="706">
        <v>2026</v>
      </c>
      <c r="C674" s="706" t="s">
        <v>2384</v>
      </c>
      <c r="D674" s="706" t="s">
        <v>2385</v>
      </c>
      <c r="E674" s="706" t="s">
        <v>333</v>
      </c>
      <c r="F674" s="706" t="s">
        <v>1149</v>
      </c>
      <c r="G674" s="706">
        <v>2298</v>
      </c>
      <c r="H674" s="706">
        <v>4623</v>
      </c>
      <c r="I674" s="706">
        <v>6521</v>
      </c>
      <c r="J674" s="706">
        <v>13070</v>
      </c>
      <c r="K674" s="706">
        <v>17998</v>
      </c>
      <c r="L674" s="706">
        <v>24187</v>
      </c>
      <c r="M674" s="706">
        <v>30936</v>
      </c>
      <c r="N674" s="706">
        <v>30936</v>
      </c>
      <c r="O674" s="706">
        <v>31386</v>
      </c>
      <c r="P674" s="706">
        <v>0</v>
      </c>
      <c r="Q674" s="706">
        <v>0</v>
      </c>
      <c r="R674" s="706">
        <v>0</v>
      </c>
      <c r="S674" s="706">
        <v>3867</v>
      </c>
      <c r="T674" s="706">
        <v>3867</v>
      </c>
      <c r="U674" s="706">
        <v>0</v>
      </c>
      <c r="V674" s="706">
        <v>2</v>
      </c>
      <c r="W674" s="706">
        <v>4</v>
      </c>
      <c r="X674" s="706">
        <v>6</v>
      </c>
      <c r="Y674" s="706">
        <v>12</v>
      </c>
      <c r="Z674" s="706">
        <v>16</v>
      </c>
      <c r="AA674" s="706">
        <v>21</v>
      </c>
      <c r="AB674" s="706">
        <v>27</v>
      </c>
      <c r="AC674" s="706">
        <v>27</v>
      </c>
      <c r="AD674" s="706">
        <v>28</v>
      </c>
      <c r="AE674" s="706">
        <v>0</v>
      </c>
      <c r="AF674" s="706">
        <v>0</v>
      </c>
      <c r="AG674" s="706">
        <v>0</v>
      </c>
      <c r="AH674" s="706">
        <v>3</v>
      </c>
      <c r="AI674" s="706">
        <v>3</v>
      </c>
      <c r="AJ674" s="905" t="str">
        <f t="shared" si="68"/>
        <v>G44501</v>
      </c>
      <c r="AK674" s="905" t="str">
        <f t="shared" si="69"/>
        <v>VTES-ANTIROUILLE</v>
      </c>
      <c r="AL674" s="905">
        <f>IFERROR(INDEX(G674:R674,1,MATCH(Parametres!$B$3,G$1:R$1,0)-1)*IF(OR(F674="L",F674="S",F674="I"),-1,1),"")</f>
        <v>-30936</v>
      </c>
      <c r="AM674" s="905">
        <f t="shared" si="70"/>
        <v>0</v>
      </c>
      <c r="AN674" s="905">
        <f>INDEX(G674:R674,1,MATCH(Parametres!$B$3,G$1:R$1,0))*IF(OR(F674="L",F674="S",F674="I"),-1,1)</f>
        <v>-30936</v>
      </c>
      <c r="AO674" s="487" t="str">
        <f>+VLOOKUP($AJ674,Data_Validation!$A:$D,1,0)</f>
        <v>G44501</v>
      </c>
      <c r="AP674" s="487" t="str">
        <f>+VLOOKUP($AJ674,Data_Validation!$A:$D,3,0)</f>
        <v>Véhicules neufs</v>
      </c>
      <c r="AQ674" s="487" t="str">
        <f>+VLOOKUP($AJ674,Data_Validation!$A:$D,4,0)</f>
        <v>Rev. Autres</v>
      </c>
      <c r="AR674" s="487" t="s">
        <v>299</v>
      </c>
      <c r="AS674" s="487" t="str">
        <f>+VLOOKUP($AJ674,Data_Validation!$A:$E,5,0)</f>
        <v>Oui</v>
      </c>
      <c r="AT674" s="904" t="str">
        <f t="shared" si="71"/>
        <v>G44501</v>
      </c>
      <c r="AU674" s="488" t="str">
        <f t="shared" si="72"/>
        <v>VTES-ANTIROUILLE</v>
      </c>
      <c r="AV674" s="899">
        <f>IFERROR(INDEX(V674:AG674,1,MATCH(Parametres!$B$3,V$1:AG$1,0)-1)*IF(OR(C674="L",C674="S",C674="I"),-1,1),"")</f>
        <v>27</v>
      </c>
      <c r="AW674" s="899">
        <f t="shared" si="73"/>
        <v>0</v>
      </c>
      <c r="AX674" s="899">
        <f>INDEX(V674:AG674,1,MATCH(Parametres!$B$3,V$1:AG$1,0))*IF(OR(C674="L",C674="S",C674="I"),-1,1)</f>
        <v>27</v>
      </c>
      <c r="AY674" s="487" t="s">
        <v>337</v>
      </c>
      <c r="AZ674" s="487" t="str">
        <f>+VLOOKUP($AJ674,Data_Validation!$A:$E,5,0)</f>
        <v>Oui</v>
      </c>
    </row>
    <row r="675" spans="1:52" ht="15" customHeight="1">
      <c r="A675" s="706" t="s">
        <v>1148</v>
      </c>
      <c r="B675" s="706">
        <v>2026</v>
      </c>
      <c r="C675" s="706" t="s">
        <v>2386</v>
      </c>
      <c r="D675" s="706" t="s">
        <v>2387</v>
      </c>
      <c r="E675" s="706" t="s">
        <v>333</v>
      </c>
      <c r="F675" s="706" t="s">
        <v>1149</v>
      </c>
      <c r="G675" s="706">
        <v>0</v>
      </c>
      <c r="H675" s="706">
        <v>1249</v>
      </c>
      <c r="I675" s="706">
        <v>3403</v>
      </c>
      <c r="J675" s="706">
        <v>8652</v>
      </c>
      <c r="K675" s="706">
        <v>11822</v>
      </c>
      <c r="L675" s="706">
        <v>13092</v>
      </c>
      <c r="M675" s="706">
        <v>18403</v>
      </c>
      <c r="N675" s="706">
        <v>21121</v>
      </c>
      <c r="O675" s="706">
        <v>23321</v>
      </c>
      <c r="P675" s="706">
        <v>0</v>
      </c>
      <c r="Q675" s="706">
        <v>0</v>
      </c>
      <c r="R675" s="706">
        <v>0</v>
      </c>
      <c r="S675" s="706">
        <v>2640.13</v>
      </c>
      <c r="T675" s="706">
        <v>2640.13</v>
      </c>
      <c r="U675" s="706">
        <v>0</v>
      </c>
      <c r="V675" s="706">
        <v>0</v>
      </c>
      <c r="W675" s="706">
        <v>2</v>
      </c>
      <c r="X675" s="706">
        <v>7</v>
      </c>
      <c r="Y675" s="706">
        <v>16</v>
      </c>
      <c r="Z675" s="706">
        <v>21</v>
      </c>
      <c r="AA675" s="706">
        <v>23</v>
      </c>
      <c r="AB675" s="706">
        <v>29</v>
      </c>
      <c r="AC675" s="706">
        <v>33</v>
      </c>
      <c r="AD675" s="706">
        <v>37</v>
      </c>
      <c r="AE675" s="706">
        <v>0</v>
      </c>
      <c r="AF675" s="706">
        <v>0</v>
      </c>
      <c r="AG675" s="706">
        <v>0</v>
      </c>
      <c r="AH675" s="706">
        <v>4</v>
      </c>
      <c r="AI675" s="706">
        <v>4</v>
      </c>
      <c r="AJ675" s="905" t="str">
        <f t="shared" si="68"/>
        <v>G44503</v>
      </c>
      <c r="AK675" s="905" t="str">
        <f t="shared" si="69"/>
        <v>V.TEINTÉE-PEINTURE-TISSUS</v>
      </c>
      <c r="AL675" s="905">
        <f>IFERROR(INDEX(G675:R675,1,MATCH(Parametres!$B$3,G$1:R$1,0)-1)*IF(OR(F675="L",F675="S",F675="I"),-1,1),"")</f>
        <v>-18403</v>
      </c>
      <c r="AM675" s="905">
        <f t="shared" si="70"/>
        <v>-2718</v>
      </c>
      <c r="AN675" s="905">
        <f>INDEX(G675:R675,1,MATCH(Parametres!$B$3,G$1:R$1,0))*IF(OR(F675="L",F675="S",F675="I"),-1,1)</f>
        <v>-21121</v>
      </c>
      <c r="AO675" s="487" t="str">
        <f>+VLOOKUP($AJ675,Data_Validation!$A:$D,1,0)</f>
        <v>G44503</v>
      </c>
      <c r="AP675" s="487" t="str">
        <f>+VLOOKUP($AJ675,Data_Validation!$A:$D,3,0)</f>
        <v>Véhicules neufs</v>
      </c>
      <c r="AQ675" s="487" t="str">
        <f>+VLOOKUP($AJ675,Data_Validation!$A:$D,4,0)</f>
        <v>Rev. Autres</v>
      </c>
      <c r="AR675" s="487" t="s">
        <v>299</v>
      </c>
      <c r="AS675" s="487" t="str">
        <f>+VLOOKUP($AJ675,Data_Validation!$A:$E,5,0)</f>
        <v>Oui</v>
      </c>
      <c r="AT675" s="904" t="str">
        <f t="shared" si="71"/>
        <v>G44503</v>
      </c>
      <c r="AU675" s="488" t="str">
        <f t="shared" si="72"/>
        <v>V.TEINTÉE-PEINTURE-TISSUS</v>
      </c>
      <c r="AV675" s="899">
        <f>IFERROR(INDEX(V675:AG675,1,MATCH(Parametres!$B$3,V$1:AG$1,0)-1)*IF(OR(C675="L",C675="S",C675="I"),-1,1),"")</f>
        <v>29</v>
      </c>
      <c r="AW675" s="899">
        <f t="shared" si="73"/>
        <v>4</v>
      </c>
      <c r="AX675" s="899">
        <f>INDEX(V675:AG675,1,MATCH(Parametres!$B$3,V$1:AG$1,0))*IF(OR(C675="L",C675="S",C675="I"),-1,1)</f>
        <v>33</v>
      </c>
      <c r="AY675" s="487" t="s">
        <v>337</v>
      </c>
      <c r="AZ675" s="487" t="str">
        <f>+VLOOKUP($AJ675,Data_Validation!$A:$E,5,0)</f>
        <v>Oui</v>
      </c>
    </row>
    <row r="676" spans="1:52" ht="15" customHeight="1">
      <c r="A676" s="706" t="s">
        <v>1148</v>
      </c>
      <c r="B676" s="706">
        <v>2026</v>
      </c>
      <c r="C676" s="706" t="s">
        <v>2388</v>
      </c>
      <c r="D676" s="706" t="s">
        <v>2389</v>
      </c>
      <c r="E676" s="706" t="s">
        <v>333</v>
      </c>
      <c r="F676" s="706" t="s">
        <v>1149</v>
      </c>
      <c r="G676" s="706">
        <v>0</v>
      </c>
      <c r="H676" s="706">
        <v>4605</v>
      </c>
      <c r="I676" s="706">
        <v>7706.34</v>
      </c>
      <c r="J676" s="706">
        <v>10823.34</v>
      </c>
      <c r="K676" s="706">
        <v>10823.34</v>
      </c>
      <c r="L676" s="706">
        <v>10823.34</v>
      </c>
      <c r="M676" s="706">
        <v>14163.34</v>
      </c>
      <c r="N676" s="706">
        <v>14163.34</v>
      </c>
      <c r="O676" s="706">
        <v>14163.34</v>
      </c>
      <c r="P676" s="706">
        <v>0</v>
      </c>
      <c r="Q676" s="706">
        <v>0</v>
      </c>
      <c r="R676" s="706">
        <v>0</v>
      </c>
      <c r="S676" s="706">
        <v>1770.42</v>
      </c>
      <c r="T676" s="706">
        <v>1770.42</v>
      </c>
      <c r="U676" s="706">
        <v>0</v>
      </c>
      <c r="V676" s="706">
        <v>0</v>
      </c>
      <c r="W676" s="706">
        <v>2</v>
      </c>
      <c r="X676" s="706">
        <v>4</v>
      </c>
      <c r="Y676" s="706">
        <v>5</v>
      </c>
      <c r="Z676" s="706">
        <v>5</v>
      </c>
      <c r="AA676" s="706">
        <v>5</v>
      </c>
      <c r="AB676" s="706">
        <v>6</v>
      </c>
      <c r="AC676" s="706">
        <v>6</v>
      </c>
      <c r="AD676" s="706">
        <v>6</v>
      </c>
      <c r="AE676" s="706">
        <v>0</v>
      </c>
      <c r="AF676" s="706">
        <v>0</v>
      </c>
      <c r="AG676" s="706">
        <v>0</v>
      </c>
      <c r="AH676" s="706">
        <v>1</v>
      </c>
      <c r="AI676" s="706">
        <v>1</v>
      </c>
      <c r="AJ676" s="905" t="str">
        <f t="shared" si="68"/>
        <v>G44504</v>
      </c>
      <c r="AK676" s="905" t="str">
        <f t="shared" si="69"/>
        <v>VTES-ASS. VALEUR REMPL</v>
      </c>
      <c r="AL676" s="905">
        <f>IFERROR(INDEX(G676:R676,1,MATCH(Parametres!$B$3,G$1:R$1,0)-1)*IF(OR(F676="L",F676="S",F676="I"),-1,1),"")</f>
        <v>-14163.34</v>
      </c>
      <c r="AM676" s="905">
        <f t="shared" si="70"/>
        <v>0</v>
      </c>
      <c r="AN676" s="905">
        <f>INDEX(G676:R676,1,MATCH(Parametres!$B$3,G$1:R$1,0))*IF(OR(F676="L",F676="S",F676="I"),-1,1)</f>
        <v>-14163.34</v>
      </c>
      <c r="AO676" s="487" t="str">
        <f>+VLOOKUP($AJ676,Data_Validation!$A:$D,1,0)</f>
        <v>G44504</v>
      </c>
      <c r="AP676" s="487" t="str">
        <f>+VLOOKUP($AJ676,Data_Validation!$A:$D,3,0)</f>
        <v>Véhicules neufs</v>
      </c>
      <c r="AQ676" s="487" t="str">
        <f>+VLOOKUP($AJ676,Data_Validation!$A:$D,4,0)</f>
        <v>Rev. Protections</v>
      </c>
      <c r="AR676" s="487" t="s">
        <v>299</v>
      </c>
      <c r="AS676" s="487" t="str">
        <f>+VLOOKUP($AJ676,Data_Validation!$A:$E,5,0)</f>
        <v>Oui</v>
      </c>
      <c r="AT676" s="904" t="str">
        <f t="shared" si="71"/>
        <v>G44504</v>
      </c>
      <c r="AU676" s="488" t="str">
        <f t="shared" si="72"/>
        <v>VTES-ASS. VALEUR REMPL</v>
      </c>
      <c r="AV676" s="899">
        <f>IFERROR(INDEX(V676:AG676,1,MATCH(Parametres!$B$3,V$1:AG$1,0)-1)*IF(OR(C676="L",C676="S",C676="I"),-1,1),"")</f>
        <v>6</v>
      </c>
      <c r="AW676" s="899">
        <f t="shared" si="73"/>
        <v>0</v>
      </c>
      <c r="AX676" s="899">
        <f>INDEX(V676:AG676,1,MATCH(Parametres!$B$3,V$1:AG$1,0))*IF(OR(C676="L",C676="S",C676="I"),-1,1)</f>
        <v>6</v>
      </c>
      <c r="AY676" s="487" t="s">
        <v>337</v>
      </c>
      <c r="AZ676" s="487" t="str">
        <f>+VLOOKUP($AJ676,Data_Validation!$A:$E,5,0)</f>
        <v>Oui</v>
      </c>
    </row>
    <row r="677" spans="1:52" ht="15" customHeight="1">
      <c r="A677" s="706" t="s">
        <v>1148</v>
      </c>
      <c r="B677" s="706">
        <v>2026</v>
      </c>
      <c r="C677" s="706" t="s">
        <v>2390</v>
      </c>
      <c r="D677" s="706" t="s">
        <v>2391</v>
      </c>
      <c r="E677" s="706" t="s">
        <v>333</v>
      </c>
      <c r="F677" s="706" t="s">
        <v>1149</v>
      </c>
      <c r="G677" s="706">
        <v>3025</v>
      </c>
      <c r="H677" s="706">
        <v>6180</v>
      </c>
      <c r="I677" s="706">
        <v>10433</v>
      </c>
      <c r="J677" s="706">
        <v>14488</v>
      </c>
      <c r="K677" s="706">
        <v>16883</v>
      </c>
      <c r="L677" s="706">
        <v>18779</v>
      </c>
      <c r="M677" s="706">
        <v>23769</v>
      </c>
      <c r="N677" s="706">
        <v>27761</v>
      </c>
      <c r="O677" s="706">
        <v>28019</v>
      </c>
      <c r="P677" s="706">
        <v>0</v>
      </c>
      <c r="Q677" s="706">
        <v>0</v>
      </c>
      <c r="R677" s="706">
        <v>0</v>
      </c>
      <c r="S677" s="706">
        <v>3470.13</v>
      </c>
      <c r="T677" s="706">
        <v>3470.13</v>
      </c>
      <c r="U677" s="706">
        <v>0</v>
      </c>
      <c r="V677" s="706">
        <v>6</v>
      </c>
      <c r="W677" s="706">
        <v>13</v>
      </c>
      <c r="X677" s="706">
        <v>22</v>
      </c>
      <c r="Y677" s="706">
        <v>29</v>
      </c>
      <c r="Z677" s="706">
        <v>34</v>
      </c>
      <c r="AA677" s="706">
        <v>38</v>
      </c>
      <c r="AB677" s="706">
        <v>48</v>
      </c>
      <c r="AC677" s="706">
        <v>56</v>
      </c>
      <c r="AD677" s="706">
        <v>57</v>
      </c>
      <c r="AE677" s="706">
        <v>0</v>
      </c>
      <c r="AF677" s="706">
        <v>0</v>
      </c>
      <c r="AG677" s="706">
        <v>0</v>
      </c>
      <c r="AH677" s="706">
        <v>7</v>
      </c>
      <c r="AI677" s="706">
        <v>7</v>
      </c>
      <c r="AJ677" s="905" t="str">
        <f t="shared" si="68"/>
        <v>G44505</v>
      </c>
      <c r="AK677" s="905" t="str">
        <f t="shared" si="69"/>
        <v>VENTES-ANTIVOL &amp; TAG</v>
      </c>
      <c r="AL677" s="905">
        <f>IFERROR(INDEX(G677:R677,1,MATCH(Parametres!$B$3,G$1:R$1,0)-1)*IF(OR(F677="L",F677="S",F677="I"),-1,1),"")</f>
        <v>-23769</v>
      </c>
      <c r="AM677" s="905">
        <f t="shared" si="70"/>
        <v>-3992</v>
      </c>
      <c r="AN677" s="905">
        <f>INDEX(G677:R677,1,MATCH(Parametres!$B$3,G$1:R$1,0))*IF(OR(F677="L",F677="S",F677="I"),-1,1)</f>
        <v>-27761</v>
      </c>
      <c r="AO677" s="487" t="str">
        <f>+VLOOKUP($AJ677,Data_Validation!$A:$D,1,0)</f>
        <v>G44505</v>
      </c>
      <c r="AP677" s="487" t="str">
        <f>+VLOOKUP($AJ677,Data_Validation!$A:$D,3,0)</f>
        <v>Véhicules neufs</v>
      </c>
      <c r="AQ677" s="487" t="str">
        <f>+VLOOKUP($AJ677,Data_Validation!$A:$D,4,0)</f>
        <v>Rev. Autres</v>
      </c>
      <c r="AR677" s="487" t="s">
        <v>299</v>
      </c>
      <c r="AS677" s="487" t="str">
        <f>+VLOOKUP($AJ677,Data_Validation!$A:$E,5,0)</f>
        <v>Oui</v>
      </c>
      <c r="AT677" s="904" t="str">
        <f t="shared" si="71"/>
        <v>G44505</v>
      </c>
      <c r="AU677" s="488" t="str">
        <f t="shared" si="72"/>
        <v>VENTES-ANTIVOL &amp; TAG</v>
      </c>
      <c r="AV677" s="899">
        <f>IFERROR(INDEX(V677:AG677,1,MATCH(Parametres!$B$3,V$1:AG$1,0)-1)*IF(OR(C677="L",C677="S",C677="I"),-1,1),"")</f>
        <v>48</v>
      </c>
      <c r="AW677" s="899">
        <f t="shared" si="73"/>
        <v>8</v>
      </c>
      <c r="AX677" s="899">
        <f>INDEX(V677:AG677,1,MATCH(Parametres!$B$3,V$1:AG$1,0))*IF(OR(C677="L",C677="S",C677="I"),-1,1)</f>
        <v>56</v>
      </c>
      <c r="AY677" s="487" t="s">
        <v>337</v>
      </c>
      <c r="AZ677" s="487" t="str">
        <f>+VLOOKUP($AJ677,Data_Validation!$A:$E,5,0)</f>
        <v>Oui</v>
      </c>
    </row>
    <row r="678" spans="1:52" ht="15" customHeight="1">
      <c r="A678" s="706" t="s">
        <v>1148</v>
      </c>
      <c r="B678" s="706">
        <v>2026</v>
      </c>
      <c r="C678" s="706" t="s">
        <v>2392</v>
      </c>
      <c r="D678" s="706" t="s">
        <v>2393</v>
      </c>
      <c r="E678" s="706" t="s">
        <v>1149</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G44600</v>
      </c>
      <c r="AK678" s="905" t="str">
        <f t="shared" si="69"/>
        <v>VTES-AUTOS OCC. DET.OPT.</v>
      </c>
      <c r="AL678" s="905">
        <f>IFERROR(INDEX(G678:R678,1,MATCH(Parametres!$B$3,G$1:R$1,0)-1)*IF(OR(F678="L",F678="S",F678="I"),-1,1),"")</f>
        <v>0</v>
      </c>
      <c r="AM678" s="905">
        <f t="shared" si="70"/>
        <v>0</v>
      </c>
      <c r="AN678" s="905">
        <f>INDEX(G678:R678,1,MATCH(Parametres!$B$3,G$1:R$1,0))*IF(OR(F678="L",F678="S",F678="I"),-1,1)</f>
        <v>0</v>
      </c>
      <c r="AO678" s="487" t="str">
        <f>+VLOOKUP($AJ678,Data_Validation!$A:$D,1,0)</f>
        <v>G44600</v>
      </c>
      <c r="AP678" s="487" t="str">
        <f>+VLOOKUP($AJ678,Data_Validation!$A:$D,3,0)</f>
        <v>Véhicules usagés</v>
      </c>
      <c r="AQ678" s="487" t="str">
        <f>+VLOOKUP($AJ678,Data_Validation!$A:$D,4,0)</f>
        <v>Certifié</v>
      </c>
      <c r="AR678" s="487" t="s">
        <v>299</v>
      </c>
      <c r="AS678" s="487" t="str">
        <f>+VLOOKUP($AJ678,Data_Validation!$A:$E,5,0)</f>
        <v>Oui</v>
      </c>
      <c r="AT678" s="904" t="str">
        <f t="shared" si="71"/>
        <v>G44600</v>
      </c>
      <c r="AU678" s="488" t="str">
        <f t="shared" si="72"/>
        <v>VTES-AUTOS OCC. DET.OPT.</v>
      </c>
      <c r="AV678" s="899">
        <f>IFERROR(INDEX(V678:AG678,1,MATCH(Parametres!$B$3,V$1:AG$1,0)-1)*IF(OR(C678="L",C678="S",C678="I"),-1,1),"")</f>
        <v>0</v>
      </c>
      <c r="AW678" s="899">
        <f t="shared" si="73"/>
        <v>0</v>
      </c>
      <c r="AX678" s="899">
        <f>INDEX(V678:AG678,1,MATCH(Parametres!$B$3,V$1:AG$1,0))*IF(OR(C678="L",C678="S",C678="I"),-1,1)</f>
        <v>0</v>
      </c>
      <c r="AY678" s="487" t="s">
        <v>337</v>
      </c>
      <c r="AZ678" s="487" t="str">
        <f>+VLOOKUP($AJ678,Data_Validation!$A:$E,5,0)</f>
        <v>Oui</v>
      </c>
    </row>
    <row r="679" spans="1:52" ht="15" customHeight="1">
      <c r="A679" s="706" t="s">
        <v>1148</v>
      </c>
      <c r="B679" s="706">
        <v>2026</v>
      </c>
      <c r="C679" s="706" t="s">
        <v>2394</v>
      </c>
      <c r="D679" s="706" t="s">
        <v>3335</v>
      </c>
      <c r="E679" s="706" t="s">
        <v>1149</v>
      </c>
      <c r="F679" s="706" t="s">
        <v>1149</v>
      </c>
      <c r="G679" s="706">
        <v>94496</v>
      </c>
      <c r="H679" s="706">
        <v>154194</v>
      </c>
      <c r="I679" s="706">
        <v>200681</v>
      </c>
      <c r="J679" s="706">
        <v>304926</v>
      </c>
      <c r="K679" s="706">
        <v>408239.48</v>
      </c>
      <c r="L679" s="706">
        <v>495214.48</v>
      </c>
      <c r="M679" s="706">
        <v>643307.48</v>
      </c>
      <c r="N679" s="706">
        <v>657154.48</v>
      </c>
      <c r="O679" s="706">
        <v>694402.48</v>
      </c>
      <c r="P679" s="706">
        <v>0</v>
      </c>
      <c r="Q679" s="706">
        <v>0</v>
      </c>
      <c r="R679" s="706">
        <v>0</v>
      </c>
      <c r="S679" s="706">
        <v>82144.31</v>
      </c>
      <c r="T679" s="706">
        <v>82144.31</v>
      </c>
      <c r="U679" s="706">
        <v>0</v>
      </c>
      <c r="V679" s="706">
        <v>2</v>
      </c>
      <c r="W679" s="706">
        <v>4</v>
      </c>
      <c r="X679" s="706">
        <v>6</v>
      </c>
      <c r="Y679" s="706">
        <v>8</v>
      </c>
      <c r="Z679" s="706">
        <v>14</v>
      </c>
      <c r="AA679" s="706">
        <v>15</v>
      </c>
      <c r="AB679" s="706">
        <v>20</v>
      </c>
      <c r="AC679" s="706">
        <v>21</v>
      </c>
      <c r="AD679" s="706">
        <v>24</v>
      </c>
      <c r="AE679" s="706">
        <v>0</v>
      </c>
      <c r="AF679" s="706">
        <v>0</v>
      </c>
      <c r="AG679" s="706">
        <v>0</v>
      </c>
      <c r="AH679" s="706">
        <v>3</v>
      </c>
      <c r="AI679" s="706">
        <v>3</v>
      </c>
      <c r="AJ679" s="905" t="str">
        <f t="shared" si="68"/>
        <v>G44601</v>
      </c>
      <c r="AK679" s="905" t="str">
        <f t="shared" si="69"/>
        <v>VTES-VOIT.OCC.GM N-CERT</v>
      </c>
      <c r="AL679" s="905">
        <f>IFERROR(INDEX(G679:R679,1,MATCH(Parametres!$B$3,G$1:R$1,0)-1)*IF(OR(F679="L",F679="S",F679="I"),-1,1),"")</f>
        <v>-643307.48</v>
      </c>
      <c r="AM679" s="905">
        <f t="shared" si="70"/>
        <v>-13847</v>
      </c>
      <c r="AN679" s="905">
        <f>INDEX(G679:R679,1,MATCH(Parametres!$B$3,G$1:R$1,0))*IF(OR(F679="L",F679="S",F679="I"),-1,1)</f>
        <v>-657154.48</v>
      </c>
      <c r="AO679" s="487" t="str">
        <f>+VLOOKUP($AJ679,Data_Validation!$A:$D,1,0)</f>
        <v>G44601</v>
      </c>
      <c r="AP679" s="487" t="str">
        <f>+VLOOKUP($AJ679,Data_Validation!$A:$D,3,0)</f>
        <v>Véhicules usagés</v>
      </c>
      <c r="AQ679" s="487" t="str">
        <f>+VLOOKUP($AJ679,Data_Validation!$A:$D,4,0)</f>
        <v>Non Certifié</v>
      </c>
      <c r="AR679" s="487" t="s">
        <v>299</v>
      </c>
      <c r="AS679" s="487" t="str">
        <f>+VLOOKUP($AJ679,Data_Validation!$A:$E,5,0)</f>
        <v>Oui</v>
      </c>
      <c r="AT679" s="904" t="str">
        <f t="shared" si="71"/>
        <v>G44601</v>
      </c>
      <c r="AU679" s="488" t="str">
        <f t="shared" si="72"/>
        <v>VTES-VOIT.OCC.GM N-CERT</v>
      </c>
      <c r="AV679" s="899">
        <f>IFERROR(INDEX(V679:AG679,1,MATCH(Parametres!$B$3,V$1:AG$1,0)-1)*IF(OR(C679="L",C679="S",C679="I"),-1,1),"")</f>
        <v>20</v>
      </c>
      <c r="AW679" s="899">
        <f t="shared" si="73"/>
        <v>1</v>
      </c>
      <c r="AX679" s="899">
        <f>INDEX(V679:AG679,1,MATCH(Parametres!$B$3,V$1:AG$1,0))*IF(OR(C679="L",C679="S",C679="I"),-1,1)</f>
        <v>21</v>
      </c>
      <c r="AY679" s="487" t="s">
        <v>337</v>
      </c>
      <c r="AZ679" s="487" t="str">
        <f>+VLOOKUP($AJ679,Data_Validation!$A:$E,5,0)</f>
        <v>Oui</v>
      </c>
    </row>
    <row r="680" spans="1:52" ht="15" customHeight="1">
      <c r="A680" s="706" t="s">
        <v>1148</v>
      </c>
      <c r="B680" s="706">
        <v>2026</v>
      </c>
      <c r="C680" s="706" t="s">
        <v>3336</v>
      </c>
      <c r="D680" s="706" t="s">
        <v>3337</v>
      </c>
      <c r="E680" s="706" t="s">
        <v>1149</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G44602</v>
      </c>
      <c r="AK680" s="905" t="str">
        <f t="shared" si="69"/>
        <v>VTES-AUTO AUTRE MARQ</v>
      </c>
      <c r="AL680" s="905">
        <f>IFERROR(INDEX(G680:R680,1,MATCH(Parametres!$B$3,G$1:R$1,0)-1)*IF(OR(F680="L",F680="S",F680="I"),-1,1),"")</f>
        <v>0</v>
      </c>
      <c r="AM680" s="905">
        <f t="shared" si="70"/>
        <v>0</v>
      </c>
      <c r="AN680" s="905">
        <f>INDEX(G680:R680,1,MATCH(Parametres!$B$3,G$1:R$1,0))*IF(OR(F680="L",F680="S",F680="I"),-1,1)</f>
        <v>0</v>
      </c>
      <c r="AO680" s="487" t="str">
        <f>+VLOOKUP($AJ680,Data_Validation!$A:$D,1,0)</f>
        <v>G44602</v>
      </c>
      <c r="AP680" s="487" t="str">
        <f>+VLOOKUP($AJ680,Data_Validation!$A:$D,3,0)</f>
        <v>Véhicules usagés</v>
      </c>
      <c r="AQ680" s="487" t="str">
        <f>+VLOOKUP($AJ680,Data_Validation!$A:$D,4,0)</f>
        <v>Autres Marques</v>
      </c>
      <c r="AR680" s="487" t="s">
        <v>299</v>
      </c>
      <c r="AS680" s="487">
        <f>+VLOOKUP($AJ680,Data_Validation!$A:$E,5,0)</f>
        <v>0</v>
      </c>
      <c r="AT680" s="904" t="str">
        <f t="shared" si="71"/>
        <v>G44602</v>
      </c>
      <c r="AU680" s="488" t="str">
        <f t="shared" si="72"/>
        <v>VTES-AUTO AUTRE MARQ</v>
      </c>
      <c r="AV680" s="899">
        <f>IFERROR(INDEX(V680:AG680,1,MATCH(Parametres!$B$3,V$1:AG$1,0)-1)*IF(OR(C680="L",C680="S",C680="I"),-1,1),"")</f>
        <v>0</v>
      </c>
      <c r="AW680" s="899">
        <f t="shared" si="73"/>
        <v>0</v>
      </c>
      <c r="AX680" s="899">
        <f>INDEX(V680:AG680,1,MATCH(Parametres!$B$3,V$1:AG$1,0))*IF(OR(C680="L",C680="S",C680="I"),-1,1)</f>
        <v>0</v>
      </c>
      <c r="AY680" s="487" t="s">
        <v>337</v>
      </c>
      <c r="AZ680" s="487">
        <f>+VLOOKUP($AJ680,Data_Validation!$A:$E,5,0)</f>
        <v>0</v>
      </c>
    </row>
    <row r="681" spans="1:52" ht="15" customHeight="1">
      <c r="A681" s="706" t="s">
        <v>1148</v>
      </c>
      <c r="B681" s="706">
        <v>2026</v>
      </c>
      <c r="C681" s="706" t="s">
        <v>3145</v>
      </c>
      <c r="D681" s="706" t="s">
        <v>3146</v>
      </c>
      <c r="E681" s="706" t="s">
        <v>1149</v>
      </c>
      <c r="F681" s="706" t="s">
        <v>1149</v>
      </c>
      <c r="G681" s="706">
        <v>0</v>
      </c>
      <c r="H681" s="706">
        <v>0</v>
      </c>
      <c r="I681" s="706">
        <v>0</v>
      </c>
      <c r="J681" s="706">
        <v>0</v>
      </c>
      <c r="K681" s="706">
        <v>0</v>
      </c>
      <c r="L681" s="706">
        <v>7217.34</v>
      </c>
      <c r="M681" s="706">
        <v>7217.34</v>
      </c>
      <c r="N681" s="706">
        <v>7217.34</v>
      </c>
      <c r="O681" s="706">
        <v>7217.34</v>
      </c>
      <c r="P681" s="706">
        <v>0</v>
      </c>
      <c r="Q681" s="706">
        <v>0</v>
      </c>
      <c r="R681" s="706">
        <v>0</v>
      </c>
      <c r="S681" s="706">
        <v>902.17</v>
      </c>
      <c r="T681" s="706">
        <v>902.17</v>
      </c>
      <c r="U681" s="706">
        <v>0</v>
      </c>
      <c r="V681" s="706">
        <v>0</v>
      </c>
      <c r="W681" s="706">
        <v>0</v>
      </c>
      <c r="X681" s="706">
        <v>0</v>
      </c>
      <c r="Y681" s="706">
        <v>0</v>
      </c>
      <c r="Z681" s="706">
        <v>0</v>
      </c>
      <c r="AA681" s="706">
        <v>1</v>
      </c>
      <c r="AB681" s="706">
        <v>1</v>
      </c>
      <c r="AC681" s="706">
        <v>1</v>
      </c>
      <c r="AD681" s="706">
        <v>1</v>
      </c>
      <c r="AE681" s="706">
        <v>0</v>
      </c>
      <c r="AF681" s="706">
        <v>0</v>
      </c>
      <c r="AG681" s="706">
        <v>0</v>
      </c>
      <c r="AH681" s="706">
        <v>0</v>
      </c>
      <c r="AI681" s="706">
        <v>0</v>
      </c>
      <c r="AJ681" s="905" t="str">
        <f t="shared" si="68"/>
        <v>G44603</v>
      </c>
      <c r="AK681" s="905" t="str">
        <f t="shared" si="69"/>
        <v>VTES-RACHAT BAIL AUTO</v>
      </c>
      <c r="AL681" s="905">
        <f>IFERROR(INDEX(G681:R681,1,MATCH(Parametres!$B$3,G$1:R$1,0)-1)*IF(OR(F681="L",F681="S",F681="I"),-1,1),"")</f>
        <v>-7217.34</v>
      </c>
      <c r="AM681" s="905">
        <f t="shared" si="70"/>
        <v>0</v>
      </c>
      <c r="AN681" s="905">
        <f>INDEX(G681:R681,1,MATCH(Parametres!$B$3,G$1:R$1,0))*IF(OR(F681="L",F681="S",F681="I"),-1,1)</f>
        <v>-7217.34</v>
      </c>
      <c r="AO681" s="487" t="str">
        <f>+VLOOKUP($AJ681,Data_Validation!$A:$D,1,0)</f>
        <v>G44603</v>
      </c>
      <c r="AP681" s="487">
        <f>+VLOOKUP($AJ681,Data_Validation!$A:$D,3,0)</f>
        <v>0</v>
      </c>
      <c r="AQ681" s="487">
        <f>+VLOOKUP($AJ681,Data_Validation!$A:$D,4,0)</f>
        <v>0</v>
      </c>
      <c r="AR681" s="487" t="s">
        <v>299</v>
      </c>
      <c r="AS681" s="487">
        <f>+VLOOKUP($AJ681,Data_Validation!$A:$E,5,0)</f>
        <v>0</v>
      </c>
      <c r="AT681" s="904" t="str">
        <f t="shared" si="71"/>
        <v>G44603</v>
      </c>
      <c r="AU681" s="488" t="str">
        <f t="shared" si="72"/>
        <v>VTES-RACHAT BAIL AUTO</v>
      </c>
      <c r="AV681" s="899">
        <f>IFERROR(INDEX(V681:AG681,1,MATCH(Parametres!$B$3,V$1:AG$1,0)-1)*IF(OR(C681="L",C681="S",C681="I"),-1,1),"")</f>
        <v>1</v>
      </c>
      <c r="AW681" s="899">
        <f t="shared" si="73"/>
        <v>0</v>
      </c>
      <c r="AX681" s="899">
        <f>INDEX(V681:AG681,1,MATCH(Parametres!$B$3,V$1:AG$1,0))*IF(OR(C681="L",C681="S",C681="I"),-1,1)</f>
        <v>1</v>
      </c>
      <c r="AY681" s="487" t="s">
        <v>337</v>
      </c>
      <c r="AZ681" s="487">
        <f>+VLOOKUP($AJ681,Data_Validation!$A:$E,5,0)</f>
        <v>0</v>
      </c>
    </row>
    <row r="682" spans="1:52" ht="15" customHeight="1">
      <c r="A682" s="706" t="s">
        <v>1148</v>
      </c>
      <c r="B682" s="706">
        <v>2026</v>
      </c>
      <c r="C682" s="706" t="s">
        <v>2396</v>
      </c>
      <c r="D682" s="706" t="s">
        <v>2397</v>
      </c>
      <c r="E682" s="706" t="s">
        <v>1149</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G44620</v>
      </c>
      <c r="AK682" s="905" t="str">
        <f t="shared" si="69"/>
        <v>VTES-LOC AUTOS USAGE OPT.</v>
      </c>
      <c r="AL682" s="905">
        <f>IFERROR(INDEX(G682:R682,1,MATCH(Parametres!$B$3,G$1:R$1,0)-1)*IF(OR(F682="L",F682="S",F682="I"),-1,1),"")</f>
        <v>0</v>
      </c>
      <c r="AM682" s="1047">
        <f t="shared" si="70"/>
        <v>0</v>
      </c>
      <c r="AN682" s="905">
        <f>INDEX(G682:R682,1,MATCH(Parametres!$B$3,G$1:R$1,0))*IF(OR(F682="L",F682="S",F682="I"),-1,1)</f>
        <v>0</v>
      </c>
      <c r="AO682" s="487" t="e">
        <f>+VLOOKUP($AJ682,Data_Validation!$A:$D,1,0)</f>
        <v>#N/A</v>
      </c>
      <c r="AP682" s="487" t="e">
        <f>+VLOOKUP($AJ682,Data_Validation!$A:$D,3,0)</f>
        <v>#N/A</v>
      </c>
      <c r="AQ682" s="487" t="e">
        <f>+VLOOKUP($AJ682,Data_Validation!$A:$D,4,0)</f>
        <v>#N/A</v>
      </c>
      <c r="AR682" s="487" t="s">
        <v>299</v>
      </c>
      <c r="AS682" s="487" t="e">
        <f>+VLOOKUP($AJ682,Data_Validation!$A:$E,5,0)</f>
        <v>#N/A</v>
      </c>
      <c r="AT682" s="904" t="str">
        <f t="shared" si="71"/>
        <v>G44620</v>
      </c>
      <c r="AU682" s="488" t="str">
        <f t="shared" si="72"/>
        <v>VTES-LOC AUTOS USAGE OPT.</v>
      </c>
      <c r="AV682" s="899">
        <f>IFERROR(INDEX(V682:AG682,1,MATCH(Parametres!$B$3,V$1:AG$1,0)-1)*IF(OR(C682="L",C682="S",C682="I"),-1,1),"")</f>
        <v>0</v>
      </c>
      <c r="AW682" s="899">
        <f t="shared" si="73"/>
        <v>0</v>
      </c>
      <c r="AX682" s="899">
        <f>INDEX(V682:AG682,1,MATCH(Parametres!$B$3,V$1:AG$1,0))*IF(OR(C682="L",C682="S",C682="I"),-1,1)</f>
        <v>0</v>
      </c>
      <c r="AY682" s="487" t="s">
        <v>337</v>
      </c>
      <c r="AZ682" s="487" t="e">
        <f>+VLOOKUP($AJ682,Data_Validation!$A:$E,5,0)</f>
        <v>#N/A</v>
      </c>
    </row>
    <row r="683" spans="1:52" ht="15" customHeight="1">
      <c r="A683" s="706" t="s">
        <v>1148</v>
      </c>
      <c r="B683" s="706">
        <v>2026</v>
      </c>
      <c r="C683" s="706" t="s">
        <v>2398</v>
      </c>
      <c r="D683" s="706" t="s">
        <v>2399</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G44700</v>
      </c>
      <c r="AK683" s="905" t="str">
        <f t="shared" si="69"/>
        <v>*REM.NEUF VOITURE DET.OPT</v>
      </c>
      <c r="AL683" s="905">
        <f>IFERROR(INDEX(G683:R683,1,MATCH(Parametres!$B$3,G$1:R$1,0)-1)*IF(OR(F683="L",F683="S",F683="I"),-1,1),"")</f>
        <v>0</v>
      </c>
      <c r="AM683" s="905">
        <f t="shared" si="70"/>
        <v>0</v>
      </c>
      <c r="AN683" s="905">
        <f>INDEX(G683:R683,1,MATCH(Parametres!$B$3,G$1:R$1,0))*IF(OR(F683="L",F683="S",F683="I"),-1,1)</f>
        <v>0</v>
      </c>
      <c r="AO683" s="487" t="str">
        <f>+VLOOKUP($AJ683,Data_Validation!$A:$D,1,0)</f>
        <v>G44700</v>
      </c>
      <c r="AP683" s="487">
        <f>+VLOOKUP($AJ683,Data_Validation!$A:$D,3,0)</f>
        <v>0</v>
      </c>
      <c r="AQ683" s="487">
        <f>+VLOOKUP($AJ683,Data_Validation!$A:$D,4,0)</f>
        <v>0</v>
      </c>
      <c r="AR683" s="487" t="s">
        <v>299</v>
      </c>
      <c r="AS683" s="487">
        <f>+VLOOKUP($AJ683,Data_Validation!$A:$E,5,0)</f>
        <v>0</v>
      </c>
      <c r="AT683" s="904" t="str">
        <f t="shared" si="71"/>
        <v>G44700</v>
      </c>
      <c r="AU683" s="488" t="str">
        <f t="shared" si="72"/>
        <v>*REM.NEUF VOITURE DET.OPT</v>
      </c>
      <c r="AV683" s="899">
        <f>IFERROR(INDEX(V683:AG683,1,MATCH(Parametres!$B$3,V$1:AG$1,0)-1)*IF(OR(C683="L",C683="S",C683="I"),-1,1),"")</f>
        <v>0</v>
      </c>
      <c r="AW683" s="899">
        <f t="shared" si="73"/>
        <v>0</v>
      </c>
      <c r="AX683" s="899">
        <f>INDEX(V683:AG683,1,MATCH(Parametres!$B$3,V$1:AG$1,0))*IF(OR(C683="L",C683="S",C683="I"),-1,1)</f>
        <v>0</v>
      </c>
      <c r="AY683" s="487" t="s">
        <v>337</v>
      </c>
      <c r="AZ683" s="487">
        <f>+VLOOKUP($AJ683,Data_Validation!$A:$E,5,0)</f>
        <v>0</v>
      </c>
    </row>
    <row r="684" spans="1:52" ht="15" customHeight="1">
      <c r="A684" s="706" t="s">
        <v>1148</v>
      </c>
      <c r="B684" s="706">
        <v>2026</v>
      </c>
      <c r="C684" s="706" t="s">
        <v>2400</v>
      </c>
      <c r="D684" s="706" t="s">
        <v>2401</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G44701</v>
      </c>
      <c r="AK684" s="905" t="str">
        <f t="shared" si="69"/>
        <v>*REM.NEUF VOIT.DET.AUTRES</v>
      </c>
      <c r="AL684" s="905">
        <f>IFERROR(INDEX(G684:R684,1,MATCH(Parametres!$B$3,G$1:R$1,0)-1)*IF(OR(F684="L",F684="S",F684="I"),-1,1),"")</f>
        <v>0</v>
      </c>
      <c r="AM684" s="905">
        <f t="shared" si="70"/>
        <v>0</v>
      </c>
      <c r="AN684" s="905">
        <f>INDEX(G684:R684,1,MATCH(Parametres!$B$3,G$1:R$1,0))*IF(OR(F684="L",F684="S",F684="I"),-1,1)</f>
        <v>0</v>
      </c>
      <c r="AO684" s="487" t="str">
        <f>+VLOOKUP($AJ684,Data_Validation!$A:$D,1,0)</f>
        <v>G44701</v>
      </c>
      <c r="AP684" s="487">
        <f>+VLOOKUP($AJ684,Data_Validation!$A:$D,3,0)</f>
        <v>0</v>
      </c>
      <c r="AQ684" s="487">
        <f>+VLOOKUP($AJ684,Data_Validation!$A:$D,4,0)</f>
        <v>0</v>
      </c>
      <c r="AR684" s="487" t="s">
        <v>299</v>
      </c>
      <c r="AS684" s="487">
        <f>+VLOOKUP($AJ684,Data_Validation!$A:$E,5,0)</f>
        <v>0</v>
      </c>
      <c r="AT684" s="904" t="str">
        <f t="shared" si="71"/>
        <v>G44701</v>
      </c>
      <c r="AU684" s="488" t="str">
        <f t="shared" si="72"/>
        <v>*REM.NEUF VOIT.DET.AUTRES</v>
      </c>
      <c r="AV684" s="899">
        <f>IFERROR(INDEX(V684:AG684,1,MATCH(Parametres!$B$3,V$1:AG$1,0)-1)*IF(OR(C684="L",C684="S",C684="I"),-1,1),"")</f>
        <v>0</v>
      </c>
      <c r="AW684" s="899">
        <f t="shared" si="73"/>
        <v>0</v>
      </c>
      <c r="AX684" s="899">
        <f>INDEX(V684:AG684,1,MATCH(Parametres!$B$3,V$1:AG$1,0))*IF(OR(C684="L",C684="S",C684="I"),-1,1)</f>
        <v>0</v>
      </c>
      <c r="AY684" s="487" t="s">
        <v>337</v>
      </c>
      <c r="AZ684" s="487">
        <f>+VLOOKUP($AJ684,Data_Validation!$A:$E,5,0)</f>
        <v>0</v>
      </c>
    </row>
    <row r="685" spans="1:52" ht="15" customHeight="1">
      <c r="A685" s="706" t="s">
        <v>1148</v>
      </c>
      <c r="B685" s="706">
        <v>2026</v>
      </c>
      <c r="C685" s="706" t="s">
        <v>2402</v>
      </c>
      <c r="D685" s="706" t="s">
        <v>2403</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G44720</v>
      </c>
      <c r="AK685" s="905" t="str">
        <f t="shared" si="69"/>
        <v>*REM.NEUF LOC.AUTO DET.OP</v>
      </c>
      <c r="AL685" s="905">
        <f>IFERROR(INDEX(G685:R685,1,MATCH(Parametres!$B$3,G$1:R$1,0)-1)*IF(OR(F685="L",F685="S",F685="I"),-1,1),"")</f>
        <v>0</v>
      </c>
      <c r="AM685" s="905">
        <f t="shared" si="70"/>
        <v>0</v>
      </c>
      <c r="AN685" s="905">
        <f>INDEX(G685:R685,1,MATCH(Parametres!$B$3,G$1:R$1,0))*IF(OR(F685="L",F685="S",F685="I"),-1,1)</f>
        <v>0</v>
      </c>
      <c r="AO685" s="487" t="str">
        <f>+VLOOKUP($AJ685,Data_Validation!$A:$D,1,0)</f>
        <v>G44720</v>
      </c>
      <c r="AP685" s="487">
        <f>+VLOOKUP($AJ685,Data_Validation!$A:$D,3,0)</f>
        <v>0</v>
      </c>
      <c r="AQ685" s="487">
        <f>+VLOOKUP($AJ685,Data_Validation!$A:$D,4,0)</f>
        <v>0</v>
      </c>
      <c r="AR685" s="487" t="s">
        <v>299</v>
      </c>
      <c r="AS685" s="487">
        <f>+VLOOKUP($AJ685,Data_Validation!$A:$E,5,0)</f>
        <v>0</v>
      </c>
      <c r="AT685" s="904" t="str">
        <f t="shared" si="71"/>
        <v>G44720</v>
      </c>
      <c r="AU685" s="488" t="str">
        <f t="shared" si="72"/>
        <v>*REM.NEUF LOC.AUTO DET.OP</v>
      </c>
      <c r="AV685" s="899">
        <f>IFERROR(INDEX(V685:AG685,1,MATCH(Parametres!$B$3,V$1:AG$1,0)-1)*IF(OR(C685="L",C685="S",C685="I"),-1,1),"")</f>
        <v>0</v>
      </c>
      <c r="AW685" s="899">
        <f t="shared" si="73"/>
        <v>0</v>
      </c>
      <c r="AX685" s="899">
        <f>INDEX(V685:AG685,1,MATCH(Parametres!$B$3,V$1:AG$1,0))*IF(OR(C685="L",C685="S",C685="I"),-1,1)</f>
        <v>0</v>
      </c>
      <c r="AY685" s="487" t="s">
        <v>337</v>
      </c>
      <c r="AZ685" s="487">
        <f>+VLOOKUP($AJ685,Data_Validation!$A:$E,5,0)</f>
        <v>0</v>
      </c>
    </row>
    <row r="686" spans="1:52" ht="15" customHeight="1">
      <c r="A686" s="706" t="s">
        <v>1148</v>
      </c>
      <c r="B686" s="706">
        <v>2026</v>
      </c>
      <c r="C686" s="706" t="s">
        <v>2404</v>
      </c>
      <c r="D686" s="706" t="s">
        <v>2405</v>
      </c>
      <c r="E686" s="706" t="s">
        <v>1149</v>
      </c>
      <c r="F686" s="706" t="s">
        <v>1149</v>
      </c>
      <c r="G686" s="706">
        <v>7950</v>
      </c>
      <c r="H686" s="706">
        <v>123560</v>
      </c>
      <c r="I686" s="706">
        <v>323591</v>
      </c>
      <c r="J686" s="706">
        <v>421541</v>
      </c>
      <c r="K686" s="706">
        <v>370508</v>
      </c>
      <c r="L686" s="706">
        <v>464008</v>
      </c>
      <c r="M686" s="706">
        <v>505648</v>
      </c>
      <c r="N686" s="706">
        <v>599699</v>
      </c>
      <c r="O686" s="706">
        <v>605949</v>
      </c>
      <c r="P686" s="706">
        <v>0</v>
      </c>
      <c r="Q686" s="706">
        <v>0</v>
      </c>
      <c r="R686" s="706">
        <v>0</v>
      </c>
      <c r="S686" s="706">
        <v>74962.38</v>
      </c>
      <c r="T686" s="706">
        <v>74962.38</v>
      </c>
      <c r="U686" s="706">
        <v>0</v>
      </c>
      <c r="V686" s="706">
        <v>2</v>
      </c>
      <c r="W686" s="706">
        <v>9</v>
      </c>
      <c r="X686" s="706">
        <v>19</v>
      </c>
      <c r="Y686" s="706">
        <v>30</v>
      </c>
      <c r="Z686" s="706">
        <v>27</v>
      </c>
      <c r="AA686" s="706">
        <v>33</v>
      </c>
      <c r="AB686" s="706">
        <v>39</v>
      </c>
      <c r="AC686" s="706">
        <v>47</v>
      </c>
      <c r="AD686" s="706">
        <v>49</v>
      </c>
      <c r="AE686" s="706">
        <v>0</v>
      </c>
      <c r="AF686" s="706">
        <v>0</v>
      </c>
      <c r="AG686" s="706">
        <v>0</v>
      </c>
      <c r="AH686" s="706">
        <v>6</v>
      </c>
      <c r="AI686" s="706">
        <v>6</v>
      </c>
      <c r="AJ686" s="905" t="str">
        <f t="shared" si="68"/>
        <v>G44800</v>
      </c>
      <c r="AK686" s="905" t="str">
        <f t="shared" si="69"/>
        <v>VTES-VOIT.OCC.EN GROS-DET</v>
      </c>
      <c r="AL686" s="905">
        <f>IFERROR(INDEX(G686:R686,1,MATCH(Parametres!$B$3,G$1:R$1,0)-1)*IF(OR(F686="L",F686="S",F686="I"),-1,1),"")</f>
        <v>-505648</v>
      </c>
      <c r="AM686" s="905">
        <f t="shared" si="70"/>
        <v>-94051</v>
      </c>
      <c r="AN686" s="905">
        <f>INDEX(G686:R686,1,MATCH(Parametres!$B$3,G$1:R$1,0))*IF(OR(F686="L",F686="S",F686="I"),-1,1)</f>
        <v>-599699</v>
      </c>
      <c r="AO686" s="487" t="str">
        <f>+VLOOKUP($AJ686,Data_Validation!$A:$D,1,0)</f>
        <v>G44800</v>
      </c>
      <c r="AP686" s="487" t="str">
        <f>+VLOOKUP($AJ686,Data_Validation!$A:$D,3,0)</f>
        <v>Véhicules usagés</v>
      </c>
      <c r="AQ686" s="487" t="str">
        <f>+VLOOKUP($AJ686,Data_Validation!$A:$D,4,0)</f>
        <v>Ventes au Gros</v>
      </c>
      <c r="AR686" s="487" t="s">
        <v>299</v>
      </c>
      <c r="AS686" s="487" t="str">
        <f>+VLOOKUP($AJ686,Data_Validation!$A:$E,5,0)</f>
        <v>Oui</v>
      </c>
      <c r="AT686" s="904" t="str">
        <f t="shared" si="71"/>
        <v>G44800</v>
      </c>
      <c r="AU686" s="488" t="str">
        <f t="shared" si="72"/>
        <v>VTES-VOIT.OCC.EN GROS-DET</v>
      </c>
      <c r="AV686" s="899">
        <f>IFERROR(INDEX(V686:AG686,1,MATCH(Parametres!$B$3,V$1:AG$1,0)-1)*IF(OR(C686="L",C686="S",C686="I"),-1,1),"")</f>
        <v>39</v>
      </c>
      <c r="AW686" s="899">
        <f t="shared" si="73"/>
        <v>8</v>
      </c>
      <c r="AX686" s="899">
        <f>INDEX(V686:AG686,1,MATCH(Parametres!$B$3,V$1:AG$1,0))*IF(OR(C686="L",C686="S",C686="I"),-1,1)</f>
        <v>47</v>
      </c>
      <c r="AY686" s="487" t="s">
        <v>337</v>
      </c>
      <c r="AZ686" s="487" t="str">
        <f>+VLOOKUP($AJ686,Data_Validation!$A:$E,5,0)</f>
        <v>Oui</v>
      </c>
    </row>
    <row r="687" spans="1:52" ht="15" customHeight="1">
      <c r="A687" s="706" t="s">
        <v>1148</v>
      </c>
      <c r="B687" s="706">
        <v>2026</v>
      </c>
      <c r="C687" s="706" t="s">
        <v>2406</v>
      </c>
      <c r="D687" s="706" t="s">
        <v>2407</v>
      </c>
      <c r="E687" s="706" t="s">
        <v>333</v>
      </c>
      <c r="F687" s="706" t="s">
        <v>1149</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905" t="str">
        <f t="shared" si="68"/>
        <v>G44900</v>
      </c>
      <c r="AK687" s="905" t="str">
        <f t="shared" si="69"/>
        <v>*RECTIFICATION STOCK AUTO</v>
      </c>
      <c r="AL687" s="905">
        <f>IFERROR(INDEX(G687:R687,1,MATCH(Parametres!$B$3,G$1:R$1,0)-1)*IF(OR(F687="L",F687="S",F687="I"),-1,1),"")</f>
        <v>0</v>
      </c>
      <c r="AM687" s="905">
        <f t="shared" si="70"/>
        <v>0</v>
      </c>
      <c r="AN687" s="905">
        <f>INDEX(G687:R687,1,MATCH(Parametres!$B$3,G$1:R$1,0))*IF(OR(F687="L",F687="S",F687="I"),-1,1)</f>
        <v>0</v>
      </c>
      <c r="AO687" s="487" t="str">
        <f>+VLOOKUP($AJ687,Data_Validation!$A:$D,1,0)</f>
        <v>G44900</v>
      </c>
      <c r="AP687" s="487">
        <f>+VLOOKUP($AJ687,Data_Validation!$A:$D,3,0)</f>
        <v>0</v>
      </c>
      <c r="AQ687" s="487">
        <f>+VLOOKUP($AJ687,Data_Validation!$A:$D,4,0)</f>
        <v>0</v>
      </c>
      <c r="AR687" s="487" t="s">
        <v>299</v>
      </c>
      <c r="AS687" s="487">
        <f>+VLOOKUP($AJ687,Data_Validation!$A:$E,5,0)</f>
        <v>0</v>
      </c>
      <c r="AT687" s="904" t="str">
        <f t="shared" si="71"/>
        <v>G44900</v>
      </c>
      <c r="AU687" s="488" t="str">
        <f t="shared" si="72"/>
        <v>*RECTIFICATION STOCK AUTO</v>
      </c>
      <c r="AV687" s="899">
        <f>IFERROR(INDEX(V687:AG687,1,MATCH(Parametres!$B$3,V$1:AG$1,0)-1)*IF(OR(C687="L",C687="S",C687="I"),-1,1),"")</f>
        <v>0</v>
      </c>
      <c r="AW687" s="899">
        <f t="shared" si="73"/>
        <v>0</v>
      </c>
      <c r="AX687" s="899">
        <f>INDEX(V687:AG687,1,MATCH(Parametres!$B$3,V$1:AG$1,0))*IF(OR(C687="L",C687="S",C687="I"),-1,1)</f>
        <v>0</v>
      </c>
      <c r="AY687" s="487" t="s">
        <v>337</v>
      </c>
      <c r="AZ687" s="487">
        <f>+VLOOKUP($AJ687,Data_Validation!$A:$E,5,0)</f>
        <v>0</v>
      </c>
    </row>
    <row r="688" spans="1:52" ht="15" customHeight="1">
      <c r="A688" s="706" t="s">
        <v>1148</v>
      </c>
      <c r="B688" s="706">
        <v>2026</v>
      </c>
      <c r="C688" s="706" t="s">
        <v>2408</v>
      </c>
      <c r="D688" s="706" t="s">
        <v>3338</v>
      </c>
      <c r="E688" s="706" t="s">
        <v>1149</v>
      </c>
      <c r="F688" s="706" t="s">
        <v>1149</v>
      </c>
      <c r="G688" s="706">
        <v>41059.599999999999</v>
      </c>
      <c r="H688" s="706">
        <v>355959.6</v>
      </c>
      <c r="I688" s="706">
        <v>1255785.6000000001</v>
      </c>
      <c r="J688" s="706">
        <v>2107096.6</v>
      </c>
      <c r="K688" s="706">
        <v>0</v>
      </c>
      <c r="L688" s="706">
        <v>0</v>
      </c>
      <c r="M688" s="706">
        <v>0</v>
      </c>
      <c r="N688" s="706">
        <v>0</v>
      </c>
      <c r="O688" s="706">
        <v>0</v>
      </c>
      <c r="P688" s="706">
        <v>0</v>
      </c>
      <c r="Q688" s="706">
        <v>0</v>
      </c>
      <c r="R688" s="706">
        <v>0</v>
      </c>
      <c r="S688" s="706">
        <v>0</v>
      </c>
      <c r="T688" s="706">
        <v>0</v>
      </c>
      <c r="U688" s="706">
        <v>0</v>
      </c>
      <c r="V688" s="706">
        <v>1</v>
      </c>
      <c r="W688" s="706">
        <v>8</v>
      </c>
      <c r="X688" s="706">
        <v>30</v>
      </c>
      <c r="Y688" s="706">
        <v>47</v>
      </c>
      <c r="Z688" s="706">
        <v>0</v>
      </c>
      <c r="AA688" s="706">
        <v>0</v>
      </c>
      <c r="AB688" s="706">
        <v>0</v>
      </c>
      <c r="AC688" s="706">
        <v>0</v>
      </c>
      <c r="AD688" s="706">
        <v>0</v>
      </c>
      <c r="AE688" s="706">
        <v>0</v>
      </c>
      <c r="AF688" s="706">
        <v>0</v>
      </c>
      <c r="AG688" s="706">
        <v>0</v>
      </c>
      <c r="AH688" s="706">
        <v>0</v>
      </c>
      <c r="AI688" s="706">
        <v>0</v>
      </c>
      <c r="AJ688" s="905" t="str">
        <f t="shared" si="68"/>
        <v>G45000</v>
      </c>
      <c r="AK688" s="905" t="str">
        <f t="shared" si="69"/>
        <v>VTES - CAMION DET CERTIFI</v>
      </c>
      <c r="AL688" s="905">
        <f>IFERROR(INDEX(G688:R688,1,MATCH(Parametres!$B$3,G$1:R$1,0)-1)*IF(OR(F688="L",F688="S",F688="I"),-1,1),"")</f>
        <v>0</v>
      </c>
      <c r="AM688" s="905">
        <f t="shared" si="70"/>
        <v>0</v>
      </c>
      <c r="AN688" s="905">
        <f>INDEX(G688:R688,1,MATCH(Parametres!$B$3,G$1:R$1,0))*IF(OR(F688="L",F688="S",F688="I"),-1,1)</f>
        <v>0</v>
      </c>
      <c r="AO688" s="487" t="str">
        <f>+VLOOKUP($AJ688,Data_Validation!$A:$D,1,0)</f>
        <v>G45000</v>
      </c>
      <c r="AP688" s="487" t="str">
        <f>+VLOOKUP($AJ688,Data_Validation!$A:$D,3,0)</f>
        <v>Véhicules usagés</v>
      </c>
      <c r="AQ688" s="487" t="str">
        <f>+VLOOKUP($AJ688,Data_Validation!$A:$D,4,0)</f>
        <v>Ventes au Gros</v>
      </c>
      <c r="AR688" s="487" t="s">
        <v>299</v>
      </c>
      <c r="AS688" s="487" t="str">
        <f>+VLOOKUP($AJ688,Data_Validation!$A:$E,5,0)</f>
        <v>Oui</v>
      </c>
      <c r="AT688" s="904" t="str">
        <f t="shared" si="71"/>
        <v>G45000</v>
      </c>
      <c r="AU688" s="488" t="str">
        <f t="shared" si="72"/>
        <v>VTES - CAMION DET CERTIFI</v>
      </c>
      <c r="AV688" s="899">
        <f>IFERROR(INDEX(V688:AG688,1,MATCH(Parametres!$B$3,V$1:AG$1,0)-1)*IF(OR(C688="L",C688="S",C688="I"),-1,1),"")</f>
        <v>0</v>
      </c>
      <c r="AW688" s="899">
        <f t="shared" si="73"/>
        <v>0</v>
      </c>
      <c r="AX688" s="899">
        <f>INDEX(V688:AG688,1,MATCH(Parametres!$B$3,V$1:AG$1,0))*IF(OR(C688="L",C688="S",C688="I"),-1,1)</f>
        <v>0</v>
      </c>
      <c r="AY688" s="487" t="s">
        <v>337</v>
      </c>
      <c r="AZ688" s="487" t="str">
        <f>+VLOOKUP($AJ688,Data_Validation!$A:$E,5,0)</f>
        <v>Oui</v>
      </c>
    </row>
    <row r="689" spans="1:52" ht="15" customHeight="1">
      <c r="A689" s="706" t="s">
        <v>1148</v>
      </c>
      <c r="B689" s="706">
        <v>2026</v>
      </c>
      <c r="C689" s="706" t="s">
        <v>2410</v>
      </c>
      <c r="D689" s="706" t="s">
        <v>3339</v>
      </c>
      <c r="E689" s="706" t="s">
        <v>1149</v>
      </c>
      <c r="F689" s="706" t="s">
        <v>1149</v>
      </c>
      <c r="G689" s="706">
        <v>464168.65</v>
      </c>
      <c r="H689" s="706">
        <v>724146.28</v>
      </c>
      <c r="I689" s="706">
        <v>1278286.0900000001</v>
      </c>
      <c r="J689" s="706">
        <v>2169663.9700000002</v>
      </c>
      <c r="K689" s="706">
        <v>3106730.33</v>
      </c>
      <c r="L689" s="706">
        <v>3751111.74</v>
      </c>
      <c r="M689" s="706">
        <v>4464265.6500000004</v>
      </c>
      <c r="N689" s="706">
        <v>5254550.8600000003</v>
      </c>
      <c r="O689" s="706">
        <v>5547629.8600000003</v>
      </c>
      <c r="P689" s="706">
        <v>0</v>
      </c>
      <c r="Q689" s="706">
        <v>0</v>
      </c>
      <c r="R689" s="706">
        <v>0</v>
      </c>
      <c r="S689" s="706">
        <v>656818.86</v>
      </c>
      <c r="T689" s="706">
        <v>656818.86</v>
      </c>
      <c r="U689" s="706">
        <v>0</v>
      </c>
      <c r="V689" s="706">
        <v>15</v>
      </c>
      <c r="W689" s="706">
        <v>22</v>
      </c>
      <c r="X689" s="706">
        <v>40</v>
      </c>
      <c r="Y689" s="706">
        <v>63</v>
      </c>
      <c r="Z689" s="706">
        <v>91</v>
      </c>
      <c r="AA689" s="706">
        <v>109</v>
      </c>
      <c r="AB689" s="706">
        <v>127</v>
      </c>
      <c r="AC689" s="706">
        <v>150</v>
      </c>
      <c r="AD689" s="706">
        <v>160</v>
      </c>
      <c r="AE689" s="706">
        <v>0</v>
      </c>
      <c r="AF689" s="706">
        <v>0</v>
      </c>
      <c r="AG689" s="706">
        <v>0</v>
      </c>
      <c r="AH689" s="706">
        <v>19</v>
      </c>
      <c r="AI689" s="706">
        <v>19</v>
      </c>
      <c r="AJ689" s="905" t="str">
        <f t="shared" si="68"/>
        <v>G45001</v>
      </c>
      <c r="AK689" s="905" t="str">
        <f t="shared" si="69"/>
        <v>VTES-CAM OCC. GM N-CERT</v>
      </c>
      <c r="AL689" s="905">
        <f>IFERROR(INDEX(G689:R689,1,MATCH(Parametres!$B$3,G$1:R$1,0)-1)*IF(OR(F689="L",F689="S",F689="I"),-1,1),"")</f>
        <v>-4464265.6500000004</v>
      </c>
      <c r="AM689" s="905">
        <f t="shared" si="70"/>
        <v>-790285.21</v>
      </c>
      <c r="AN689" s="905">
        <f>INDEX(G689:R689,1,MATCH(Parametres!$B$3,G$1:R$1,0))*IF(OR(F689="L",F689="S",F689="I"),-1,1)</f>
        <v>-5254550.8600000003</v>
      </c>
      <c r="AO689" s="487" t="str">
        <f>+VLOOKUP($AJ689,Data_Validation!$A:$D,1,0)</f>
        <v>G45001</v>
      </c>
      <c r="AP689" s="487" t="str">
        <f>+VLOOKUP($AJ689,Data_Validation!$A:$D,3,0)</f>
        <v>Véhicules usagés</v>
      </c>
      <c r="AQ689" s="487" t="str">
        <f>+VLOOKUP($AJ689,Data_Validation!$A:$D,4,0)</f>
        <v>Non Certifié</v>
      </c>
      <c r="AR689" s="487" t="s">
        <v>299</v>
      </c>
      <c r="AS689" s="487" t="str">
        <f>+VLOOKUP($AJ689,Data_Validation!$A:$E,5,0)</f>
        <v>Oui</v>
      </c>
      <c r="AT689" s="904" t="str">
        <f t="shared" si="71"/>
        <v>G45001</v>
      </c>
      <c r="AU689" s="488" t="str">
        <f t="shared" si="72"/>
        <v>VTES-CAM OCC. GM N-CERT</v>
      </c>
      <c r="AV689" s="899">
        <f>IFERROR(INDEX(V689:AG689,1,MATCH(Parametres!$B$3,V$1:AG$1,0)-1)*IF(OR(C689="L",C689="S",C689="I"),-1,1),"")</f>
        <v>127</v>
      </c>
      <c r="AW689" s="899">
        <f t="shared" si="73"/>
        <v>23</v>
      </c>
      <c r="AX689" s="899">
        <f>INDEX(V689:AG689,1,MATCH(Parametres!$B$3,V$1:AG$1,0))*IF(OR(C689="L",C689="S",C689="I"),-1,1)</f>
        <v>150</v>
      </c>
      <c r="AY689" s="487" t="s">
        <v>337</v>
      </c>
      <c r="AZ689" s="487" t="str">
        <f>+VLOOKUP($AJ689,Data_Validation!$A:$E,5,0)</f>
        <v>Oui</v>
      </c>
    </row>
    <row r="690" spans="1:52" ht="15" customHeight="1">
      <c r="A690" s="706" t="s">
        <v>1148</v>
      </c>
      <c r="B690" s="706">
        <v>2026</v>
      </c>
      <c r="C690" s="706" t="s">
        <v>3340</v>
      </c>
      <c r="D690" s="706" t="s">
        <v>3341</v>
      </c>
      <c r="E690" s="706" t="s">
        <v>1149</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G45002</v>
      </c>
      <c r="AK690" s="905" t="str">
        <f t="shared" si="69"/>
        <v>VTES- CAMION AUTRE MARQ</v>
      </c>
      <c r="AL690" s="905">
        <f>IFERROR(INDEX(G690:R690,1,MATCH(Parametres!$B$3,G$1:R$1,0)-1)*IF(OR(F690="L",F690="S",F690="I"),-1,1),"")</f>
        <v>0</v>
      </c>
      <c r="AM690" s="905">
        <f t="shared" si="70"/>
        <v>0</v>
      </c>
      <c r="AN690" s="905">
        <f>INDEX(G690:R690,1,MATCH(Parametres!$B$3,G$1:R$1,0))*IF(OR(F690="L",F690="S",F690="I"),-1,1)</f>
        <v>0</v>
      </c>
      <c r="AO690" s="487" t="str">
        <f>+VLOOKUP($AJ690,Data_Validation!$A:$D,1,0)</f>
        <v>G45002</v>
      </c>
      <c r="AP690" s="487" t="str">
        <f>+VLOOKUP($AJ690,Data_Validation!$A:$D,3,0)</f>
        <v>Véhicules usagés</v>
      </c>
      <c r="AQ690" s="487" t="str">
        <f>+VLOOKUP($AJ690,Data_Validation!$A:$D,4,0)</f>
        <v>Autres Marques</v>
      </c>
      <c r="AR690" s="487" t="s">
        <v>299</v>
      </c>
      <c r="AS690" s="487">
        <f>+VLOOKUP($AJ690,Data_Validation!$A:$E,5,0)</f>
        <v>0</v>
      </c>
      <c r="AT690" s="904" t="str">
        <f t="shared" si="71"/>
        <v>G45002</v>
      </c>
      <c r="AU690" s="488" t="str">
        <f t="shared" si="72"/>
        <v>VTES- CAMION AUTRE MARQ</v>
      </c>
      <c r="AV690" s="899">
        <f>IFERROR(INDEX(V690:AG690,1,MATCH(Parametres!$B$3,V$1:AG$1,0)-1)*IF(OR(C690="L",C690="S",C690="I"),-1,1),"")</f>
        <v>0</v>
      </c>
      <c r="AW690" s="899">
        <f t="shared" si="73"/>
        <v>0</v>
      </c>
      <c r="AX690" s="899">
        <f>INDEX(V690:AG690,1,MATCH(Parametres!$B$3,V$1:AG$1,0))*IF(OR(C690="L",C690="S",C690="I"),-1,1)</f>
        <v>0</v>
      </c>
      <c r="AY690" s="487" t="s">
        <v>337</v>
      </c>
      <c r="AZ690" s="487">
        <f>+VLOOKUP($AJ690,Data_Validation!$A:$E,5,0)</f>
        <v>0</v>
      </c>
    </row>
    <row r="691" spans="1:52" ht="15" customHeight="1">
      <c r="A691" s="706" t="s">
        <v>1148</v>
      </c>
      <c r="B691" s="706">
        <v>2026</v>
      </c>
      <c r="C691" s="706" t="s">
        <v>3342</v>
      </c>
      <c r="D691" s="706" t="s">
        <v>3343</v>
      </c>
      <c r="E691" s="706" t="s">
        <v>1149</v>
      </c>
      <c r="F691" s="706" t="s">
        <v>1149</v>
      </c>
      <c r="G691" s="706">
        <v>0</v>
      </c>
      <c r="H691" s="706">
        <v>0</v>
      </c>
      <c r="I691" s="706">
        <v>0</v>
      </c>
      <c r="J691" s="706">
        <v>0</v>
      </c>
      <c r="K691" s="706">
        <v>0</v>
      </c>
      <c r="L691" s="706">
        <v>0</v>
      </c>
      <c r="M691" s="706">
        <v>163049.32</v>
      </c>
      <c r="N691" s="706">
        <v>336173.43</v>
      </c>
      <c r="O691" s="706">
        <v>336173.43</v>
      </c>
      <c r="P691" s="706">
        <v>0</v>
      </c>
      <c r="Q691" s="706">
        <v>0</v>
      </c>
      <c r="R691" s="706">
        <v>0</v>
      </c>
      <c r="S691" s="706">
        <v>42021.68</v>
      </c>
      <c r="T691" s="706">
        <v>42021.68</v>
      </c>
      <c r="U691" s="706">
        <v>0</v>
      </c>
      <c r="V691" s="706">
        <v>0</v>
      </c>
      <c r="W691" s="706">
        <v>0</v>
      </c>
      <c r="X691" s="706">
        <v>0</v>
      </c>
      <c r="Y691" s="706">
        <v>0</v>
      </c>
      <c r="Z691" s="706">
        <v>0</v>
      </c>
      <c r="AA691" s="706">
        <v>0</v>
      </c>
      <c r="AB691" s="706">
        <v>4</v>
      </c>
      <c r="AC691" s="706">
        <v>9</v>
      </c>
      <c r="AD691" s="706">
        <v>9</v>
      </c>
      <c r="AE691" s="706">
        <v>0</v>
      </c>
      <c r="AF691" s="706">
        <v>0</v>
      </c>
      <c r="AG691" s="706">
        <v>0</v>
      </c>
      <c r="AH691" s="706">
        <v>1</v>
      </c>
      <c r="AI691" s="706">
        <v>1</v>
      </c>
      <c r="AJ691" s="905" t="str">
        <f t="shared" si="68"/>
        <v>G45003</v>
      </c>
      <c r="AK691" s="905" t="str">
        <f t="shared" si="69"/>
        <v>VTES-RACHAT BAIL CAMION</v>
      </c>
      <c r="AL691" s="905">
        <f>IFERROR(INDEX(G691:R691,1,MATCH(Parametres!$B$3,G$1:R$1,0)-1)*IF(OR(F691="L",F691="S",F691="I"),-1,1),"")</f>
        <v>-163049.32</v>
      </c>
      <c r="AM691" s="905">
        <f t="shared" si="70"/>
        <v>-173124.11</v>
      </c>
      <c r="AN691" s="905">
        <f>INDEX(G691:R691,1,MATCH(Parametres!$B$3,G$1:R$1,0))*IF(OR(F691="L",F691="S",F691="I"),-1,1)</f>
        <v>-336173.43</v>
      </c>
      <c r="AO691" s="487" t="str">
        <f>+VLOOKUP($AJ691,Data_Validation!$A:$D,1,0)</f>
        <v>G45003</v>
      </c>
      <c r="AP691" s="487">
        <f>+VLOOKUP($AJ691,Data_Validation!$A:$D,3,0)</f>
        <v>0</v>
      </c>
      <c r="AQ691" s="487">
        <f>+VLOOKUP($AJ691,Data_Validation!$A:$D,4,0)</f>
        <v>0</v>
      </c>
      <c r="AR691" s="487" t="s">
        <v>299</v>
      </c>
      <c r="AS691" s="487">
        <f>+VLOOKUP($AJ691,Data_Validation!$A:$E,5,0)</f>
        <v>0</v>
      </c>
      <c r="AT691" s="904" t="str">
        <f t="shared" si="71"/>
        <v>G45003</v>
      </c>
      <c r="AU691" s="488" t="str">
        <f t="shared" si="72"/>
        <v>VTES-RACHAT BAIL CAMION</v>
      </c>
      <c r="AV691" s="899">
        <f>IFERROR(INDEX(V691:AG691,1,MATCH(Parametres!$B$3,V$1:AG$1,0)-1)*IF(OR(C691="L",C691="S",C691="I"),-1,1),"")</f>
        <v>4</v>
      </c>
      <c r="AW691" s="899">
        <f t="shared" si="73"/>
        <v>5</v>
      </c>
      <c r="AX691" s="899">
        <f>INDEX(V691:AG691,1,MATCH(Parametres!$B$3,V$1:AG$1,0))*IF(OR(C691="L",C691="S",C691="I"),-1,1)</f>
        <v>9</v>
      </c>
      <c r="AY691" s="487" t="s">
        <v>337</v>
      </c>
      <c r="AZ691" s="487">
        <f>+VLOOKUP($AJ691,Data_Validation!$A:$E,5,0)</f>
        <v>0</v>
      </c>
    </row>
    <row r="692" spans="1:52" ht="15" customHeight="1">
      <c r="A692" s="706" t="s">
        <v>1148</v>
      </c>
      <c r="B692" s="706">
        <v>2026</v>
      </c>
      <c r="C692" s="706" t="s">
        <v>2412</v>
      </c>
      <c r="D692" s="706" t="s">
        <v>2413</v>
      </c>
      <c r="E692" s="706" t="s">
        <v>1149</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G45020</v>
      </c>
      <c r="AK692" s="905" t="str">
        <f t="shared" si="69"/>
        <v>VTES-CAM USAGE OPT. -LOC.</v>
      </c>
      <c r="AL692" s="905">
        <f>IFERROR(INDEX(G692:R692,1,MATCH(Parametres!$B$3,G$1:R$1,0)-1)*IF(OR(F692="L",F692="S",F692="I"),-1,1),"")</f>
        <v>0</v>
      </c>
      <c r="AM692" s="1047">
        <f t="shared" si="70"/>
        <v>0</v>
      </c>
      <c r="AN692" s="905">
        <f>INDEX(G692:R692,1,MATCH(Parametres!$B$3,G$1:R$1,0))*IF(OR(F692="L",F692="S",F692="I"),-1,1)</f>
        <v>0</v>
      </c>
      <c r="AO692" s="487" t="e">
        <f>+VLOOKUP($AJ692,Data_Validation!$A:$D,1,0)</f>
        <v>#N/A</v>
      </c>
      <c r="AP692" s="487" t="e">
        <f>+VLOOKUP($AJ692,Data_Validation!$A:$D,3,0)</f>
        <v>#N/A</v>
      </c>
      <c r="AQ692" s="487" t="e">
        <f>+VLOOKUP($AJ692,Data_Validation!$A:$D,4,0)</f>
        <v>#N/A</v>
      </c>
      <c r="AR692" s="487" t="s">
        <v>299</v>
      </c>
      <c r="AS692" s="487" t="e">
        <f>+VLOOKUP($AJ692,Data_Validation!$A:$E,5,0)</f>
        <v>#N/A</v>
      </c>
      <c r="AT692" s="904" t="str">
        <f t="shared" si="71"/>
        <v>G45020</v>
      </c>
      <c r="AU692" s="488" t="str">
        <f t="shared" si="72"/>
        <v>VTES-CAM USAGE OPT. -LOC.</v>
      </c>
      <c r="AV692" s="899">
        <f>IFERROR(INDEX(V692:AG692,1,MATCH(Parametres!$B$3,V$1:AG$1,0)-1)*IF(OR(C692="L",C692="S",C692="I"),-1,1),"")</f>
        <v>0</v>
      </c>
      <c r="AW692" s="899">
        <f t="shared" si="73"/>
        <v>0</v>
      </c>
      <c r="AX692" s="899">
        <f>INDEX(V692:AG692,1,MATCH(Parametres!$B$3,V$1:AG$1,0))*IF(OR(C692="L",C692="S",C692="I"),-1,1)</f>
        <v>0</v>
      </c>
      <c r="AY692" s="487" t="s">
        <v>337</v>
      </c>
      <c r="AZ692" s="487" t="e">
        <f>+VLOOKUP($AJ692,Data_Validation!$A:$E,5,0)</f>
        <v>#N/A</v>
      </c>
    </row>
    <row r="693" spans="1:52" ht="15" customHeight="1">
      <c r="A693" s="706" t="s">
        <v>1148</v>
      </c>
      <c r="B693" s="706">
        <v>2026</v>
      </c>
      <c r="C693" s="706" t="s">
        <v>2414</v>
      </c>
      <c r="D693" s="706" t="s">
        <v>2415</v>
      </c>
      <c r="E693" s="706" t="s">
        <v>333</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G45100</v>
      </c>
      <c r="AK693" s="905" t="str">
        <f t="shared" si="69"/>
        <v>*REM.NEUF CAM DET. OPT.</v>
      </c>
      <c r="AL693" s="905">
        <f>IFERROR(INDEX(G693:R693,1,MATCH(Parametres!$B$3,G$1:R$1,0)-1)*IF(OR(F693="L",F693="S",F693="I"),-1,1),"")</f>
        <v>0</v>
      </c>
      <c r="AM693" s="1047">
        <f t="shared" si="70"/>
        <v>0</v>
      </c>
      <c r="AN693" s="905">
        <f>INDEX(G693:R693,1,MATCH(Parametres!$B$3,G$1:R$1,0))*IF(OR(F693="L",F693="S",F693="I"),-1,1)</f>
        <v>0</v>
      </c>
      <c r="AO693" s="487" t="str">
        <f>+VLOOKUP($AJ693,Data_Validation!$A:$D,1,0)</f>
        <v>G45100</v>
      </c>
      <c r="AP693" s="487">
        <f>+VLOOKUP($AJ693,Data_Validation!$A:$D,3,0)</f>
        <v>0</v>
      </c>
      <c r="AQ693" s="487">
        <f>+VLOOKUP($AJ693,Data_Validation!$A:$D,4,0)</f>
        <v>0</v>
      </c>
      <c r="AR693" s="487" t="s">
        <v>299</v>
      </c>
      <c r="AS693" s="487">
        <f>+VLOOKUP($AJ693,Data_Validation!$A:$E,5,0)</f>
        <v>0</v>
      </c>
      <c r="AT693" s="904" t="str">
        <f t="shared" si="71"/>
        <v>G45100</v>
      </c>
      <c r="AU693" s="488" t="str">
        <f t="shared" si="72"/>
        <v>*REM.NEUF CAM DET. OPT.</v>
      </c>
      <c r="AV693" s="899">
        <f>IFERROR(INDEX(V693:AG693,1,MATCH(Parametres!$B$3,V$1:AG$1,0)-1)*IF(OR(C693="L",C693="S",C693="I"),-1,1),"")</f>
        <v>0</v>
      </c>
      <c r="AW693" s="899">
        <f t="shared" si="73"/>
        <v>0</v>
      </c>
      <c r="AX693" s="899">
        <f>INDEX(V693:AG693,1,MATCH(Parametres!$B$3,V$1:AG$1,0))*IF(OR(C693="L",C693="S",C693="I"),-1,1)</f>
        <v>0</v>
      </c>
      <c r="AY693" s="487" t="s">
        <v>337</v>
      </c>
      <c r="AZ693" s="487">
        <f>+VLOOKUP($AJ693,Data_Validation!$A:$E,5,0)</f>
        <v>0</v>
      </c>
    </row>
    <row r="694" spans="1:52" ht="15" customHeight="1">
      <c r="A694" s="706" t="s">
        <v>1148</v>
      </c>
      <c r="B694" s="706">
        <v>2026</v>
      </c>
      <c r="C694" s="706" t="s">
        <v>2416</v>
      </c>
      <c r="D694" s="706" t="s">
        <v>2417</v>
      </c>
      <c r="E694" s="706" t="s">
        <v>333</v>
      </c>
      <c r="F694" s="706" t="s">
        <v>1149</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905" t="str">
        <f t="shared" si="68"/>
        <v>G45101</v>
      </c>
      <c r="AK694" s="905" t="str">
        <f t="shared" si="69"/>
        <v>*REM.NEUF CAM DET.AUTRES</v>
      </c>
      <c r="AL694" s="905">
        <f>IFERROR(INDEX(G694:R694,1,MATCH(Parametres!$B$3,G$1:R$1,0)-1)*IF(OR(F694="L",F694="S",F694="I"),-1,1),"")</f>
        <v>0</v>
      </c>
      <c r="AM694" s="1047">
        <f t="shared" si="70"/>
        <v>0</v>
      </c>
      <c r="AN694" s="905">
        <f>INDEX(G694:R694,1,MATCH(Parametres!$B$3,G$1:R$1,0))*IF(OR(F694="L",F694="S",F694="I"),-1,1)</f>
        <v>0</v>
      </c>
      <c r="AO694" s="487" t="str">
        <f>+VLOOKUP($AJ694,Data_Validation!$A:$D,1,0)</f>
        <v>G45101</v>
      </c>
      <c r="AP694" s="487">
        <f>+VLOOKUP($AJ694,Data_Validation!$A:$D,3,0)</f>
        <v>0</v>
      </c>
      <c r="AQ694" s="487">
        <f>+VLOOKUP($AJ694,Data_Validation!$A:$D,4,0)</f>
        <v>0</v>
      </c>
      <c r="AR694" s="487" t="s">
        <v>299</v>
      </c>
      <c r="AS694" s="487">
        <f>+VLOOKUP($AJ694,Data_Validation!$A:$E,5,0)</f>
        <v>0</v>
      </c>
      <c r="AT694" s="904" t="str">
        <f t="shared" si="71"/>
        <v>G45101</v>
      </c>
      <c r="AU694" s="488" t="str">
        <f t="shared" si="72"/>
        <v>*REM.NEUF CAM DET.AUTRES</v>
      </c>
      <c r="AV694" s="899">
        <f>IFERROR(INDEX(V694:AG694,1,MATCH(Parametres!$B$3,V$1:AG$1,0)-1)*IF(OR(C694="L",C694="S",C694="I"),-1,1),"")</f>
        <v>0</v>
      </c>
      <c r="AW694" s="899">
        <f t="shared" si="73"/>
        <v>0</v>
      </c>
      <c r="AX694" s="899">
        <f>INDEX(V694:AG694,1,MATCH(Parametres!$B$3,V$1:AG$1,0))*IF(OR(C694="L",C694="S",C694="I"),-1,1)</f>
        <v>0</v>
      </c>
      <c r="AY694" s="487" t="s">
        <v>337</v>
      </c>
      <c r="AZ694" s="487">
        <f>+VLOOKUP($AJ694,Data_Validation!$A:$E,5,0)</f>
        <v>0</v>
      </c>
    </row>
    <row r="695" spans="1:52" ht="15" customHeight="1">
      <c r="A695" s="706" t="s">
        <v>1148</v>
      </c>
      <c r="B695" s="706">
        <v>2026</v>
      </c>
      <c r="C695" s="706" t="s">
        <v>2418</v>
      </c>
      <c r="D695" s="706" t="s">
        <v>2419</v>
      </c>
      <c r="E695" s="706" t="s">
        <v>333</v>
      </c>
      <c r="F695" s="706" t="s">
        <v>1149</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905" t="str">
        <f t="shared" si="68"/>
        <v>G45120</v>
      </c>
      <c r="AK695" s="905" t="str">
        <f t="shared" si="69"/>
        <v>*REM.NEUF LOC.CAM.DET.OPT</v>
      </c>
      <c r="AL695" s="905">
        <f>IFERROR(INDEX(G695:R695,1,MATCH(Parametres!$B$3,G$1:R$1,0)-1)*IF(OR(F695="L",F695="S",F695="I"),-1,1),"")</f>
        <v>0</v>
      </c>
      <c r="AM695" s="905">
        <f t="shared" si="70"/>
        <v>0</v>
      </c>
      <c r="AN695" s="905">
        <f>INDEX(G695:R695,1,MATCH(Parametres!$B$3,G$1:R$1,0))*IF(OR(F695="L",F695="S",F695="I"),-1,1)</f>
        <v>0</v>
      </c>
      <c r="AO695" s="487" t="str">
        <f>+VLOOKUP($AJ695,Data_Validation!$A:$D,1,0)</f>
        <v>G45120</v>
      </c>
      <c r="AP695" s="487">
        <f>+VLOOKUP($AJ695,Data_Validation!$A:$D,3,0)</f>
        <v>0</v>
      </c>
      <c r="AQ695" s="487">
        <f>+VLOOKUP($AJ695,Data_Validation!$A:$D,4,0)</f>
        <v>0</v>
      </c>
      <c r="AR695" s="487" t="s">
        <v>299</v>
      </c>
      <c r="AS695" s="487">
        <f>+VLOOKUP($AJ695,Data_Validation!$A:$E,5,0)</f>
        <v>0</v>
      </c>
      <c r="AT695" s="904" t="str">
        <f t="shared" si="71"/>
        <v>G45120</v>
      </c>
      <c r="AU695" s="488" t="str">
        <f t="shared" si="72"/>
        <v>*REM.NEUF LOC.CAM.DET.OPT</v>
      </c>
      <c r="AV695" s="899">
        <f>IFERROR(INDEX(V695:AG695,1,MATCH(Parametres!$B$3,V$1:AG$1,0)-1)*IF(OR(C695="L",C695="S",C695="I"),-1,1),"")</f>
        <v>0</v>
      </c>
      <c r="AW695" s="899">
        <f t="shared" si="73"/>
        <v>0</v>
      </c>
      <c r="AX695" s="899">
        <f>INDEX(V695:AG695,1,MATCH(Parametres!$B$3,V$1:AG$1,0))*IF(OR(C695="L",C695="S",C695="I"),-1,1)</f>
        <v>0</v>
      </c>
      <c r="AY695" s="487" t="s">
        <v>337</v>
      </c>
      <c r="AZ695" s="487">
        <f>+VLOOKUP($AJ695,Data_Validation!$A:$E,5,0)</f>
        <v>0</v>
      </c>
    </row>
    <row r="696" spans="1:52" ht="15" customHeight="1">
      <c r="A696" s="706" t="s">
        <v>1148</v>
      </c>
      <c r="B696" s="706">
        <v>2026</v>
      </c>
      <c r="C696" s="706" t="s">
        <v>2420</v>
      </c>
      <c r="D696" s="706" t="s">
        <v>2421</v>
      </c>
      <c r="E696" s="706" t="s">
        <v>1149</v>
      </c>
      <c r="F696" s="706" t="s">
        <v>1149</v>
      </c>
      <c r="G696" s="706">
        <v>2100379.8199999998</v>
      </c>
      <c r="H696" s="706">
        <v>3762756.44</v>
      </c>
      <c r="I696" s="706">
        <v>6990224.5099999998</v>
      </c>
      <c r="J696" s="706">
        <v>9896233.2899999991</v>
      </c>
      <c r="K696" s="706">
        <v>4745727.26</v>
      </c>
      <c r="L696" s="706">
        <v>5406103.9400000004</v>
      </c>
      <c r="M696" s="706">
        <v>5947334.9400000004</v>
      </c>
      <c r="N696" s="706">
        <v>6873627.2699999996</v>
      </c>
      <c r="O696" s="706">
        <v>7237999.2699999996</v>
      </c>
      <c r="P696" s="706">
        <v>0</v>
      </c>
      <c r="Q696" s="706">
        <v>0</v>
      </c>
      <c r="R696" s="706">
        <v>0</v>
      </c>
      <c r="S696" s="706">
        <v>859203.41</v>
      </c>
      <c r="T696" s="706">
        <v>859203.41</v>
      </c>
      <c r="U696" s="706">
        <v>0</v>
      </c>
      <c r="V696" s="706">
        <v>58</v>
      </c>
      <c r="W696" s="706">
        <v>107</v>
      </c>
      <c r="X696" s="706">
        <v>197</v>
      </c>
      <c r="Y696" s="706">
        <v>277</v>
      </c>
      <c r="Z696" s="706">
        <v>116</v>
      </c>
      <c r="AA696" s="706">
        <v>140</v>
      </c>
      <c r="AB696" s="706">
        <v>155</v>
      </c>
      <c r="AC696" s="706">
        <v>182</v>
      </c>
      <c r="AD696" s="706">
        <v>192</v>
      </c>
      <c r="AE696" s="706">
        <v>0</v>
      </c>
      <c r="AF696" s="706">
        <v>0</v>
      </c>
      <c r="AG696" s="706">
        <v>0</v>
      </c>
      <c r="AH696" s="706">
        <v>23</v>
      </c>
      <c r="AI696" s="706">
        <v>23</v>
      </c>
      <c r="AJ696" s="905" t="str">
        <f t="shared" si="68"/>
        <v>G45200</v>
      </c>
      <c r="AK696" s="905" t="str">
        <f t="shared" si="69"/>
        <v>VTES-CAMIONS OCC EN GROS</v>
      </c>
      <c r="AL696" s="905">
        <f>IFERROR(INDEX(G696:R696,1,MATCH(Parametres!$B$3,G$1:R$1,0)-1)*IF(OR(F696="L",F696="S",F696="I"),-1,1),"")</f>
        <v>-5947334.9400000004</v>
      </c>
      <c r="AM696" s="1047">
        <f t="shared" si="70"/>
        <v>-926292.32999999914</v>
      </c>
      <c r="AN696" s="905">
        <f>INDEX(G696:R696,1,MATCH(Parametres!$B$3,G$1:R$1,0))*IF(OR(F696="L",F696="S",F696="I"),-1,1)</f>
        <v>-6873627.2699999996</v>
      </c>
      <c r="AO696" s="487" t="str">
        <f>+VLOOKUP($AJ696,Data_Validation!$A:$D,1,0)</f>
        <v>G45200</v>
      </c>
      <c r="AP696" s="487" t="str">
        <f>+VLOOKUP($AJ696,Data_Validation!$A:$D,3,0)</f>
        <v>Véhicules usagés</v>
      </c>
      <c r="AQ696" s="487" t="str">
        <f>+VLOOKUP($AJ696,Data_Validation!$A:$D,4,0)</f>
        <v>Ventes au Gros</v>
      </c>
      <c r="AR696" s="487" t="s">
        <v>299</v>
      </c>
      <c r="AS696" s="487" t="str">
        <f>+VLOOKUP($AJ696,Data_Validation!$A:$E,5,0)</f>
        <v>Oui</v>
      </c>
      <c r="AT696" s="904" t="str">
        <f t="shared" si="71"/>
        <v>G45200</v>
      </c>
      <c r="AU696" s="488" t="str">
        <f t="shared" si="72"/>
        <v>VTES-CAMIONS OCC EN GROS</v>
      </c>
      <c r="AV696" s="899">
        <f>IFERROR(INDEX(V696:AG696,1,MATCH(Parametres!$B$3,V$1:AG$1,0)-1)*IF(OR(C696="L",C696="S",C696="I"),-1,1),"")</f>
        <v>155</v>
      </c>
      <c r="AW696" s="899">
        <f t="shared" si="73"/>
        <v>27</v>
      </c>
      <c r="AX696" s="899">
        <f>INDEX(V696:AG696,1,MATCH(Parametres!$B$3,V$1:AG$1,0))*IF(OR(C696="L",C696="S",C696="I"),-1,1)</f>
        <v>182</v>
      </c>
      <c r="AY696" s="487" t="s">
        <v>337</v>
      </c>
      <c r="AZ696" s="487" t="str">
        <f>+VLOOKUP($AJ696,Data_Validation!$A:$E,5,0)</f>
        <v>Oui</v>
      </c>
    </row>
    <row r="697" spans="1:52" ht="15" customHeight="1">
      <c r="A697" s="706" t="s">
        <v>1148</v>
      </c>
      <c r="B697" s="706">
        <v>2026</v>
      </c>
      <c r="C697" s="706" t="s">
        <v>2422</v>
      </c>
      <c r="D697" s="706" t="s">
        <v>2423</v>
      </c>
      <c r="E697" s="706" t="s">
        <v>1149</v>
      </c>
      <c r="F697" s="706" t="s">
        <v>1149</v>
      </c>
      <c r="G697" s="706">
        <v>6844500</v>
      </c>
      <c r="H697" s="706">
        <v>7395000</v>
      </c>
      <c r="I697" s="706">
        <v>10383950</v>
      </c>
      <c r="J697" s="706">
        <v>16296150</v>
      </c>
      <c r="K697" s="706">
        <v>18243450</v>
      </c>
      <c r="L697" s="706">
        <v>20028350</v>
      </c>
      <c r="M697" s="706">
        <v>21800450</v>
      </c>
      <c r="N697" s="706">
        <v>22951450</v>
      </c>
      <c r="O697" s="706">
        <v>23329950</v>
      </c>
      <c r="P697" s="706">
        <v>0</v>
      </c>
      <c r="Q697" s="706">
        <v>0</v>
      </c>
      <c r="R697" s="706">
        <v>0</v>
      </c>
      <c r="S697" s="706">
        <v>2868931.25</v>
      </c>
      <c r="T697" s="706">
        <v>2868931.25</v>
      </c>
      <c r="U697" s="706">
        <v>0</v>
      </c>
      <c r="V697" s="706">
        <v>41</v>
      </c>
      <c r="W697" s="706">
        <v>44</v>
      </c>
      <c r="X697" s="706">
        <v>76</v>
      </c>
      <c r="Y697" s="706">
        <v>139</v>
      </c>
      <c r="Z697" s="706">
        <v>157</v>
      </c>
      <c r="AA697" s="706">
        <v>177</v>
      </c>
      <c r="AB697" s="706">
        <v>188</v>
      </c>
      <c r="AC697" s="706">
        <v>196</v>
      </c>
      <c r="AD697" s="706">
        <v>197</v>
      </c>
      <c r="AE697" s="706">
        <v>0</v>
      </c>
      <c r="AF697" s="706">
        <v>0</v>
      </c>
      <c r="AG697" s="706">
        <v>0</v>
      </c>
      <c r="AH697" s="706">
        <v>25</v>
      </c>
      <c r="AI697" s="706">
        <v>25</v>
      </c>
      <c r="AJ697" s="905" t="str">
        <f t="shared" si="68"/>
        <v>G45201</v>
      </c>
      <c r="AK697" s="905" t="str">
        <f t="shared" si="69"/>
        <v>VTES - WHOLESALE W</v>
      </c>
      <c r="AL697" s="905">
        <f>IFERROR(INDEX(G697:R697,1,MATCH(Parametres!$B$3,G$1:R$1,0)-1)*IF(OR(F697="L",F697="S",F697="I"),-1,1),"")</f>
        <v>-21800450</v>
      </c>
      <c r="AM697" s="905">
        <f t="shared" si="70"/>
        <v>-1151000</v>
      </c>
      <c r="AN697" s="905">
        <f>INDEX(G697:R697,1,MATCH(Parametres!$B$3,G$1:R$1,0))*IF(OR(F697="L",F697="S",F697="I"),-1,1)</f>
        <v>-22951450</v>
      </c>
      <c r="AO697" s="487" t="str">
        <f>+VLOOKUP($AJ697,Data_Validation!$A:$D,1,0)</f>
        <v>G45201</v>
      </c>
      <c r="AP697" s="487" t="str">
        <f>+VLOOKUP($AJ697,Data_Validation!$A:$D,3,0)</f>
        <v>Wholesale autres</v>
      </c>
      <c r="AQ697" s="487" t="str">
        <f>+VLOOKUP($AJ697,Data_Validation!$A:$D,4,0)</f>
        <v>Wholesale Luxueux</v>
      </c>
      <c r="AR697" s="487" t="s">
        <v>299</v>
      </c>
      <c r="AS697" s="487" t="str">
        <f>+VLOOKUP($AJ697,Data_Validation!$A:$E,5,0)</f>
        <v>Oui</v>
      </c>
      <c r="AT697" s="904" t="str">
        <f t="shared" si="71"/>
        <v>G45201</v>
      </c>
      <c r="AU697" s="488" t="str">
        <f t="shared" si="72"/>
        <v>VTES - WHOLESALE W</v>
      </c>
      <c r="AV697" s="899">
        <f>IFERROR(INDEX(V697:AG697,1,MATCH(Parametres!$B$3,V$1:AG$1,0)-1)*IF(OR(C697="L",C697="S",C697="I"),-1,1),"")</f>
        <v>188</v>
      </c>
      <c r="AW697" s="899">
        <f t="shared" si="73"/>
        <v>8</v>
      </c>
      <c r="AX697" s="899">
        <f>INDEX(V697:AG697,1,MATCH(Parametres!$B$3,V$1:AG$1,0))*IF(OR(C697="L",C697="S",C697="I"),-1,1)</f>
        <v>196</v>
      </c>
      <c r="AY697" s="487" t="s">
        <v>337</v>
      </c>
      <c r="AZ697" s="487" t="str">
        <f>+VLOOKUP($AJ697,Data_Validation!$A:$E,5,0)</f>
        <v>Oui</v>
      </c>
    </row>
    <row r="698" spans="1:52" ht="15" customHeight="1">
      <c r="A698" s="706" t="s">
        <v>1148</v>
      </c>
      <c r="B698" s="706">
        <v>2026</v>
      </c>
      <c r="C698" s="706" t="s">
        <v>3156</v>
      </c>
      <c r="D698" s="706" t="s">
        <v>3157</v>
      </c>
      <c r="E698" s="706" t="s">
        <v>1149</v>
      </c>
      <c r="F698" s="706" t="s">
        <v>1149</v>
      </c>
      <c r="G698" s="706">
        <v>0</v>
      </c>
      <c r="H698" s="706">
        <v>0</v>
      </c>
      <c r="I698" s="706">
        <v>0</v>
      </c>
      <c r="J698" s="706">
        <v>0</v>
      </c>
      <c r="K698" s="706">
        <v>1503300</v>
      </c>
      <c r="L698" s="706">
        <v>2100300</v>
      </c>
      <c r="M698" s="706">
        <v>2100300</v>
      </c>
      <c r="N698" s="706">
        <v>2100300</v>
      </c>
      <c r="O698" s="706">
        <v>2100300</v>
      </c>
      <c r="P698" s="706">
        <v>0</v>
      </c>
      <c r="Q698" s="706">
        <v>0</v>
      </c>
      <c r="R698" s="706">
        <v>0</v>
      </c>
      <c r="S698" s="706">
        <v>262537.5</v>
      </c>
      <c r="T698" s="706">
        <v>262537.5</v>
      </c>
      <c r="U698" s="706">
        <v>0</v>
      </c>
      <c r="V698" s="706">
        <v>0</v>
      </c>
      <c r="W698" s="706">
        <v>0</v>
      </c>
      <c r="X698" s="706">
        <v>0</v>
      </c>
      <c r="Y698" s="706">
        <v>0</v>
      </c>
      <c r="Z698" s="706">
        <v>4</v>
      </c>
      <c r="AA698" s="706">
        <v>5</v>
      </c>
      <c r="AB698" s="706">
        <v>5</v>
      </c>
      <c r="AC698" s="706">
        <v>5</v>
      </c>
      <c r="AD698" s="706">
        <v>5</v>
      </c>
      <c r="AE698" s="706">
        <v>0</v>
      </c>
      <c r="AF698" s="706">
        <v>0</v>
      </c>
      <c r="AG698" s="706">
        <v>0</v>
      </c>
      <c r="AH698" s="706">
        <v>1</v>
      </c>
      <c r="AI698" s="706">
        <v>1</v>
      </c>
      <c r="AJ698" s="905" t="str">
        <f t="shared" si="68"/>
        <v>G45202</v>
      </c>
      <c r="AK698" s="905" t="str">
        <f t="shared" si="69"/>
        <v>VTES- WHOLESALES M</v>
      </c>
      <c r="AL698" s="905">
        <f>IFERROR(INDEX(G698:R698,1,MATCH(Parametres!$B$3,G$1:R$1,0)-1)*IF(OR(F698="L",F698="S",F698="I"),-1,1),"")</f>
        <v>-2100300</v>
      </c>
      <c r="AM698" s="905">
        <f t="shared" si="70"/>
        <v>0</v>
      </c>
      <c r="AN698" s="905">
        <f>INDEX(G698:R698,1,MATCH(Parametres!$B$3,G$1:R$1,0))*IF(OR(F698="L",F698="S",F698="I"),-1,1)</f>
        <v>-2100300</v>
      </c>
      <c r="AO698" s="487" t="str">
        <f>+VLOOKUP($AJ698,Data_Validation!$A:$D,1,0)</f>
        <v>G45202</v>
      </c>
      <c r="AP698" s="487" t="str">
        <f>+VLOOKUP($AJ698,Data_Validation!$A:$D,3,0)</f>
        <v>Wholesale autres</v>
      </c>
      <c r="AQ698" s="487" t="str">
        <f>+VLOOKUP($AJ698,Data_Validation!$A:$D,4,0)</f>
        <v>Wholesale Luxueux</v>
      </c>
      <c r="AR698" s="487" t="s">
        <v>299</v>
      </c>
      <c r="AS698" s="487" t="str">
        <f>+VLOOKUP($AJ698,Data_Validation!$A:$E,5,0)</f>
        <v>Oui</v>
      </c>
      <c r="AT698" s="904" t="str">
        <f t="shared" si="71"/>
        <v>G45202</v>
      </c>
      <c r="AU698" s="488" t="str">
        <f t="shared" si="72"/>
        <v>VTES- WHOLESALES M</v>
      </c>
      <c r="AV698" s="899">
        <f>IFERROR(INDEX(V698:AG698,1,MATCH(Parametres!$B$3,V$1:AG$1,0)-1)*IF(OR(C698="L",C698="S",C698="I"),-1,1),"")</f>
        <v>5</v>
      </c>
      <c r="AW698" s="899">
        <f t="shared" si="73"/>
        <v>0</v>
      </c>
      <c r="AX698" s="899">
        <f>INDEX(V698:AG698,1,MATCH(Parametres!$B$3,V$1:AG$1,0))*IF(OR(C698="L",C698="S",C698="I"),-1,1)</f>
        <v>5</v>
      </c>
      <c r="AY698" s="487" t="s">
        <v>337</v>
      </c>
      <c r="AZ698" s="487" t="str">
        <f>+VLOOKUP($AJ698,Data_Validation!$A:$E,5,0)</f>
        <v>Oui</v>
      </c>
    </row>
    <row r="699" spans="1:52" ht="15" customHeight="1">
      <c r="A699" s="706" t="s">
        <v>1148</v>
      </c>
      <c r="B699" s="706">
        <v>2026</v>
      </c>
      <c r="C699" s="706" t="s">
        <v>2424</v>
      </c>
      <c r="D699" s="706" t="s">
        <v>2425</v>
      </c>
      <c r="E699" s="706" t="s">
        <v>333</v>
      </c>
      <c r="F699" s="706" t="s">
        <v>1149</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905" t="str">
        <f t="shared" si="68"/>
        <v>G45300</v>
      </c>
      <c r="AK699" s="905" t="str">
        <f t="shared" si="69"/>
        <v>*RECTIFICATION/STOK/TRUCK</v>
      </c>
      <c r="AL699" s="905">
        <f>IFERROR(INDEX(G699:R699,1,MATCH(Parametres!$B$3,G$1:R$1,0)-1)*IF(OR(F699="L",F699="S",F699="I"),-1,1),"")</f>
        <v>0</v>
      </c>
      <c r="AM699" s="905">
        <f t="shared" si="70"/>
        <v>0</v>
      </c>
      <c r="AN699" s="905">
        <f>INDEX(G699:R699,1,MATCH(Parametres!$B$3,G$1:R$1,0))*IF(OR(F699="L",F699="S",F699="I"),-1,1)</f>
        <v>0</v>
      </c>
      <c r="AO699" s="487" t="str">
        <f>+VLOOKUP($AJ699,Data_Validation!$A:$D,1,0)</f>
        <v>G45300</v>
      </c>
      <c r="AP699" s="487">
        <f>+VLOOKUP($AJ699,Data_Validation!$A:$D,3,0)</f>
        <v>0</v>
      </c>
      <c r="AQ699" s="487">
        <f>+VLOOKUP($AJ699,Data_Validation!$A:$D,4,0)</f>
        <v>0</v>
      </c>
      <c r="AR699" s="487" t="s">
        <v>299</v>
      </c>
      <c r="AS699" s="487">
        <f>+VLOOKUP($AJ699,Data_Validation!$A:$E,5,0)</f>
        <v>0</v>
      </c>
      <c r="AT699" s="904" t="str">
        <f t="shared" si="71"/>
        <v>G45300</v>
      </c>
      <c r="AU699" s="488" t="str">
        <f t="shared" si="72"/>
        <v>*RECTIFICATION/STOK/TRUCK</v>
      </c>
      <c r="AV699" s="899">
        <f>IFERROR(INDEX(V699:AG699,1,MATCH(Parametres!$B$3,V$1:AG$1,0)-1)*IF(OR(C699="L",C699="S",C699="I"),-1,1),"")</f>
        <v>0</v>
      </c>
      <c r="AW699" s="899">
        <f t="shared" si="73"/>
        <v>0</v>
      </c>
      <c r="AX699" s="899">
        <f>INDEX(V699:AG699,1,MATCH(Parametres!$B$3,V$1:AG$1,0))*IF(OR(C699="L",C699="S",C699="I"),-1,1)</f>
        <v>0</v>
      </c>
      <c r="AY699" s="487" t="s">
        <v>337</v>
      </c>
      <c r="AZ699" s="487">
        <f>+VLOOKUP($AJ699,Data_Validation!$A:$E,5,0)</f>
        <v>0</v>
      </c>
    </row>
    <row r="700" spans="1:52" ht="15" customHeight="1">
      <c r="A700" s="706" t="s">
        <v>1148</v>
      </c>
      <c r="B700" s="706">
        <v>2026</v>
      </c>
      <c r="C700" s="706" t="s">
        <v>2426</v>
      </c>
      <c r="D700" s="706" t="s">
        <v>2427</v>
      </c>
      <c r="E700" s="706" t="s">
        <v>333</v>
      </c>
      <c r="F700" s="706" t="s">
        <v>1149</v>
      </c>
      <c r="G700" s="706">
        <v>32386.73</v>
      </c>
      <c r="H700" s="706">
        <v>41911.730000000003</v>
      </c>
      <c r="I700" s="706">
        <v>60622.73</v>
      </c>
      <c r="J700" s="706">
        <v>95459.73</v>
      </c>
      <c r="K700" s="706">
        <v>126732.73</v>
      </c>
      <c r="L700" s="706">
        <v>155831.73000000001</v>
      </c>
      <c r="M700" s="706">
        <v>155831.73000000001</v>
      </c>
      <c r="N700" s="706">
        <v>173727.73</v>
      </c>
      <c r="O700" s="706">
        <v>173727.73</v>
      </c>
      <c r="P700" s="706">
        <v>0</v>
      </c>
      <c r="Q700" s="706">
        <v>0</v>
      </c>
      <c r="R700" s="706">
        <v>0</v>
      </c>
      <c r="S700" s="706">
        <v>21715.97</v>
      </c>
      <c r="T700" s="706">
        <v>21715.97</v>
      </c>
      <c r="U700" s="706">
        <v>0</v>
      </c>
      <c r="V700" s="706">
        <v>9</v>
      </c>
      <c r="W700" s="706">
        <v>12</v>
      </c>
      <c r="X700" s="706">
        <v>17</v>
      </c>
      <c r="Y700" s="706">
        <v>26</v>
      </c>
      <c r="Z700" s="706">
        <v>35</v>
      </c>
      <c r="AA700" s="706">
        <v>43</v>
      </c>
      <c r="AB700" s="706">
        <v>43</v>
      </c>
      <c r="AC700" s="706">
        <v>48</v>
      </c>
      <c r="AD700" s="706">
        <v>48</v>
      </c>
      <c r="AE700" s="706">
        <v>0</v>
      </c>
      <c r="AF700" s="706">
        <v>0</v>
      </c>
      <c r="AG700" s="706">
        <v>0</v>
      </c>
      <c r="AH700" s="706">
        <v>6</v>
      </c>
      <c r="AI700" s="706">
        <v>6</v>
      </c>
      <c r="AJ700" s="905" t="str">
        <f t="shared" si="68"/>
        <v>G45400</v>
      </c>
      <c r="AK700" s="905" t="str">
        <f t="shared" si="69"/>
        <v>VTES-PLAN PROTECTION USAG</v>
      </c>
      <c r="AL700" s="905">
        <f>IFERROR(INDEX(G700:R700,1,MATCH(Parametres!$B$3,G$1:R$1,0)-1)*IF(OR(F700="L",F700="S",F700="I"),-1,1),"")</f>
        <v>-155831.73000000001</v>
      </c>
      <c r="AM700" s="905">
        <f t="shared" si="70"/>
        <v>-17896</v>
      </c>
      <c r="AN700" s="905">
        <f>INDEX(G700:R700,1,MATCH(Parametres!$B$3,G$1:R$1,0))*IF(OR(F700="L",F700="S",F700="I"),-1,1)</f>
        <v>-173727.73</v>
      </c>
      <c r="AO700" s="487" t="str">
        <f>+VLOOKUP($AJ700,Data_Validation!$A:$D,1,0)</f>
        <v>G45400</v>
      </c>
      <c r="AP700" s="487" t="str">
        <f>+VLOOKUP($AJ700,Data_Validation!$A:$D,3,0)</f>
        <v>Véhicules usagés</v>
      </c>
      <c r="AQ700" s="487" t="str">
        <f>+VLOOKUP($AJ700,Data_Validation!$A:$D,4,0)</f>
        <v>Rev. Protections</v>
      </c>
      <c r="AR700" s="487" t="s">
        <v>299</v>
      </c>
      <c r="AS700" s="487" t="str">
        <f>+VLOOKUP($AJ700,Data_Validation!$A:$E,5,0)</f>
        <v>Oui</v>
      </c>
      <c r="AT700" s="904" t="str">
        <f t="shared" si="71"/>
        <v>G45400</v>
      </c>
      <c r="AU700" s="488" t="str">
        <f t="shared" si="72"/>
        <v>VTES-PLAN PROTECTION USAG</v>
      </c>
      <c r="AV700" s="899">
        <f>IFERROR(INDEX(V700:AG700,1,MATCH(Parametres!$B$3,V$1:AG$1,0)-1)*IF(OR(C700="L",C700="S",C700="I"),-1,1),"")</f>
        <v>43</v>
      </c>
      <c r="AW700" s="899">
        <f t="shared" si="73"/>
        <v>5</v>
      </c>
      <c r="AX700" s="899">
        <f>INDEX(V700:AG700,1,MATCH(Parametres!$B$3,V$1:AG$1,0))*IF(OR(C700="L",C700="S",C700="I"),-1,1)</f>
        <v>48</v>
      </c>
      <c r="AY700" s="487" t="s">
        <v>337</v>
      </c>
      <c r="AZ700" s="487" t="str">
        <f>+VLOOKUP($AJ700,Data_Validation!$A:$E,5,0)</f>
        <v>Oui</v>
      </c>
    </row>
    <row r="701" spans="1:52" ht="15" customHeight="1">
      <c r="A701" s="706" t="s">
        <v>1148</v>
      </c>
      <c r="B701" s="706">
        <v>2026</v>
      </c>
      <c r="C701" s="706" t="s">
        <v>3344</v>
      </c>
      <c r="D701" s="706" t="s">
        <v>3345</v>
      </c>
      <c r="E701" s="706" t="s">
        <v>333</v>
      </c>
      <c r="F701" s="706" t="s">
        <v>1149</v>
      </c>
      <c r="G701" s="706">
        <v>0</v>
      </c>
      <c r="H701" s="706">
        <v>0</v>
      </c>
      <c r="I701" s="706">
        <v>0</v>
      </c>
      <c r="J701" s="706">
        <v>0</v>
      </c>
      <c r="K701" s="706">
        <v>0</v>
      </c>
      <c r="L701" s="706">
        <v>0</v>
      </c>
      <c r="M701" s="706">
        <v>8535</v>
      </c>
      <c r="N701" s="706">
        <v>8535</v>
      </c>
      <c r="O701" s="706">
        <v>8535</v>
      </c>
      <c r="P701" s="706">
        <v>0</v>
      </c>
      <c r="Q701" s="706">
        <v>0</v>
      </c>
      <c r="R701" s="706">
        <v>0</v>
      </c>
      <c r="S701" s="706">
        <v>1066.8800000000001</v>
      </c>
      <c r="T701" s="706">
        <v>1066.8800000000001</v>
      </c>
      <c r="U701" s="706">
        <v>0</v>
      </c>
      <c r="V701" s="706">
        <v>0</v>
      </c>
      <c r="W701" s="706">
        <v>0</v>
      </c>
      <c r="X701" s="706">
        <v>0</v>
      </c>
      <c r="Y701" s="706">
        <v>0</v>
      </c>
      <c r="Z701" s="706">
        <v>0</v>
      </c>
      <c r="AA701" s="706">
        <v>0</v>
      </c>
      <c r="AB701" s="706">
        <v>3</v>
      </c>
      <c r="AC701" s="706">
        <v>3</v>
      </c>
      <c r="AD701" s="706">
        <v>3</v>
      </c>
      <c r="AE701" s="706">
        <v>0</v>
      </c>
      <c r="AF701" s="706">
        <v>0</v>
      </c>
      <c r="AG701" s="706">
        <v>0</v>
      </c>
      <c r="AH701" s="706">
        <v>0</v>
      </c>
      <c r="AI701" s="706">
        <v>0</v>
      </c>
      <c r="AJ701" s="905" t="str">
        <f t="shared" si="68"/>
        <v>G45401</v>
      </c>
      <c r="AK701" s="905" t="str">
        <f t="shared" si="69"/>
        <v>VTES ANTIROUILLE USAGE</v>
      </c>
      <c r="AL701" s="905">
        <f>IFERROR(INDEX(G701:R701,1,MATCH(Parametres!$B$3,G$1:R$1,0)-1)*IF(OR(F701="L",F701="S",F701="I"),-1,1),"")</f>
        <v>-8535</v>
      </c>
      <c r="AM701" s="905">
        <f t="shared" si="70"/>
        <v>0</v>
      </c>
      <c r="AN701" s="905">
        <f>INDEX(G701:R701,1,MATCH(Parametres!$B$3,G$1:R$1,0))*IF(OR(F701="L",F701="S",F701="I"),-1,1)</f>
        <v>-8535</v>
      </c>
      <c r="AO701" s="487" t="str">
        <f>+VLOOKUP($AJ701,Data_Validation!$A:$D,1,0)</f>
        <v>G45401</v>
      </c>
      <c r="AP701" s="487" t="str">
        <f>+VLOOKUP($AJ701,Data_Validation!$A:$D,3,0)</f>
        <v>Véhicules usagés</v>
      </c>
      <c r="AQ701" s="487" t="str">
        <f>+VLOOKUP($AJ701,Data_Validation!$A:$D,4,0)</f>
        <v>Rev. Protections</v>
      </c>
      <c r="AR701" s="487" t="s">
        <v>299</v>
      </c>
      <c r="AS701" s="487" t="str">
        <f>+VLOOKUP($AJ701,Data_Validation!$A:$E,5,0)</f>
        <v>Oui</v>
      </c>
      <c r="AT701" s="904" t="str">
        <f t="shared" si="71"/>
        <v>G45401</v>
      </c>
      <c r="AU701" s="488" t="str">
        <f t="shared" si="72"/>
        <v>VTES ANTIROUILLE USAGE</v>
      </c>
      <c r="AV701" s="899">
        <f>IFERROR(INDEX(V701:AG701,1,MATCH(Parametres!$B$3,V$1:AG$1,0)-1)*IF(OR(C701="L",C701="S",C701="I"),-1,1),"")</f>
        <v>3</v>
      </c>
      <c r="AW701" s="899">
        <f t="shared" si="73"/>
        <v>0</v>
      </c>
      <c r="AX701" s="899">
        <f>INDEX(V701:AG701,1,MATCH(Parametres!$B$3,V$1:AG$1,0))*IF(OR(C701="L",C701="S",C701="I"),-1,1)</f>
        <v>3</v>
      </c>
      <c r="AY701" s="487" t="s">
        <v>337</v>
      </c>
      <c r="AZ701" s="487" t="str">
        <f>+VLOOKUP($AJ701,Data_Validation!$A:$E,5,0)</f>
        <v>Oui</v>
      </c>
    </row>
    <row r="702" spans="1:52" ht="15" customHeight="1">
      <c r="A702" s="706" t="s">
        <v>1148</v>
      </c>
      <c r="B702" s="706">
        <v>2026</v>
      </c>
      <c r="C702" s="706" t="s">
        <v>3346</v>
      </c>
      <c r="D702" s="706" t="s">
        <v>3347</v>
      </c>
      <c r="E702" s="706" t="s">
        <v>333</v>
      </c>
      <c r="F702" s="706" t="s">
        <v>1149</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905" t="str">
        <f t="shared" si="68"/>
        <v>G45403</v>
      </c>
      <c r="AK702" s="905" t="str">
        <f t="shared" si="69"/>
        <v>VTE VITRE-PEINT-TISS- US</v>
      </c>
      <c r="AL702" s="905">
        <f>IFERROR(INDEX(G702:R702,1,MATCH(Parametres!$B$3,G$1:R$1,0)-1)*IF(OR(F702="L",F702="S",F702="I"),-1,1),"")</f>
        <v>0</v>
      </c>
      <c r="AM702" s="905">
        <f t="shared" si="70"/>
        <v>0</v>
      </c>
      <c r="AN702" s="905">
        <f>INDEX(G702:R702,1,MATCH(Parametres!$B$3,G$1:R$1,0))*IF(OR(F702="L",F702="S",F702="I"),-1,1)</f>
        <v>0</v>
      </c>
      <c r="AO702" s="487" t="e">
        <f>+VLOOKUP($AJ702,Data_Validation!$A:$D,1,0)</f>
        <v>#N/A</v>
      </c>
      <c r="AP702" s="487" t="e">
        <f>+VLOOKUP($AJ702,Data_Validation!$A:$D,3,0)</f>
        <v>#N/A</v>
      </c>
      <c r="AQ702" s="487" t="e">
        <f>+VLOOKUP($AJ702,Data_Validation!$A:$D,4,0)</f>
        <v>#N/A</v>
      </c>
      <c r="AR702" s="487" t="s">
        <v>299</v>
      </c>
      <c r="AS702" s="487" t="e">
        <f>+VLOOKUP($AJ702,Data_Validation!$A:$E,5,0)</f>
        <v>#N/A</v>
      </c>
      <c r="AT702" s="904" t="str">
        <f t="shared" si="71"/>
        <v>G45403</v>
      </c>
      <c r="AU702" s="488" t="str">
        <f t="shared" si="72"/>
        <v>VTE VITRE-PEINT-TISS- US</v>
      </c>
      <c r="AV702" s="899">
        <f>IFERROR(INDEX(V702:AG702,1,MATCH(Parametres!$B$3,V$1:AG$1,0)-1)*IF(OR(C702="L",C702="S",C702="I"),-1,1),"")</f>
        <v>0</v>
      </c>
      <c r="AW702" s="899">
        <f t="shared" si="73"/>
        <v>0</v>
      </c>
      <c r="AX702" s="899">
        <f>INDEX(V702:AG702,1,MATCH(Parametres!$B$3,V$1:AG$1,0))*IF(OR(C702="L",C702="S",C702="I"),-1,1)</f>
        <v>0</v>
      </c>
      <c r="AY702" s="487" t="s">
        <v>337</v>
      </c>
      <c r="AZ702" s="487" t="e">
        <f>+VLOOKUP($AJ702,Data_Validation!$A:$E,5,0)</f>
        <v>#N/A</v>
      </c>
    </row>
    <row r="703" spans="1:52" ht="15" customHeight="1">
      <c r="A703" s="706" t="s">
        <v>1148</v>
      </c>
      <c r="B703" s="706">
        <v>2026</v>
      </c>
      <c r="C703" s="706" t="s">
        <v>3348</v>
      </c>
      <c r="D703" s="706" t="s">
        <v>3349</v>
      </c>
      <c r="E703" s="706" t="s">
        <v>333</v>
      </c>
      <c r="F703" s="706" t="s">
        <v>1149</v>
      </c>
      <c r="G703" s="706">
        <v>0</v>
      </c>
      <c r="H703" s="706">
        <v>0</v>
      </c>
      <c r="I703" s="706">
        <v>0</v>
      </c>
      <c r="J703" s="706">
        <v>0</v>
      </c>
      <c r="K703" s="706">
        <v>0</v>
      </c>
      <c r="L703" s="706">
        <v>0</v>
      </c>
      <c r="M703" s="706">
        <v>998</v>
      </c>
      <c r="N703" s="706">
        <v>998</v>
      </c>
      <c r="O703" s="706">
        <v>998</v>
      </c>
      <c r="P703" s="706">
        <v>0</v>
      </c>
      <c r="Q703" s="706">
        <v>0</v>
      </c>
      <c r="R703" s="706">
        <v>0</v>
      </c>
      <c r="S703" s="706">
        <v>124.75</v>
      </c>
      <c r="T703" s="706">
        <v>124.75</v>
      </c>
      <c r="U703" s="706">
        <v>0</v>
      </c>
      <c r="V703" s="706">
        <v>0</v>
      </c>
      <c r="W703" s="706">
        <v>0</v>
      </c>
      <c r="X703" s="706">
        <v>0</v>
      </c>
      <c r="Y703" s="706">
        <v>0</v>
      </c>
      <c r="Z703" s="706">
        <v>0</v>
      </c>
      <c r="AA703" s="706">
        <v>0</v>
      </c>
      <c r="AB703" s="706">
        <v>2</v>
      </c>
      <c r="AC703" s="706">
        <v>2</v>
      </c>
      <c r="AD703" s="706">
        <v>2</v>
      </c>
      <c r="AE703" s="706">
        <v>0</v>
      </c>
      <c r="AF703" s="706">
        <v>0</v>
      </c>
      <c r="AG703" s="706">
        <v>0</v>
      </c>
      <c r="AH703" s="706">
        <v>0</v>
      </c>
      <c r="AI703" s="706">
        <v>0</v>
      </c>
      <c r="AJ703" s="905" t="str">
        <f t="shared" si="68"/>
        <v>G45405</v>
      </c>
      <c r="AK703" s="905" t="str">
        <f t="shared" si="69"/>
        <v>VTES ANTIVOL-TAG -OCC</v>
      </c>
      <c r="AL703" s="905">
        <f>IFERROR(INDEX(G703:R703,1,MATCH(Parametres!$B$3,G$1:R$1,0)-1)*IF(OR(F703="L",F703="S",F703="I"),-1,1),"")</f>
        <v>-998</v>
      </c>
      <c r="AM703" s="905">
        <f t="shared" si="70"/>
        <v>0</v>
      </c>
      <c r="AN703" s="905">
        <f>INDEX(G703:R703,1,MATCH(Parametres!$B$3,G$1:R$1,0))*IF(OR(F703="L",F703="S",F703="I"),-1,1)</f>
        <v>-998</v>
      </c>
      <c r="AO703" s="487" t="str">
        <f>+VLOOKUP($AJ703,Data_Validation!$A:$D,1,0)</f>
        <v>G45405</v>
      </c>
      <c r="AP703" s="487" t="str">
        <f>+VLOOKUP($AJ703,Data_Validation!$A:$D,3,0)</f>
        <v>Véhicules usagés</v>
      </c>
      <c r="AQ703" s="487" t="str">
        <f>+VLOOKUP($AJ703,Data_Validation!$A:$D,4,0)</f>
        <v>Rev. Protections</v>
      </c>
      <c r="AR703" s="487" t="s">
        <v>299</v>
      </c>
      <c r="AS703" s="487" t="str">
        <f>+VLOOKUP($AJ703,Data_Validation!$A:$E,5,0)</f>
        <v>Oui</v>
      </c>
      <c r="AT703" s="904" t="str">
        <f t="shared" si="71"/>
        <v>G45405</v>
      </c>
      <c r="AU703" s="488" t="str">
        <f t="shared" si="72"/>
        <v>VTES ANTIVOL-TAG -OCC</v>
      </c>
      <c r="AV703" s="899">
        <f>IFERROR(INDEX(V703:AG703,1,MATCH(Parametres!$B$3,V$1:AG$1,0)-1)*IF(OR(C703="L",C703="S",C703="I"),-1,1),"")</f>
        <v>2</v>
      </c>
      <c r="AW703" s="899">
        <f t="shared" si="73"/>
        <v>0</v>
      </c>
      <c r="AX703" s="899">
        <f>INDEX(V703:AG703,1,MATCH(Parametres!$B$3,V$1:AG$1,0))*IF(OR(C703="L",C703="S",C703="I"),-1,1)</f>
        <v>2</v>
      </c>
      <c r="AY703" s="487" t="s">
        <v>337</v>
      </c>
      <c r="AZ703" s="487" t="str">
        <f>+VLOOKUP($AJ703,Data_Validation!$A:$E,5,0)</f>
        <v>Oui</v>
      </c>
    </row>
    <row r="704" spans="1:52" ht="15" customHeight="1">
      <c r="A704" s="706" t="s">
        <v>1148</v>
      </c>
      <c r="B704" s="706">
        <v>2026</v>
      </c>
      <c r="C704" s="706" t="s">
        <v>2428</v>
      </c>
      <c r="D704" s="706" t="s">
        <v>2429</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G45500</v>
      </c>
      <c r="AK704" s="905" t="str">
        <f t="shared" si="69"/>
        <v>RETOUR DE LOCATION-VENTE</v>
      </c>
      <c r="AL704" s="905">
        <f>IFERROR(INDEX(G704:R704,1,MATCH(Parametres!$B$3,G$1:R$1,0)-1)*IF(OR(F704="L",F704="S",F704="I"),-1,1),"")</f>
        <v>0</v>
      </c>
      <c r="AM704" s="1047">
        <f t="shared" si="70"/>
        <v>0</v>
      </c>
      <c r="AN704" s="905">
        <f>INDEX(G704:R704,1,MATCH(Parametres!$B$3,G$1:R$1,0))*IF(OR(F704="L",F704="S",F704="I"),-1,1)</f>
        <v>0</v>
      </c>
      <c r="AO704" s="487" t="str">
        <f>+VLOOKUP($AJ704,Data_Validation!$A:$D,1,0)</f>
        <v>G45500</v>
      </c>
      <c r="AP704" s="487" t="str">
        <f>+VLOOKUP($AJ704,Data_Validation!$A:$D,3,0)</f>
        <v>Véhicules usagés</v>
      </c>
      <c r="AQ704" s="487" t="str">
        <f>+VLOOKUP($AJ704,Data_Validation!$A:$D,4,0)</f>
        <v>Rev. Protections</v>
      </c>
      <c r="AR704" s="487" t="s">
        <v>299</v>
      </c>
      <c r="AS704" s="487" t="str">
        <f>+VLOOKUP($AJ704,Data_Validation!$A:$E,5,0)</f>
        <v>Oui</v>
      </c>
      <c r="AT704" s="904" t="str">
        <f t="shared" si="71"/>
        <v>G45500</v>
      </c>
      <c r="AU704" s="488" t="str">
        <f t="shared" si="72"/>
        <v>RETOUR DE LOCATION-VENTE</v>
      </c>
      <c r="AV704" s="899">
        <f>IFERROR(INDEX(V704:AG704,1,MATCH(Parametres!$B$3,V$1:AG$1,0)-1)*IF(OR(C704="L",C704="S",C704="I"),-1,1),"")</f>
        <v>0</v>
      </c>
      <c r="AW704" s="899">
        <f t="shared" si="73"/>
        <v>0</v>
      </c>
      <c r="AX704" s="899">
        <f>INDEX(V704:AG704,1,MATCH(Parametres!$B$3,V$1:AG$1,0))*IF(OR(C704="L",C704="S",C704="I"),-1,1)</f>
        <v>0</v>
      </c>
      <c r="AY704" s="487" t="s">
        <v>337</v>
      </c>
      <c r="AZ704" s="487" t="str">
        <f>+VLOOKUP($AJ704,Data_Validation!$A:$E,5,0)</f>
        <v>Oui</v>
      </c>
    </row>
    <row r="705" spans="1:52" ht="15" customHeight="1">
      <c r="A705" s="706" t="s">
        <v>1148</v>
      </c>
      <c r="B705" s="706">
        <v>2026</v>
      </c>
      <c r="C705" s="706" t="s">
        <v>2430</v>
      </c>
      <c r="D705" s="706" t="s">
        <v>2431</v>
      </c>
      <c r="E705" s="706" t="s">
        <v>333</v>
      </c>
      <c r="F705" s="706" t="s">
        <v>1149</v>
      </c>
      <c r="G705" s="706">
        <v>2177</v>
      </c>
      <c r="H705" s="706">
        <v>2177</v>
      </c>
      <c r="I705" s="706">
        <v>3534</v>
      </c>
      <c r="J705" s="706">
        <v>3534</v>
      </c>
      <c r="K705" s="706">
        <v>3534</v>
      </c>
      <c r="L705" s="706">
        <v>3534</v>
      </c>
      <c r="M705" s="706">
        <v>3534</v>
      </c>
      <c r="N705" s="706">
        <v>11188</v>
      </c>
      <c r="O705" s="706">
        <v>11188</v>
      </c>
      <c r="P705" s="706">
        <v>0</v>
      </c>
      <c r="Q705" s="706">
        <v>0</v>
      </c>
      <c r="R705" s="706">
        <v>0</v>
      </c>
      <c r="S705" s="706">
        <v>1398.5</v>
      </c>
      <c r="T705" s="706">
        <v>1398.5</v>
      </c>
      <c r="U705" s="706">
        <v>0</v>
      </c>
      <c r="V705" s="706">
        <v>1</v>
      </c>
      <c r="W705" s="706">
        <v>1</v>
      </c>
      <c r="X705" s="706">
        <v>2</v>
      </c>
      <c r="Y705" s="706">
        <v>2</v>
      </c>
      <c r="Z705" s="706">
        <v>2</v>
      </c>
      <c r="AA705" s="706">
        <v>2</v>
      </c>
      <c r="AB705" s="706">
        <v>2</v>
      </c>
      <c r="AC705" s="706">
        <v>4</v>
      </c>
      <c r="AD705" s="706">
        <v>4</v>
      </c>
      <c r="AE705" s="706">
        <v>0</v>
      </c>
      <c r="AF705" s="706">
        <v>0</v>
      </c>
      <c r="AG705" s="706">
        <v>0</v>
      </c>
      <c r="AH705" s="706">
        <v>1</v>
      </c>
      <c r="AI705" s="706">
        <v>1</v>
      </c>
      <c r="AJ705" s="905" t="str">
        <f t="shared" si="68"/>
        <v>G45600</v>
      </c>
      <c r="AK705" s="905" t="str">
        <f t="shared" si="69"/>
        <v>VALEUR REMPL. USAGES</v>
      </c>
      <c r="AL705" s="905">
        <f>IFERROR(INDEX(G705:R705,1,MATCH(Parametres!$B$3,G$1:R$1,0)-1)*IF(OR(F705="L",F705="S",F705="I"),-1,1),"")</f>
        <v>-3534</v>
      </c>
      <c r="AM705" s="1047">
        <f t="shared" si="70"/>
        <v>-7654</v>
      </c>
      <c r="AN705" s="905">
        <f>INDEX(G705:R705,1,MATCH(Parametres!$B$3,G$1:R$1,0))*IF(OR(F705="L",F705="S",F705="I"),-1,1)</f>
        <v>-11188</v>
      </c>
      <c r="AO705" s="487" t="str">
        <f>+VLOOKUP($AJ705,Data_Validation!$A:$D,1,0)</f>
        <v>G45600</v>
      </c>
      <c r="AP705" s="487" t="str">
        <f>+VLOOKUP($AJ705,Data_Validation!$A:$D,3,0)</f>
        <v>Véhicules usagés</v>
      </c>
      <c r="AQ705" s="487" t="str">
        <f>+VLOOKUP($AJ705,Data_Validation!$A:$D,4,0)</f>
        <v>Rev. Protections</v>
      </c>
      <c r="AR705" s="487" t="s">
        <v>299</v>
      </c>
      <c r="AS705" s="487" t="str">
        <f>+VLOOKUP($AJ705,Data_Validation!$A:$E,5,0)</f>
        <v>Oui</v>
      </c>
      <c r="AT705" s="904" t="str">
        <f t="shared" si="71"/>
        <v>G45600</v>
      </c>
      <c r="AU705" s="488" t="str">
        <f t="shared" si="72"/>
        <v>VALEUR REMPL. USAGES</v>
      </c>
      <c r="AV705" s="899">
        <f>IFERROR(INDEX(V705:AG705,1,MATCH(Parametres!$B$3,V$1:AG$1,0)-1)*IF(OR(C705="L",C705="S",C705="I"),-1,1),"")</f>
        <v>2</v>
      </c>
      <c r="AW705" s="899">
        <f t="shared" si="73"/>
        <v>2</v>
      </c>
      <c r="AX705" s="899">
        <f>INDEX(V705:AG705,1,MATCH(Parametres!$B$3,V$1:AG$1,0))*IF(OR(C705="L",C705="S",C705="I"),-1,1)</f>
        <v>4</v>
      </c>
      <c r="AY705" s="487" t="s">
        <v>337</v>
      </c>
      <c r="AZ705" s="487" t="str">
        <f>+VLOOKUP($AJ705,Data_Validation!$A:$E,5,0)</f>
        <v>Oui</v>
      </c>
    </row>
    <row r="706" spans="1:52" ht="15" customHeight="1">
      <c r="A706" s="706" t="s">
        <v>1148</v>
      </c>
      <c r="B706" s="706">
        <v>2026</v>
      </c>
      <c r="C706" s="706" t="s">
        <v>2432</v>
      </c>
      <c r="D706" s="706" t="s">
        <v>2433</v>
      </c>
      <c r="E706" s="706" t="s">
        <v>1149</v>
      </c>
      <c r="F706" s="706" t="s">
        <v>1149</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905" t="str">
        <f t="shared" si="68"/>
        <v>G45601</v>
      </c>
      <c r="AK706" s="905" t="str">
        <f t="shared" si="69"/>
        <v>REV VEHICULES U.S.A</v>
      </c>
      <c r="AL706" s="905">
        <f>IFERROR(INDEX(G706:R706,1,MATCH(Parametres!$B$3,G$1:R$1,0)-1)*IF(OR(F706="L",F706="S",F706="I"),-1,1),"")</f>
        <v>0</v>
      </c>
      <c r="AM706" s="1047">
        <f t="shared" si="70"/>
        <v>0</v>
      </c>
      <c r="AN706" s="905">
        <f>INDEX(G706:R706,1,MATCH(Parametres!$B$3,G$1:R$1,0))*IF(OR(F706="L",F706="S",F706="I"),-1,1)</f>
        <v>0</v>
      </c>
      <c r="AO706" s="487" t="str">
        <f>+VLOOKUP($AJ706,Data_Validation!$A:$D,1,0)</f>
        <v>G45601</v>
      </c>
      <c r="AP706" s="487" t="str">
        <f>+VLOOKUP($AJ706,Data_Validation!$A:$D,3,0)</f>
        <v>Wholesale autres</v>
      </c>
      <c r="AQ706" s="487" t="str">
        <f>+VLOOKUP($AJ706,Data_Validation!$A:$D,4,0)</f>
        <v>Wholesale USA</v>
      </c>
      <c r="AR706" s="487" t="s">
        <v>299</v>
      </c>
      <c r="AS706" s="487" t="str">
        <f>+VLOOKUP($AJ706,Data_Validation!$A:$E,5,0)</f>
        <v>Oui</v>
      </c>
      <c r="AT706" s="904" t="str">
        <f t="shared" si="71"/>
        <v>G45601</v>
      </c>
      <c r="AU706" s="488" t="str">
        <f t="shared" si="72"/>
        <v>REV VEHICULES U.S.A</v>
      </c>
      <c r="AV706" s="899">
        <f>IFERROR(INDEX(V706:AG706,1,MATCH(Parametres!$B$3,V$1:AG$1,0)-1)*IF(OR(C706="L",C706="S",C706="I"),-1,1),"")</f>
        <v>0</v>
      </c>
      <c r="AW706" s="899">
        <f t="shared" si="73"/>
        <v>0</v>
      </c>
      <c r="AX706" s="899">
        <f>INDEX(V706:AG706,1,MATCH(Parametres!$B$3,V$1:AG$1,0))*IF(OR(C706="L",C706="S",C706="I"),-1,1)</f>
        <v>0</v>
      </c>
      <c r="AY706" s="487" t="s">
        <v>337</v>
      </c>
      <c r="AZ706" s="487" t="str">
        <f>+VLOOKUP($AJ706,Data_Validation!$A:$E,5,0)</f>
        <v>Oui</v>
      </c>
    </row>
    <row r="707" spans="1:52" ht="15" customHeight="1">
      <c r="A707" s="706" t="s">
        <v>1148</v>
      </c>
      <c r="B707" s="706">
        <v>2026</v>
      </c>
      <c r="C707" s="706" t="s">
        <v>2434</v>
      </c>
      <c r="D707" s="706" t="s">
        <v>2435</v>
      </c>
      <c r="E707" s="706" t="s">
        <v>333</v>
      </c>
      <c r="F707" s="706" t="s">
        <v>1149</v>
      </c>
      <c r="G707" s="706">
        <v>0</v>
      </c>
      <c r="H707" s="706">
        <v>0</v>
      </c>
      <c r="I707" s="706">
        <v>0</v>
      </c>
      <c r="J707" s="706">
        <v>0</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905" t="str">
        <f t="shared" si="68"/>
        <v>G45602</v>
      </c>
      <c r="AK707" s="905" t="str">
        <f t="shared" si="69"/>
        <v>VENTE USA -AJUSTMENT</v>
      </c>
      <c r="AL707" s="905">
        <f>IFERROR(INDEX(G707:R707,1,MATCH(Parametres!$B$3,G$1:R$1,0)-1)*IF(OR(F707="L",F707="S",F707="I"),-1,1),"")</f>
        <v>0</v>
      </c>
      <c r="AM707" s="905">
        <f t="shared" si="70"/>
        <v>0</v>
      </c>
      <c r="AN707" s="905">
        <f>INDEX(G707:R707,1,MATCH(Parametres!$B$3,G$1:R$1,0))*IF(OR(F707="L",F707="S",F707="I"),-1,1)</f>
        <v>0</v>
      </c>
      <c r="AO707" s="487" t="str">
        <f>+VLOOKUP($AJ707,Data_Validation!$A:$D,1,0)</f>
        <v>G45602</v>
      </c>
      <c r="AP707" s="487" t="str">
        <f>+VLOOKUP($AJ707,Data_Validation!$A:$D,3,0)</f>
        <v>Wholesale autres</v>
      </c>
      <c r="AQ707" s="487" t="str">
        <f>+VLOOKUP($AJ707,Data_Validation!$A:$D,4,0)</f>
        <v>Wholesale USA</v>
      </c>
      <c r="AR707" s="487" t="s">
        <v>299</v>
      </c>
      <c r="AS707" s="487" t="str">
        <f>+VLOOKUP($AJ707,Data_Validation!$A:$E,5,0)</f>
        <v>Oui</v>
      </c>
      <c r="AT707" s="904" t="str">
        <f t="shared" si="71"/>
        <v>G45602</v>
      </c>
      <c r="AU707" s="488" t="str">
        <f t="shared" si="72"/>
        <v>VENTE USA -AJUSTMENT</v>
      </c>
      <c r="AV707" s="899">
        <f>IFERROR(INDEX(V707:AG707,1,MATCH(Parametres!$B$3,V$1:AG$1,0)-1)*IF(OR(C707="L",C707="S",C707="I"),-1,1),"")</f>
        <v>0</v>
      </c>
      <c r="AW707" s="899">
        <f t="shared" si="73"/>
        <v>0</v>
      </c>
      <c r="AX707" s="899">
        <f>INDEX(V707:AG707,1,MATCH(Parametres!$B$3,V$1:AG$1,0))*IF(OR(C707="L",C707="S",C707="I"),-1,1)</f>
        <v>0</v>
      </c>
      <c r="AY707" s="487" t="s">
        <v>337</v>
      </c>
      <c r="AZ707" s="487" t="str">
        <f>+VLOOKUP($AJ707,Data_Validation!$A:$E,5,0)</f>
        <v>Oui</v>
      </c>
    </row>
    <row r="708" spans="1:52" ht="15" customHeight="1">
      <c r="A708" s="706" t="s">
        <v>1148</v>
      </c>
      <c r="B708" s="706">
        <v>2026</v>
      </c>
      <c r="C708" s="706" t="s">
        <v>2436</v>
      </c>
      <c r="D708" s="706" t="s">
        <v>3350</v>
      </c>
      <c r="E708" s="706" t="s">
        <v>1149</v>
      </c>
      <c r="F708" s="706" t="s">
        <v>1149</v>
      </c>
      <c r="G708" s="706">
        <v>1865674.77</v>
      </c>
      <c r="H708" s="706">
        <v>3739642.83</v>
      </c>
      <c r="I708" s="706">
        <v>7577610.2699999996</v>
      </c>
      <c r="J708" s="706">
        <v>11976681.210000001</v>
      </c>
      <c r="K708" s="706">
        <v>15277728.66</v>
      </c>
      <c r="L708" s="706">
        <v>18289428.579999998</v>
      </c>
      <c r="M708" s="706">
        <v>20328923.420000002</v>
      </c>
      <c r="N708" s="706">
        <v>23873537.109999999</v>
      </c>
      <c r="O708" s="706">
        <v>24205026.57</v>
      </c>
      <c r="P708" s="706">
        <v>0</v>
      </c>
      <c r="Q708" s="706">
        <v>0</v>
      </c>
      <c r="R708" s="706">
        <v>0</v>
      </c>
      <c r="S708" s="706">
        <v>2984192.14</v>
      </c>
      <c r="T708" s="706">
        <v>2984192.14</v>
      </c>
      <c r="U708" s="706">
        <v>0</v>
      </c>
      <c r="V708" s="706">
        <v>40</v>
      </c>
      <c r="W708" s="706">
        <v>82</v>
      </c>
      <c r="X708" s="706">
        <v>165</v>
      </c>
      <c r="Y708" s="706">
        <v>257</v>
      </c>
      <c r="Z708" s="706">
        <v>334</v>
      </c>
      <c r="AA708" s="706">
        <v>396</v>
      </c>
      <c r="AB708" s="706">
        <v>441</v>
      </c>
      <c r="AC708" s="706">
        <v>518</v>
      </c>
      <c r="AD708" s="706">
        <v>525</v>
      </c>
      <c r="AE708" s="706">
        <v>0</v>
      </c>
      <c r="AF708" s="706">
        <v>0</v>
      </c>
      <c r="AG708" s="706">
        <v>0</v>
      </c>
      <c r="AH708" s="706">
        <v>65</v>
      </c>
      <c r="AI708" s="706">
        <v>65</v>
      </c>
      <c r="AJ708" s="905" t="str">
        <f t="shared" si="68"/>
        <v>G45603</v>
      </c>
      <c r="AK708" s="905" t="str">
        <f t="shared" si="69"/>
        <v>VENTES USA</v>
      </c>
      <c r="AL708" s="905">
        <f>IFERROR(INDEX(G708:R708,1,MATCH(Parametres!$B$3,G$1:R$1,0)-1)*IF(OR(F708="L",F708="S",F708="I"),-1,1),"")</f>
        <v>-20328923.420000002</v>
      </c>
      <c r="AM708" s="905">
        <f t="shared" si="70"/>
        <v>-3544613.6899999976</v>
      </c>
      <c r="AN708" s="905">
        <f>INDEX(G708:R708,1,MATCH(Parametres!$B$3,G$1:R$1,0))*IF(OR(F708="L",F708="S",F708="I"),-1,1)</f>
        <v>-23873537.109999999</v>
      </c>
      <c r="AO708" s="487" t="str">
        <f>+VLOOKUP($AJ708,Data_Validation!$A:$D,1,0)</f>
        <v>G45603</v>
      </c>
      <c r="AP708" s="487" t="str">
        <f>+VLOOKUP($AJ708,Data_Validation!$A:$D,3,0)</f>
        <v>Wholesale autres</v>
      </c>
      <c r="AQ708" s="487" t="str">
        <f>+VLOOKUP($AJ708,Data_Validation!$A:$D,4,0)</f>
        <v>Wholesale USA</v>
      </c>
      <c r="AR708" s="487" t="s">
        <v>299</v>
      </c>
      <c r="AS708" s="487" t="str">
        <f>+VLOOKUP($AJ708,Data_Validation!$A:$E,5,0)</f>
        <v>Oui</v>
      </c>
      <c r="AT708" s="904" t="str">
        <f t="shared" si="71"/>
        <v>G45603</v>
      </c>
      <c r="AU708" s="488" t="str">
        <f t="shared" si="72"/>
        <v>VENTES USA</v>
      </c>
      <c r="AV708" s="899">
        <f>IFERROR(INDEX(V708:AG708,1,MATCH(Parametres!$B$3,V$1:AG$1,0)-1)*IF(OR(C708="L",C708="S",C708="I"),-1,1),"")</f>
        <v>441</v>
      </c>
      <c r="AW708" s="899">
        <f t="shared" si="73"/>
        <v>77</v>
      </c>
      <c r="AX708" s="899">
        <f>INDEX(V708:AG708,1,MATCH(Parametres!$B$3,V$1:AG$1,0))*IF(OR(C708="L",C708="S",C708="I"),-1,1)</f>
        <v>518</v>
      </c>
      <c r="AY708" s="487" t="s">
        <v>337</v>
      </c>
      <c r="AZ708" s="487" t="str">
        <f>+VLOOKUP($AJ708,Data_Validation!$A:$E,5,0)</f>
        <v>Oui</v>
      </c>
    </row>
    <row r="709" spans="1:52" ht="15" customHeight="1">
      <c r="A709" s="706" t="s">
        <v>1148</v>
      </c>
      <c r="B709" s="706">
        <v>2026</v>
      </c>
      <c r="C709" s="706" t="s">
        <v>2438</v>
      </c>
      <c r="D709" s="706" t="s">
        <v>2439</v>
      </c>
      <c r="E709" s="706" t="s">
        <v>1149</v>
      </c>
      <c r="F709" s="706" t="s">
        <v>1149</v>
      </c>
      <c r="G709" s="706">
        <v>0</v>
      </c>
      <c r="H709" s="706">
        <v>0</v>
      </c>
      <c r="I709" s="706">
        <v>0</v>
      </c>
      <c r="J709" s="706">
        <v>0</v>
      </c>
      <c r="K709" s="706">
        <v>3688515.75</v>
      </c>
      <c r="L709" s="706">
        <v>5629910.8300000001</v>
      </c>
      <c r="M709" s="706">
        <v>7128148.5800000001</v>
      </c>
      <c r="N709" s="706">
        <v>8932635.0700000003</v>
      </c>
      <c r="O709" s="706">
        <v>9687566.0700000003</v>
      </c>
      <c r="P709" s="706">
        <v>0</v>
      </c>
      <c r="Q709" s="706">
        <v>0</v>
      </c>
      <c r="R709" s="706">
        <v>0</v>
      </c>
      <c r="S709" s="706">
        <v>1116579.3799999999</v>
      </c>
      <c r="T709" s="706">
        <v>1116579.3799999999</v>
      </c>
      <c r="U709" s="706">
        <v>0</v>
      </c>
      <c r="V709" s="706">
        <v>0</v>
      </c>
      <c r="W709" s="706">
        <v>0</v>
      </c>
      <c r="X709" s="706">
        <v>0</v>
      </c>
      <c r="Y709" s="706">
        <v>0</v>
      </c>
      <c r="Z709" s="706">
        <v>66</v>
      </c>
      <c r="AA709" s="706">
        <v>102</v>
      </c>
      <c r="AB709" s="706">
        <v>127</v>
      </c>
      <c r="AC709" s="706">
        <v>158</v>
      </c>
      <c r="AD709" s="706">
        <v>170</v>
      </c>
      <c r="AE709" s="706">
        <v>0</v>
      </c>
      <c r="AF709" s="706">
        <v>0</v>
      </c>
      <c r="AG709" s="706">
        <v>0</v>
      </c>
      <c r="AH709" s="706">
        <v>20</v>
      </c>
      <c r="AI709" s="706">
        <v>20</v>
      </c>
      <c r="AJ709" s="905" t="str">
        <f t="shared" si="68"/>
        <v>G456031</v>
      </c>
      <c r="AK709" s="905" t="str">
        <f t="shared" si="69"/>
        <v>VENTES INTERCO USA</v>
      </c>
      <c r="AL709" s="905">
        <f>IFERROR(INDEX(G709:R709,1,MATCH(Parametres!$B$3,G$1:R$1,0)-1)*IF(OR(F709="L",F709="S",F709="I"),-1,1),"")</f>
        <v>-7128148.5800000001</v>
      </c>
      <c r="AM709" s="905">
        <f t="shared" si="70"/>
        <v>-1804486.4900000002</v>
      </c>
      <c r="AN709" s="905">
        <f>INDEX(G709:R709,1,MATCH(Parametres!$B$3,G$1:R$1,0))*IF(OR(F709="L",F709="S",F709="I"),-1,1)</f>
        <v>-8932635.0700000003</v>
      </c>
      <c r="AO709" s="487" t="str">
        <f>+VLOOKUP($AJ709,Data_Validation!$A:$D,1,0)</f>
        <v>G456031</v>
      </c>
      <c r="AP709" s="487">
        <f>+VLOOKUP($AJ709,Data_Validation!$A:$D,3,0)</f>
        <v>0</v>
      </c>
      <c r="AQ709" s="487">
        <f>+VLOOKUP($AJ709,Data_Validation!$A:$D,4,0)</f>
        <v>0</v>
      </c>
      <c r="AR709" s="487" t="s">
        <v>299</v>
      </c>
      <c r="AS709" s="487">
        <f>+VLOOKUP($AJ709,Data_Validation!$A:$E,5,0)</f>
        <v>0</v>
      </c>
      <c r="AT709" s="904" t="str">
        <f t="shared" si="71"/>
        <v>G456031</v>
      </c>
      <c r="AU709" s="488" t="str">
        <f t="shared" si="72"/>
        <v>VENTES INTERCO USA</v>
      </c>
      <c r="AV709" s="899">
        <f>IFERROR(INDEX(V709:AG709,1,MATCH(Parametres!$B$3,V$1:AG$1,0)-1)*IF(OR(C709="L",C709="S",C709="I"),-1,1),"")</f>
        <v>127</v>
      </c>
      <c r="AW709" s="899">
        <f t="shared" si="73"/>
        <v>31</v>
      </c>
      <c r="AX709" s="899">
        <f>INDEX(V709:AG709,1,MATCH(Parametres!$B$3,V$1:AG$1,0))*IF(OR(C709="L",C709="S",C709="I"),-1,1)</f>
        <v>158</v>
      </c>
      <c r="AY709" s="487" t="s">
        <v>337</v>
      </c>
      <c r="AZ709" s="487">
        <f>+VLOOKUP($AJ709,Data_Validation!$A:$E,5,0)</f>
        <v>0</v>
      </c>
    </row>
    <row r="710" spans="1:52" ht="15" customHeight="1">
      <c r="A710" s="706" t="s">
        <v>1148</v>
      </c>
      <c r="B710" s="706">
        <v>2026</v>
      </c>
      <c r="C710" s="706" t="s">
        <v>2440</v>
      </c>
      <c r="D710" s="706" t="s">
        <v>2441</v>
      </c>
      <c r="E710" s="706" t="s">
        <v>1149</v>
      </c>
      <c r="F710" s="706" t="s">
        <v>1149</v>
      </c>
      <c r="G710" s="706">
        <v>0</v>
      </c>
      <c r="H710" s="706">
        <v>0</v>
      </c>
      <c r="I710" s="706">
        <v>0</v>
      </c>
      <c r="J710" s="706">
        <v>0</v>
      </c>
      <c r="K710" s="706">
        <v>7860774.2599999998</v>
      </c>
      <c r="L710" s="706">
        <v>8498277.2599999998</v>
      </c>
      <c r="M710" s="706">
        <v>9319339.2599999998</v>
      </c>
      <c r="N710" s="706">
        <v>10241533.26</v>
      </c>
      <c r="O710" s="706">
        <v>10669985.26</v>
      </c>
      <c r="P710" s="706">
        <v>0</v>
      </c>
      <c r="Q710" s="706">
        <v>0</v>
      </c>
      <c r="R710" s="706">
        <v>0</v>
      </c>
      <c r="S710" s="706">
        <v>1280191.6599999999</v>
      </c>
      <c r="T710" s="706">
        <v>1280191.6599999999</v>
      </c>
      <c r="U710" s="706">
        <v>0</v>
      </c>
      <c r="V710" s="706">
        <v>0</v>
      </c>
      <c r="W710" s="706">
        <v>0</v>
      </c>
      <c r="X710" s="706">
        <v>0</v>
      </c>
      <c r="Y710" s="706">
        <v>0</v>
      </c>
      <c r="Z710" s="706">
        <v>246</v>
      </c>
      <c r="AA710" s="706">
        <v>262</v>
      </c>
      <c r="AB710" s="706">
        <v>283</v>
      </c>
      <c r="AC710" s="706">
        <v>310</v>
      </c>
      <c r="AD710" s="706">
        <v>324</v>
      </c>
      <c r="AE710" s="706">
        <v>0</v>
      </c>
      <c r="AF710" s="706">
        <v>0</v>
      </c>
      <c r="AG710" s="706">
        <v>0</v>
      </c>
      <c r="AH710" s="706">
        <v>39</v>
      </c>
      <c r="AI710" s="706">
        <v>39</v>
      </c>
      <c r="AJ710" s="905" t="str">
        <f t="shared" si="68"/>
        <v>G45605</v>
      </c>
      <c r="AK710" s="905" t="str">
        <f t="shared" si="69"/>
        <v>VENTE WHL CANADA</v>
      </c>
      <c r="AL710" s="905">
        <f>IFERROR(INDEX(G710:R710,1,MATCH(Parametres!$B$3,G$1:R$1,0)-1)*IF(OR(F710="L",F710="S",F710="I"),-1,1),"")</f>
        <v>-9319339.2599999998</v>
      </c>
      <c r="AM710" s="905">
        <f t="shared" si="70"/>
        <v>-922194</v>
      </c>
      <c r="AN710" s="905">
        <f>INDEX(G710:R710,1,MATCH(Parametres!$B$3,G$1:R$1,0))*IF(OR(F710="L",F710="S",F710="I"),-1,1)</f>
        <v>-10241533.26</v>
      </c>
      <c r="AO710" s="487" t="str">
        <f>+VLOOKUP($AJ710,Data_Validation!$A:$D,1,0)</f>
        <v>G45605</v>
      </c>
      <c r="AP710" s="487" t="str">
        <f>+VLOOKUP($AJ710,Data_Validation!$A:$D,3,0)</f>
        <v>Wholesale autres</v>
      </c>
      <c r="AQ710" s="487" t="str">
        <f>+VLOOKUP($AJ710,Data_Validation!$A:$D,4,0)</f>
        <v>Wholesale Canada</v>
      </c>
      <c r="AR710" s="487" t="s">
        <v>299</v>
      </c>
      <c r="AS710" s="487" t="str">
        <f>+VLOOKUP($AJ710,Data_Validation!$A:$E,5,0)</f>
        <v>Oui</v>
      </c>
      <c r="AT710" s="904" t="str">
        <f t="shared" si="71"/>
        <v>G45605</v>
      </c>
      <c r="AU710" s="488" t="str">
        <f t="shared" si="72"/>
        <v>VENTE WHL CANADA</v>
      </c>
      <c r="AV710" s="899">
        <f>IFERROR(INDEX(V710:AG710,1,MATCH(Parametres!$B$3,V$1:AG$1,0)-1)*IF(OR(C710="L",C710="S",C710="I"),-1,1),"")</f>
        <v>283</v>
      </c>
      <c r="AW710" s="899">
        <f t="shared" si="73"/>
        <v>27</v>
      </c>
      <c r="AX710" s="899">
        <f>INDEX(V710:AG710,1,MATCH(Parametres!$B$3,V$1:AG$1,0))*IF(OR(C710="L",C710="S",C710="I"),-1,1)</f>
        <v>310</v>
      </c>
      <c r="AY710" s="487" t="s">
        <v>337</v>
      </c>
      <c r="AZ710" s="487" t="str">
        <f>+VLOOKUP($AJ710,Data_Validation!$A:$E,5,0)</f>
        <v>Oui</v>
      </c>
    </row>
    <row r="711" spans="1:52" ht="15" customHeight="1">
      <c r="A711" s="706" t="s">
        <v>1148</v>
      </c>
      <c r="B711" s="706">
        <v>2026</v>
      </c>
      <c r="C711" s="706" t="s">
        <v>2442</v>
      </c>
      <c r="D711" s="706" t="s">
        <v>2443</v>
      </c>
      <c r="E711" s="706" t="s">
        <v>1151</v>
      </c>
      <c r="F711" s="706" t="s">
        <v>1149</v>
      </c>
      <c r="G711" s="706">
        <v>57649.56</v>
      </c>
      <c r="H711" s="706">
        <v>133321.16</v>
      </c>
      <c r="I711" s="706">
        <v>208755.74</v>
      </c>
      <c r="J711" s="706">
        <v>280763.65000000002</v>
      </c>
      <c r="K711" s="706">
        <v>315937.68</v>
      </c>
      <c r="L711" s="706">
        <v>370066.6</v>
      </c>
      <c r="M711" s="706">
        <v>423889.12</v>
      </c>
      <c r="N711" s="706">
        <v>466345.67</v>
      </c>
      <c r="O711" s="706">
        <v>499398.72</v>
      </c>
      <c r="P711" s="706">
        <v>0</v>
      </c>
      <c r="Q711" s="706">
        <v>0</v>
      </c>
      <c r="R711" s="706">
        <v>0</v>
      </c>
      <c r="S711" s="706">
        <v>58293.21</v>
      </c>
      <c r="T711" s="706">
        <v>58293.21</v>
      </c>
      <c r="U711" s="706">
        <v>0</v>
      </c>
      <c r="V711" s="706">
        <v>157</v>
      </c>
      <c r="W711" s="706">
        <v>314</v>
      </c>
      <c r="X711" s="706">
        <v>529</v>
      </c>
      <c r="Y711" s="706">
        <v>844</v>
      </c>
      <c r="Z711" s="706">
        <v>1056</v>
      </c>
      <c r="AA711" s="706">
        <v>1280</v>
      </c>
      <c r="AB711" s="706">
        <v>1503</v>
      </c>
      <c r="AC711" s="706">
        <v>1699</v>
      </c>
      <c r="AD711" s="706">
        <v>1837</v>
      </c>
      <c r="AE711" s="706">
        <v>0</v>
      </c>
      <c r="AF711" s="706">
        <v>0</v>
      </c>
      <c r="AG711" s="706">
        <v>0</v>
      </c>
      <c r="AH711" s="706">
        <v>212</v>
      </c>
      <c r="AI711" s="706">
        <v>212</v>
      </c>
      <c r="AJ711" s="905" t="str">
        <f t="shared" si="68"/>
        <v>G46010</v>
      </c>
      <c r="AK711" s="905" t="str">
        <f t="shared" si="69"/>
        <v>M-D'O CLIENT VOIT-CAM.LEG</v>
      </c>
      <c r="AL711" s="905">
        <f>IFERROR(INDEX(G711:R711,1,MATCH(Parametres!$B$3,G$1:R$1,0)-1)*IF(OR(F711="L",F711="S",F711="I"),-1,1),"")</f>
        <v>-423889.12</v>
      </c>
      <c r="AM711" s="905">
        <f t="shared" si="70"/>
        <v>-42456.549999999988</v>
      </c>
      <c r="AN711" s="905">
        <f>INDEX(G711:R711,1,MATCH(Parametres!$B$3,G$1:R$1,0))*IF(OR(F711="L",F711="S",F711="I"),-1,1)</f>
        <v>-466345.67</v>
      </c>
      <c r="AO711" s="487" t="str">
        <f>+VLOOKUP($AJ711,Data_Validation!$A:$D,1,0)</f>
        <v>G46010</v>
      </c>
      <c r="AP711" s="487" t="str">
        <f>+VLOOKUP($AJ711,Data_Validation!$A:$D,3,0)</f>
        <v>Service</v>
      </c>
      <c r="AQ711" s="487" t="str">
        <f>+VLOOKUP($AJ711,Data_Validation!$A:$D,4,0)</f>
        <v>M/O Client</v>
      </c>
      <c r="AR711" s="487" t="s">
        <v>299</v>
      </c>
      <c r="AS711" s="487" t="str">
        <f>+VLOOKUP($AJ711,Data_Validation!$A:$E,5,0)</f>
        <v>Oui</v>
      </c>
      <c r="AT711" s="904" t="str">
        <f t="shared" si="71"/>
        <v>G46010</v>
      </c>
      <c r="AU711" s="488" t="str">
        <f t="shared" si="72"/>
        <v>M-D'O CLIENT VOIT-CAM.LEG</v>
      </c>
      <c r="AV711" s="899">
        <f>IFERROR(INDEX(V711:AG711,1,MATCH(Parametres!$B$3,V$1:AG$1,0)-1)*IF(OR(C711="L",C711="S",C711="I"),-1,1),"")</f>
        <v>1503</v>
      </c>
      <c r="AW711" s="899">
        <f t="shared" si="73"/>
        <v>196</v>
      </c>
      <c r="AX711" s="899">
        <f>INDEX(V711:AG711,1,MATCH(Parametres!$B$3,V$1:AG$1,0))*IF(OR(C711="L",C711="S",C711="I"),-1,1)</f>
        <v>1699</v>
      </c>
      <c r="AY711" s="487" t="s">
        <v>337</v>
      </c>
      <c r="AZ711" s="487" t="str">
        <f>+VLOOKUP($AJ711,Data_Validation!$A:$E,5,0)</f>
        <v>Oui</v>
      </c>
    </row>
    <row r="712" spans="1:52" ht="15" customHeight="1">
      <c r="A712" s="706" t="s">
        <v>1148</v>
      </c>
      <c r="B712" s="706">
        <v>2026</v>
      </c>
      <c r="C712" s="706" t="s">
        <v>3351</v>
      </c>
      <c r="D712" s="706" t="s">
        <v>3352</v>
      </c>
      <c r="E712" s="706" t="s">
        <v>1151</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G46015</v>
      </c>
      <c r="AK712" s="905" t="str">
        <f t="shared" si="69"/>
        <v>VTE ESTHETIQUE CLIENT</v>
      </c>
      <c r="AL712" s="905">
        <f>IFERROR(INDEX(G712:R712,1,MATCH(Parametres!$B$3,G$1:R$1,0)-1)*IF(OR(F712="L",F712="S",F712="I"),-1,1),"")</f>
        <v>0</v>
      </c>
      <c r="AM712" s="905">
        <f t="shared" si="70"/>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71"/>
        <v>G46015</v>
      </c>
      <c r="AU712" s="488" t="str">
        <f t="shared" si="72"/>
        <v>VTE ESTHETIQUE CLIENT</v>
      </c>
      <c r="AV712" s="899">
        <f>IFERROR(INDEX(V712:AG712,1,MATCH(Parametres!$B$3,V$1:AG$1,0)-1)*IF(OR(C712="L",C712="S",C712="I"),-1,1),"")</f>
        <v>0</v>
      </c>
      <c r="AW712" s="899">
        <f t="shared" si="73"/>
        <v>0</v>
      </c>
      <c r="AX712" s="899">
        <f>INDEX(V712:AG712,1,MATCH(Parametres!$B$3,V$1:AG$1,0))*IF(OR(C712="L",C712="S",C712="I"),-1,1)</f>
        <v>0</v>
      </c>
      <c r="AY712" s="487" t="s">
        <v>337</v>
      </c>
      <c r="AZ712" s="487" t="e">
        <f>+VLOOKUP($AJ712,Data_Validation!$A:$E,5,0)</f>
        <v>#N/A</v>
      </c>
    </row>
    <row r="713" spans="1:52" ht="15" customHeight="1">
      <c r="A713" s="706" t="s">
        <v>1148</v>
      </c>
      <c r="B713" s="706">
        <v>2026</v>
      </c>
      <c r="C713" s="706" t="s">
        <v>2444</v>
      </c>
      <c r="D713" s="706" t="s">
        <v>2445</v>
      </c>
      <c r="E713" s="706" t="s">
        <v>1151</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1</v>
      </c>
      <c r="AA713" s="706">
        <v>1</v>
      </c>
      <c r="AB713" s="706">
        <v>1</v>
      </c>
      <c r="AC713" s="706">
        <v>1</v>
      </c>
      <c r="AD713" s="706">
        <v>1</v>
      </c>
      <c r="AE713" s="706">
        <v>0</v>
      </c>
      <c r="AF713" s="706">
        <v>0</v>
      </c>
      <c r="AG713" s="706">
        <v>0</v>
      </c>
      <c r="AH713" s="706">
        <v>0</v>
      </c>
      <c r="AI713" s="706">
        <v>0</v>
      </c>
      <c r="AJ713" s="905" t="str">
        <f t="shared" si="68"/>
        <v>G46020</v>
      </c>
      <c r="AK713" s="905" t="str">
        <f t="shared" si="69"/>
        <v>CONT.SER-VOIT &amp; CAM.LEGER</v>
      </c>
      <c r="AL713" s="905">
        <f>IFERROR(INDEX(G713:R713,1,MATCH(Parametres!$B$3,G$1:R$1,0)-1)*IF(OR(F713="L",F713="S",F713="I"),-1,1),"")</f>
        <v>0</v>
      </c>
      <c r="AM713" s="905">
        <f t="shared" si="70"/>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71"/>
        <v>G46020</v>
      </c>
      <c r="AU713" s="488" t="str">
        <f t="shared" si="72"/>
        <v>CONT.SER-VOIT &amp; CAM.LEGER</v>
      </c>
      <c r="AV713" s="899">
        <f>IFERROR(INDEX(V713:AG713,1,MATCH(Parametres!$B$3,V$1:AG$1,0)-1)*IF(OR(C713="L",C713="S",C713="I"),-1,1),"")</f>
        <v>1</v>
      </c>
      <c r="AW713" s="899">
        <f t="shared" si="73"/>
        <v>0</v>
      </c>
      <c r="AX713" s="899">
        <f>INDEX(V713:AG713,1,MATCH(Parametres!$B$3,V$1:AG$1,0))*IF(OR(C713="L",C713="S",C713="I"),-1,1)</f>
        <v>1</v>
      </c>
      <c r="AY713" s="487" t="s">
        <v>337</v>
      </c>
      <c r="AZ713" s="487" t="e">
        <f>+VLOOKUP($AJ713,Data_Validation!$A:$E,5,0)</f>
        <v>#N/A</v>
      </c>
    </row>
    <row r="714" spans="1:52" ht="15" customHeight="1">
      <c r="A714" s="706" t="s">
        <v>1148</v>
      </c>
      <c r="B714" s="706">
        <v>2026</v>
      </c>
      <c r="C714" s="706" t="s">
        <v>2446</v>
      </c>
      <c r="D714" s="706" t="s">
        <v>2447</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G46030</v>
      </c>
      <c r="AK714" s="905" t="str">
        <f t="shared" si="69"/>
        <v>VTES-M.D.PL.PROT.AUT.AUTO</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G46030</v>
      </c>
      <c r="AU714" s="488" t="str">
        <f t="shared" si="72"/>
        <v>VTES-M.D.PL.PROT.AUT.AUTO</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customHeight="1">
      <c r="A715" s="706" t="s">
        <v>1148</v>
      </c>
      <c r="B715" s="706">
        <v>2026</v>
      </c>
      <c r="C715" s="706" t="s">
        <v>2448</v>
      </c>
      <c r="D715" s="706" t="s">
        <v>2449</v>
      </c>
      <c r="E715" s="706" t="s">
        <v>1151</v>
      </c>
      <c r="F715" s="706" t="s">
        <v>1149</v>
      </c>
      <c r="G715" s="706">
        <v>3100.84</v>
      </c>
      <c r="H715" s="706">
        <v>4320.3999999999996</v>
      </c>
      <c r="I715" s="706">
        <v>4904.8</v>
      </c>
      <c r="J715" s="706">
        <v>6091.54</v>
      </c>
      <c r="K715" s="706">
        <v>10948.9</v>
      </c>
      <c r="L715" s="706">
        <v>13966.1</v>
      </c>
      <c r="M715" s="706">
        <v>15457.5</v>
      </c>
      <c r="N715" s="706">
        <v>16730.39</v>
      </c>
      <c r="O715" s="706">
        <v>18554.91</v>
      </c>
      <c r="P715" s="706">
        <v>0</v>
      </c>
      <c r="Q715" s="706">
        <v>0</v>
      </c>
      <c r="R715" s="706">
        <v>0</v>
      </c>
      <c r="S715" s="706">
        <v>2091.3000000000002</v>
      </c>
      <c r="T715" s="706">
        <v>2091.3000000000002</v>
      </c>
      <c r="U715" s="706">
        <v>0</v>
      </c>
      <c r="V715" s="706">
        <v>12</v>
      </c>
      <c r="W715" s="706">
        <v>18</v>
      </c>
      <c r="X715" s="706">
        <v>21</v>
      </c>
      <c r="Y715" s="706">
        <v>38</v>
      </c>
      <c r="Z715" s="706">
        <v>79</v>
      </c>
      <c r="AA715" s="706">
        <v>103</v>
      </c>
      <c r="AB715" s="706">
        <v>115</v>
      </c>
      <c r="AC715" s="706">
        <v>126</v>
      </c>
      <c r="AD715" s="706">
        <v>146</v>
      </c>
      <c r="AE715" s="706">
        <v>0</v>
      </c>
      <c r="AF715" s="706">
        <v>0</v>
      </c>
      <c r="AG715" s="706">
        <v>0</v>
      </c>
      <c r="AH715" s="706">
        <v>16</v>
      </c>
      <c r="AI715" s="706">
        <v>16</v>
      </c>
      <c r="AJ715" s="905" t="str">
        <f t="shared" si="68"/>
        <v>G46040</v>
      </c>
      <c r="AK715" s="905" t="str">
        <f t="shared" si="69"/>
        <v>SERV. RAPIDE VOIT CAM.LEG</v>
      </c>
      <c r="AL715" s="905">
        <f>IFERROR(INDEX(G715:R715,1,MATCH(Parametres!$B$3,G$1:R$1,0)-1)*IF(OR(F715="L",F715="S",F715="I"),-1,1),"")</f>
        <v>-15457.5</v>
      </c>
      <c r="AM715" s="905">
        <f t="shared" si="70"/>
        <v>-1272.8899999999994</v>
      </c>
      <c r="AN715" s="905">
        <f>INDEX(G715:R715,1,MATCH(Parametres!$B$3,G$1:R$1,0))*IF(OR(F715="L",F715="S",F715="I"),-1,1)</f>
        <v>-16730.39</v>
      </c>
      <c r="AO715" s="487" t="str">
        <f>+VLOOKUP($AJ715,Data_Validation!$A:$D,1,0)</f>
        <v>G46040</v>
      </c>
      <c r="AP715" s="487" t="str">
        <f>+VLOOKUP($AJ715,Data_Validation!$A:$D,3,0)</f>
        <v>Service</v>
      </c>
      <c r="AQ715" s="487" t="str">
        <f>+VLOOKUP($AJ715,Data_Validation!$A:$D,4,0)</f>
        <v>M/O Client</v>
      </c>
      <c r="AR715" s="487" t="s">
        <v>299</v>
      </c>
      <c r="AS715" s="487" t="str">
        <f>+VLOOKUP($AJ715,Data_Validation!$A:$E,5,0)</f>
        <v>Oui</v>
      </c>
      <c r="AT715" s="904" t="str">
        <f t="shared" si="71"/>
        <v>G46040</v>
      </c>
      <c r="AU715" s="488" t="str">
        <f t="shared" si="72"/>
        <v>SERV. RAPIDE VOIT CAM.LEG</v>
      </c>
      <c r="AV715" s="899">
        <f>IFERROR(INDEX(V715:AG715,1,MATCH(Parametres!$B$3,V$1:AG$1,0)-1)*IF(OR(C715="L",C715="S",C715="I"),-1,1),"")</f>
        <v>115</v>
      </c>
      <c r="AW715" s="899">
        <f t="shared" si="73"/>
        <v>11</v>
      </c>
      <c r="AX715" s="899">
        <f>INDEX(V715:AG715,1,MATCH(Parametres!$B$3,V$1:AG$1,0))*IF(OR(C715="L",C715="S",C715="I"),-1,1)</f>
        <v>126</v>
      </c>
      <c r="AY715" s="487" t="s">
        <v>337</v>
      </c>
      <c r="AZ715" s="487" t="str">
        <f>+VLOOKUP($AJ715,Data_Validation!$A:$E,5,0)</f>
        <v>Oui</v>
      </c>
    </row>
    <row r="716" spans="1:52" ht="15" customHeight="1">
      <c r="A716" s="706" t="s">
        <v>1148</v>
      </c>
      <c r="B716" s="706">
        <v>2026</v>
      </c>
      <c r="C716" s="706" t="s">
        <v>3353</v>
      </c>
      <c r="D716" s="706" t="s">
        <v>3354</v>
      </c>
      <c r="E716" s="706" t="s">
        <v>1151</v>
      </c>
      <c r="F716" s="706" t="s">
        <v>1149</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905" t="str">
        <f t="shared" si="68"/>
        <v>G46050</v>
      </c>
      <c r="AK716" s="905" t="str">
        <f t="shared" si="69"/>
        <v>VTE M-0 ELECTRIQUE   CLT</v>
      </c>
      <c r="AL716" s="905">
        <f>IFERROR(INDEX(G716:R716,1,MATCH(Parametres!$B$3,G$1:R$1,0)-1)*IF(OR(F716="L",F716="S",F716="I"),-1,1),"")</f>
        <v>0</v>
      </c>
      <c r="AM716" s="905">
        <f t="shared" si="70"/>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71"/>
        <v>G46050</v>
      </c>
      <c r="AU716" s="488" t="str">
        <f t="shared" si="72"/>
        <v>VTE M-0 ELECTRIQUE   CLT</v>
      </c>
      <c r="AV716" s="899">
        <f>IFERROR(INDEX(V716:AG716,1,MATCH(Parametres!$B$3,V$1:AG$1,0)-1)*IF(OR(C716="L",C716="S",C716="I"),-1,1),"")</f>
        <v>0</v>
      </c>
      <c r="AW716" s="899">
        <f t="shared" si="73"/>
        <v>0</v>
      </c>
      <c r="AX716" s="899">
        <f>INDEX(V716:AG716,1,MATCH(Parametres!$B$3,V$1:AG$1,0))*IF(OR(C716="L",C716="S",C716="I"),-1,1)</f>
        <v>0</v>
      </c>
      <c r="AY716" s="487" t="s">
        <v>337</v>
      </c>
      <c r="AZ716" s="487" t="e">
        <f>+VLOOKUP($AJ716,Data_Validation!$A:$E,5,0)</f>
        <v>#N/A</v>
      </c>
    </row>
    <row r="717" spans="1:52" ht="15" customHeight="1">
      <c r="A717" s="706" t="s">
        <v>1148</v>
      </c>
      <c r="B717" s="706">
        <v>2026</v>
      </c>
      <c r="C717" s="706" t="s">
        <v>2450</v>
      </c>
      <c r="D717" s="706" t="s">
        <v>2451</v>
      </c>
      <c r="E717" s="706" t="s">
        <v>1151</v>
      </c>
      <c r="F717" s="706" t="s">
        <v>1149</v>
      </c>
      <c r="G717" s="706">
        <v>81920</v>
      </c>
      <c r="H717" s="706">
        <v>163770</v>
      </c>
      <c r="I717" s="706">
        <v>272495</v>
      </c>
      <c r="J717" s="706">
        <v>382055</v>
      </c>
      <c r="K717" s="706">
        <v>452319.95</v>
      </c>
      <c r="L717" s="706">
        <v>471485.42</v>
      </c>
      <c r="M717" s="706">
        <v>495185.42</v>
      </c>
      <c r="N717" s="706">
        <v>512310.42</v>
      </c>
      <c r="O717" s="706">
        <v>528450.42000000004</v>
      </c>
      <c r="P717" s="706">
        <v>0</v>
      </c>
      <c r="Q717" s="706">
        <v>0</v>
      </c>
      <c r="R717" s="706">
        <v>0</v>
      </c>
      <c r="S717" s="706">
        <v>64038.8</v>
      </c>
      <c r="T717" s="706">
        <v>64038.8</v>
      </c>
      <c r="U717" s="706">
        <v>0</v>
      </c>
      <c r="V717" s="706">
        <v>497</v>
      </c>
      <c r="W717" s="706">
        <v>964</v>
      </c>
      <c r="X717" s="706">
        <v>1611</v>
      </c>
      <c r="Y717" s="706">
        <v>2272</v>
      </c>
      <c r="Z717" s="706">
        <v>2746</v>
      </c>
      <c r="AA717" s="706">
        <v>2898</v>
      </c>
      <c r="AB717" s="706">
        <v>3091</v>
      </c>
      <c r="AC717" s="706">
        <v>3230</v>
      </c>
      <c r="AD717" s="706">
        <v>3357</v>
      </c>
      <c r="AE717" s="706">
        <v>0</v>
      </c>
      <c r="AF717" s="706">
        <v>0</v>
      </c>
      <c r="AG717" s="706">
        <v>0</v>
      </c>
      <c r="AH717" s="706">
        <v>404</v>
      </c>
      <c r="AI717" s="706">
        <v>404</v>
      </c>
      <c r="AJ717" s="905" t="str">
        <f t="shared" si="68"/>
        <v>G46110</v>
      </c>
      <c r="AK717" s="905" t="str">
        <f t="shared" si="69"/>
        <v>M-D'O CLIENT S.A.A.Q</v>
      </c>
      <c r="AL717" s="905">
        <f>IFERROR(INDEX(G717:R717,1,MATCH(Parametres!$B$3,G$1:R$1,0)-1)*IF(OR(F717="L",F717="S",F717="I"),-1,1),"")</f>
        <v>-495185.42</v>
      </c>
      <c r="AM717" s="905">
        <f t="shared" si="70"/>
        <v>-17125</v>
      </c>
      <c r="AN717" s="905">
        <f>INDEX(G717:R717,1,MATCH(Parametres!$B$3,G$1:R$1,0))*IF(OR(F717="L",F717="S",F717="I"),-1,1)</f>
        <v>-512310.42</v>
      </c>
      <c r="AO717" s="487" t="str">
        <f>+VLOOKUP($AJ717,Data_Validation!$A:$D,1,0)</f>
        <v>G46110</v>
      </c>
      <c r="AP717" s="487" t="str">
        <f>+VLOOKUP($AJ717,Data_Validation!$A:$D,3,0)</f>
        <v>SAAQ</v>
      </c>
      <c r="AQ717" s="487" t="str">
        <f>+VLOOKUP($AJ717,Data_Validation!$A:$D,4,0)</f>
        <v>Inspection - Véhicules Légers</v>
      </c>
      <c r="AR717" s="487" t="s">
        <v>299</v>
      </c>
      <c r="AS717" s="487" t="str">
        <f>+VLOOKUP($AJ717,Data_Validation!$A:$E,5,0)</f>
        <v>Oui</v>
      </c>
      <c r="AT717" s="904" t="str">
        <f t="shared" si="71"/>
        <v>G46110</v>
      </c>
      <c r="AU717" s="488" t="str">
        <f t="shared" si="72"/>
        <v>M-D'O CLIENT S.A.A.Q</v>
      </c>
      <c r="AV717" s="899">
        <f>IFERROR(INDEX(V717:AG717,1,MATCH(Parametres!$B$3,V$1:AG$1,0)-1)*IF(OR(C717="L",C717="S",C717="I"),-1,1),"")</f>
        <v>3091</v>
      </c>
      <c r="AW717" s="899">
        <f t="shared" si="73"/>
        <v>139</v>
      </c>
      <c r="AX717" s="899">
        <f>INDEX(V717:AG717,1,MATCH(Parametres!$B$3,V$1:AG$1,0))*IF(OR(C717="L",C717="S",C717="I"),-1,1)</f>
        <v>3230</v>
      </c>
      <c r="AY717" s="487" t="s">
        <v>337</v>
      </c>
      <c r="AZ717" s="487" t="str">
        <f>+VLOOKUP($AJ717,Data_Validation!$A:$E,5,0)</f>
        <v>Oui</v>
      </c>
    </row>
    <row r="718" spans="1:52" ht="15" customHeight="1">
      <c r="A718" s="706" t="s">
        <v>1148</v>
      </c>
      <c r="B718" s="706">
        <v>2026</v>
      </c>
      <c r="C718" s="706" t="s">
        <v>3355</v>
      </c>
      <c r="D718" s="706" t="s">
        <v>3356</v>
      </c>
      <c r="E718" s="706" t="s">
        <v>1151</v>
      </c>
      <c r="F718" s="706" t="s">
        <v>1149</v>
      </c>
      <c r="G718" s="706">
        <v>0</v>
      </c>
      <c r="H718" s="706">
        <v>0</v>
      </c>
      <c r="I718" s="706">
        <v>0</v>
      </c>
      <c r="J718" s="706">
        <v>0</v>
      </c>
      <c r="K718" s="706">
        <v>0</v>
      </c>
      <c r="L718" s="706">
        <v>0</v>
      </c>
      <c r="M718" s="706">
        <v>0</v>
      </c>
      <c r="N718" s="706">
        <v>0</v>
      </c>
      <c r="O718" s="706">
        <v>0</v>
      </c>
      <c r="P718" s="706">
        <v>0</v>
      </c>
      <c r="Q718" s="706">
        <v>0</v>
      </c>
      <c r="R718" s="706">
        <v>0</v>
      </c>
      <c r="S718" s="706">
        <v>0</v>
      </c>
      <c r="T718" s="706">
        <v>0</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905" t="str">
        <f t="shared" si="68"/>
        <v>G46111</v>
      </c>
      <c r="AK718" s="905" t="str">
        <f t="shared" si="69"/>
        <v>VTES M-O CLIENT FLOTTES</v>
      </c>
      <c r="AL718" s="905">
        <f>IFERROR(INDEX(G718:R718,1,MATCH(Parametres!$B$3,G$1:R$1,0)-1)*IF(OR(F718="L",F718="S",F718="I"),-1,1),"")</f>
        <v>0</v>
      </c>
      <c r="AM718" s="905">
        <f t="shared" si="70"/>
        <v>0</v>
      </c>
      <c r="AN718" s="905">
        <f>INDEX(G718:R718,1,MATCH(Parametres!$B$3,G$1:R$1,0))*IF(OR(F718="L",F718="S",F718="I"),-1,1)</f>
        <v>0</v>
      </c>
      <c r="AO718" s="487" t="e">
        <f>+VLOOKUP($AJ718,Data_Validation!$A:$D,1,0)</f>
        <v>#N/A</v>
      </c>
      <c r="AP718" s="487" t="e">
        <f>+VLOOKUP($AJ718,Data_Validation!$A:$D,3,0)</f>
        <v>#N/A</v>
      </c>
      <c r="AQ718" s="487" t="e">
        <f>+VLOOKUP($AJ718,Data_Validation!$A:$D,4,0)</f>
        <v>#N/A</v>
      </c>
      <c r="AR718" s="487" t="s">
        <v>299</v>
      </c>
      <c r="AS718" s="487" t="e">
        <f>+VLOOKUP($AJ718,Data_Validation!$A:$E,5,0)</f>
        <v>#N/A</v>
      </c>
      <c r="AT718" s="904" t="str">
        <f t="shared" si="71"/>
        <v>G46111</v>
      </c>
      <c r="AU718" s="488" t="str">
        <f t="shared" si="72"/>
        <v>VTES M-O CLIENT FLOTTES</v>
      </c>
      <c r="AV718" s="899">
        <f>IFERROR(INDEX(V718:AG718,1,MATCH(Parametres!$B$3,V$1:AG$1,0)-1)*IF(OR(C718="L",C718="S",C718="I"),-1,1),"")</f>
        <v>0</v>
      </c>
      <c r="AW718" s="899">
        <f t="shared" si="73"/>
        <v>0</v>
      </c>
      <c r="AX718" s="899">
        <f>INDEX(V718:AG718,1,MATCH(Parametres!$B$3,V$1:AG$1,0))*IF(OR(C718="L",C718="S",C718="I"),-1,1)</f>
        <v>0</v>
      </c>
      <c r="AY718" s="487" t="s">
        <v>337</v>
      </c>
      <c r="AZ718" s="487" t="e">
        <f>+VLOOKUP($AJ718,Data_Validation!$A:$E,5,0)</f>
        <v>#N/A</v>
      </c>
    </row>
    <row r="719" spans="1:52" ht="15" customHeight="1">
      <c r="A719" s="706" t="s">
        <v>1148</v>
      </c>
      <c r="B719" s="706">
        <v>2026</v>
      </c>
      <c r="C719" s="706" t="s">
        <v>2452</v>
      </c>
      <c r="D719" s="706" t="s">
        <v>3357</v>
      </c>
      <c r="E719" s="706" t="s">
        <v>1151</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G46120</v>
      </c>
      <c r="AK719" s="905" t="str">
        <f t="shared" si="69"/>
        <v>M-D'O.GARANTIE S.A.A.Q.</v>
      </c>
      <c r="AL719" s="905">
        <f>IFERROR(INDEX(G719:R719,1,MATCH(Parametres!$B$3,G$1:R$1,0)-1)*IF(OR(F719="L",F719="S",F719="I"),-1,1),"")</f>
        <v>0</v>
      </c>
      <c r="AM719" s="905">
        <f t="shared" si="70"/>
        <v>0</v>
      </c>
      <c r="AN719" s="905">
        <f>INDEX(G719:R719,1,MATCH(Parametres!$B$3,G$1:R$1,0))*IF(OR(F719="L",F719="S",F719="I"),-1,1)</f>
        <v>0</v>
      </c>
      <c r="AO719" s="487" t="str">
        <f>+VLOOKUP($AJ719,Data_Validation!$A:$D,1,0)</f>
        <v>G46120</v>
      </c>
      <c r="AP719" s="487" t="str">
        <f>+VLOOKUP($AJ719,Data_Validation!$A:$D,3,0)</f>
        <v>SAAQ</v>
      </c>
      <c r="AQ719" s="487" t="str">
        <f>+VLOOKUP($AJ719,Data_Validation!$A:$D,4,0)</f>
        <v>Inspection - Véhicules Interne</v>
      </c>
      <c r="AR719" s="487" t="s">
        <v>299</v>
      </c>
      <c r="AS719" s="487" t="str">
        <f>+VLOOKUP($AJ719,Data_Validation!$A:$E,5,0)</f>
        <v>Oui</v>
      </c>
      <c r="AT719" s="904" t="str">
        <f t="shared" si="71"/>
        <v>G46120</v>
      </c>
      <c r="AU719" s="488" t="str">
        <f t="shared" si="72"/>
        <v>M-D'O.GARANTIE S.A.A.Q.</v>
      </c>
      <c r="AV719" s="899">
        <f>IFERROR(INDEX(V719:AG719,1,MATCH(Parametres!$B$3,V$1:AG$1,0)-1)*IF(OR(C719="L",C719="S",C719="I"),-1,1),"")</f>
        <v>0</v>
      </c>
      <c r="AW719" s="899">
        <f t="shared" si="73"/>
        <v>0</v>
      </c>
      <c r="AX719" s="899">
        <f>INDEX(V719:AG719,1,MATCH(Parametres!$B$3,V$1:AG$1,0))*IF(OR(C719="L",C719="S",C719="I"),-1,1)</f>
        <v>0</v>
      </c>
      <c r="AY719" s="487" t="s">
        <v>337</v>
      </c>
      <c r="AZ719" s="487" t="str">
        <f>+VLOOKUP($AJ719,Data_Validation!$A:$E,5,0)</f>
        <v>Oui</v>
      </c>
    </row>
    <row r="720" spans="1:52" ht="15" customHeight="1">
      <c r="A720" s="706" t="s">
        <v>1148</v>
      </c>
      <c r="B720" s="706">
        <v>2026</v>
      </c>
      <c r="C720" s="706" t="s">
        <v>2454</v>
      </c>
      <c r="D720" s="706" t="s">
        <v>3358</v>
      </c>
      <c r="E720" s="706" t="s">
        <v>1151</v>
      </c>
      <c r="F720" s="706" t="s">
        <v>1149</v>
      </c>
      <c r="G720" s="706">
        <v>0</v>
      </c>
      <c r="H720" s="706">
        <v>0</v>
      </c>
      <c r="I720" s="706">
        <v>0</v>
      </c>
      <c r="J720" s="706">
        <v>0</v>
      </c>
      <c r="K720" s="706">
        <v>26312.5</v>
      </c>
      <c r="L720" s="706">
        <v>97132.5</v>
      </c>
      <c r="M720" s="706">
        <v>166657.5</v>
      </c>
      <c r="N720" s="706">
        <v>220535</v>
      </c>
      <c r="O720" s="706">
        <v>266187.5</v>
      </c>
      <c r="P720" s="706">
        <v>0</v>
      </c>
      <c r="Q720" s="706">
        <v>0</v>
      </c>
      <c r="R720" s="706">
        <v>0</v>
      </c>
      <c r="S720" s="706">
        <v>27566.880000000001</v>
      </c>
      <c r="T720" s="706">
        <v>27566.880000000001</v>
      </c>
      <c r="U720" s="706">
        <v>0</v>
      </c>
      <c r="V720" s="706">
        <v>0</v>
      </c>
      <c r="W720" s="706">
        <v>0</v>
      </c>
      <c r="X720" s="706">
        <v>0</v>
      </c>
      <c r="Y720" s="706">
        <v>0</v>
      </c>
      <c r="Z720" s="706">
        <v>158</v>
      </c>
      <c r="AA720" s="706">
        <v>595</v>
      </c>
      <c r="AB720" s="706">
        <v>988</v>
      </c>
      <c r="AC720" s="706">
        <v>1320</v>
      </c>
      <c r="AD720" s="706">
        <v>1572</v>
      </c>
      <c r="AE720" s="706">
        <v>0</v>
      </c>
      <c r="AF720" s="706">
        <v>0</v>
      </c>
      <c r="AG720" s="706">
        <v>0</v>
      </c>
      <c r="AH720" s="706">
        <v>165</v>
      </c>
      <c r="AI720" s="706">
        <v>165</v>
      </c>
      <c r="AJ720" s="905" t="str">
        <f t="shared" si="68"/>
        <v>G46140</v>
      </c>
      <c r="AK720" s="905" t="str">
        <f t="shared" si="69"/>
        <v>VTES - M.O LOURD -S.A,A.Q</v>
      </c>
      <c r="AL720" s="905">
        <f>IFERROR(INDEX(G720:R720,1,MATCH(Parametres!$B$3,G$1:R$1,0)-1)*IF(OR(F720="L",F720="S",F720="I"),-1,1),"")</f>
        <v>-166657.5</v>
      </c>
      <c r="AM720" s="905">
        <f t="shared" si="70"/>
        <v>-53877.5</v>
      </c>
      <c r="AN720" s="905">
        <f>INDEX(G720:R720,1,MATCH(Parametres!$B$3,G$1:R$1,0))*IF(OR(F720="L",F720="S",F720="I"),-1,1)</f>
        <v>-220535</v>
      </c>
      <c r="AO720" s="487" t="str">
        <f>+VLOOKUP($AJ720,Data_Validation!$A:$D,1,0)</f>
        <v>G46140</v>
      </c>
      <c r="AP720" s="487" t="str">
        <f>+VLOOKUP($AJ720,Data_Validation!$A:$D,3,0)</f>
        <v>SAAQ</v>
      </c>
      <c r="AQ720" s="487" t="str">
        <f>+VLOOKUP($AJ720,Data_Validation!$A:$D,4,0)</f>
        <v>Inspection - Véhicules Lourds</v>
      </c>
      <c r="AR720" s="487" t="s">
        <v>299</v>
      </c>
      <c r="AS720" s="487" t="str">
        <f>+VLOOKUP($AJ720,Data_Validation!$A:$E,5,0)</f>
        <v>Oui</v>
      </c>
      <c r="AT720" s="904" t="str">
        <f t="shared" si="71"/>
        <v>G46140</v>
      </c>
      <c r="AU720" s="488" t="str">
        <f t="shared" si="72"/>
        <v>VTES - M.O LOURD -S.A,A.Q</v>
      </c>
      <c r="AV720" s="899">
        <f>IFERROR(INDEX(V720:AG720,1,MATCH(Parametres!$B$3,V$1:AG$1,0)-1)*IF(OR(C720="L",C720="S",C720="I"),-1,1),"")</f>
        <v>988</v>
      </c>
      <c r="AW720" s="899">
        <f t="shared" si="73"/>
        <v>332</v>
      </c>
      <c r="AX720" s="899">
        <f>INDEX(V720:AG720,1,MATCH(Parametres!$B$3,V$1:AG$1,0))*IF(OR(C720="L",C720="S",C720="I"),-1,1)</f>
        <v>1320</v>
      </c>
      <c r="AY720" s="487" t="s">
        <v>337</v>
      </c>
      <c r="AZ720" s="487" t="str">
        <f>+VLOOKUP($AJ720,Data_Validation!$A:$E,5,0)</f>
        <v>Oui</v>
      </c>
    </row>
    <row r="721" spans="1:52" ht="15" customHeight="1">
      <c r="A721" s="706" t="s">
        <v>1148</v>
      </c>
      <c r="B721" s="706">
        <v>2026</v>
      </c>
      <c r="C721" s="706" t="s">
        <v>3359</v>
      </c>
      <c r="D721" s="706" t="s">
        <v>3360</v>
      </c>
      <c r="E721" s="706" t="s">
        <v>1151</v>
      </c>
      <c r="F721" s="706" t="s">
        <v>1149</v>
      </c>
      <c r="G721" s="706">
        <v>0</v>
      </c>
      <c r="H721" s="706">
        <v>0</v>
      </c>
      <c r="I721" s="706">
        <v>0</v>
      </c>
      <c r="J721" s="706">
        <v>0</v>
      </c>
      <c r="K721" s="706">
        <v>0</v>
      </c>
      <c r="L721" s="706">
        <v>0</v>
      </c>
      <c r="M721" s="706">
        <v>0</v>
      </c>
      <c r="N721" s="706">
        <v>0</v>
      </c>
      <c r="O721" s="706">
        <v>0</v>
      </c>
      <c r="P721" s="706">
        <v>0</v>
      </c>
      <c r="Q721" s="706">
        <v>0</v>
      </c>
      <c r="R721" s="706">
        <v>0</v>
      </c>
      <c r="S721" s="706">
        <v>0</v>
      </c>
      <c r="T721" s="706">
        <v>0</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905" t="str">
        <f t="shared" si="68"/>
        <v>G46150</v>
      </c>
      <c r="AK721" s="905" t="str">
        <f t="shared" si="69"/>
        <v>VTE M-O ELECTIQUE FLOTTE</v>
      </c>
      <c r="AL721" s="905">
        <f>IFERROR(INDEX(G721:R721,1,MATCH(Parametres!$B$3,G$1:R$1,0)-1)*IF(OR(F721="L",F721="S",F721="I"),-1,1),"")</f>
        <v>0</v>
      </c>
      <c r="AM721" s="905">
        <f t="shared" si="70"/>
        <v>0</v>
      </c>
      <c r="AN721" s="905">
        <f>INDEX(G721:R721,1,MATCH(Parametres!$B$3,G$1:R$1,0))*IF(OR(F721="L",F721="S",F721="I"),-1,1)</f>
        <v>0</v>
      </c>
      <c r="AO721" s="487" t="e">
        <f>+VLOOKUP($AJ721,Data_Validation!$A:$D,1,0)</f>
        <v>#N/A</v>
      </c>
      <c r="AP721" s="487" t="e">
        <f>+VLOOKUP($AJ721,Data_Validation!$A:$D,3,0)</f>
        <v>#N/A</v>
      </c>
      <c r="AQ721" s="487" t="e">
        <f>+VLOOKUP($AJ721,Data_Validation!$A:$D,4,0)</f>
        <v>#N/A</v>
      </c>
      <c r="AR721" s="487" t="s">
        <v>299</v>
      </c>
      <c r="AS721" s="487" t="e">
        <f>+VLOOKUP($AJ721,Data_Validation!$A:$E,5,0)</f>
        <v>#N/A</v>
      </c>
      <c r="AT721" s="904" t="str">
        <f t="shared" si="71"/>
        <v>G46150</v>
      </c>
      <c r="AU721" s="488" t="str">
        <f t="shared" si="72"/>
        <v>VTE M-O ELECTIQUE FLOTTE</v>
      </c>
      <c r="AV721" s="899">
        <f>IFERROR(INDEX(V721:AG721,1,MATCH(Parametres!$B$3,V$1:AG$1,0)-1)*IF(OR(C721="L",C721="S",C721="I"),-1,1),"")</f>
        <v>0</v>
      </c>
      <c r="AW721" s="899">
        <f t="shared" si="73"/>
        <v>0</v>
      </c>
      <c r="AX721" s="899">
        <f>INDEX(V721:AG721,1,MATCH(Parametres!$B$3,V$1:AG$1,0))*IF(OR(C721="L",C721="S",C721="I"),-1,1)</f>
        <v>0</v>
      </c>
      <c r="AY721" s="487" t="s">
        <v>337</v>
      </c>
      <c r="AZ721" s="487" t="e">
        <f>+VLOOKUP($AJ721,Data_Validation!$A:$E,5,0)</f>
        <v>#N/A</v>
      </c>
    </row>
    <row r="722" spans="1:52" ht="15" customHeight="1">
      <c r="A722" s="706" t="s">
        <v>1148</v>
      </c>
      <c r="B722" s="706">
        <v>2026</v>
      </c>
      <c r="C722" s="706" t="s">
        <v>2456</v>
      </c>
      <c r="D722" s="706" t="s">
        <v>2457</v>
      </c>
      <c r="E722" s="706" t="s">
        <v>1151</v>
      </c>
      <c r="F722" s="706" t="s">
        <v>1149</v>
      </c>
      <c r="G722" s="706">
        <v>48069.68</v>
      </c>
      <c r="H722" s="706">
        <v>98097.58</v>
      </c>
      <c r="I722" s="706">
        <v>168097.15</v>
      </c>
      <c r="J722" s="706">
        <v>218322.78</v>
      </c>
      <c r="K722" s="706">
        <v>249913.78</v>
      </c>
      <c r="L722" s="706">
        <v>320092.03000000003</v>
      </c>
      <c r="M722" s="706">
        <v>360350.33</v>
      </c>
      <c r="N722" s="706">
        <v>418498.88</v>
      </c>
      <c r="O722" s="706">
        <v>435455.08</v>
      </c>
      <c r="P722" s="706">
        <v>0</v>
      </c>
      <c r="Q722" s="706">
        <v>0</v>
      </c>
      <c r="R722" s="706">
        <v>0</v>
      </c>
      <c r="S722" s="706">
        <v>52312.36</v>
      </c>
      <c r="T722" s="706">
        <v>52312.36</v>
      </c>
      <c r="U722" s="706">
        <v>0</v>
      </c>
      <c r="V722" s="706">
        <v>274</v>
      </c>
      <c r="W722" s="706">
        <v>556</v>
      </c>
      <c r="X722" s="706">
        <v>912</v>
      </c>
      <c r="Y722" s="706">
        <v>1210</v>
      </c>
      <c r="Z722" s="706">
        <v>1439</v>
      </c>
      <c r="AA722" s="706">
        <v>1820</v>
      </c>
      <c r="AB722" s="706">
        <v>2069</v>
      </c>
      <c r="AC722" s="706">
        <v>2428</v>
      </c>
      <c r="AD722" s="706">
        <v>2563</v>
      </c>
      <c r="AE722" s="706">
        <v>0</v>
      </c>
      <c r="AF722" s="706">
        <v>0</v>
      </c>
      <c r="AG722" s="706">
        <v>0</v>
      </c>
      <c r="AH722" s="706">
        <v>304</v>
      </c>
      <c r="AI722" s="706">
        <v>304</v>
      </c>
      <c r="AJ722" s="905" t="str">
        <f t="shared" si="68"/>
        <v>G46200</v>
      </c>
      <c r="AK722" s="905" t="str">
        <f t="shared" si="69"/>
        <v>VTES-M.D.RECL.GARANTIE</v>
      </c>
      <c r="AL722" s="905">
        <f>IFERROR(INDEX(G722:R722,1,MATCH(Parametres!$B$3,G$1:R$1,0)-1)*IF(OR(F722="L",F722="S",F722="I"),-1,1),"")</f>
        <v>-360350.33</v>
      </c>
      <c r="AM722" s="905">
        <f t="shared" si="70"/>
        <v>-58148.549999999988</v>
      </c>
      <c r="AN722" s="905">
        <f>INDEX(G722:R722,1,MATCH(Parametres!$B$3,G$1:R$1,0))*IF(OR(F722="L",F722="S",F722="I"),-1,1)</f>
        <v>-418498.88</v>
      </c>
      <c r="AO722" s="487" t="str">
        <f>+VLOOKUP($AJ722,Data_Validation!$A:$D,1,0)</f>
        <v>G46200</v>
      </c>
      <c r="AP722" s="487" t="str">
        <f>+VLOOKUP($AJ722,Data_Validation!$A:$D,3,0)</f>
        <v>Service</v>
      </c>
      <c r="AQ722" s="487" t="str">
        <f>+VLOOKUP($AJ722,Data_Validation!$A:$D,4,0)</f>
        <v>M/O Garantie</v>
      </c>
      <c r="AR722" s="487" t="s">
        <v>299</v>
      </c>
      <c r="AS722" s="487" t="str">
        <f>+VLOOKUP($AJ722,Data_Validation!$A:$E,5,0)</f>
        <v>Oui</v>
      </c>
      <c r="AT722" s="904" t="str">
        <f t="shared" si="71"/>
        <v>G46200</v>
      </c>
      <c r="AU722" s="488" t="str">
        <f t="shared" si="72"/>
        <v>VTES-M.D.RECL.GARANTIE</v>
      </c>
      <c r="AV722" s="899">
        <f>IFERROR(INDEX(V722:AG722,1,MATCH(Parametres!$B$3,V$1:AG$1,0)-1)*IF(OR(C722="L",C722="S",C722="I"),-1,1),"")</f>
        <v>2069</v>
      </c>
      <c r="AW722" s="899">
        <f t="shared" si="73"/>
        <v>359</v>
      </c>
      <c r="AX722" s="899">
        <f>INDEX(V722:AG722,1,MATCH(Parametres!$B$3,V$1:AG$1,0))*IF(OR(C722="L",C722="S",C722="I"),-1,1)</f>
        <v>2428</v>
      </c>
      <c r="AY722" s="487" t="s">
        <v>337</v>
      </c>
      <c r="AZ722" s="487" t="str">
        <f>+VLOOKUP($AJ722,Data_Validation!$A:$E,5,0)</f>
        <v>Oui</v>
      </c>
    </row>
    <row r="723" spans="1:52" ht="15" customHeight="1">
      <c r="A723" s="706" t="s">
        <v>1148</v>
      </c>
      <c r="B723" s="706">
        <v>2026</v>
      </c>
      <c r="C723" s="706" t="s">
        <v>2458</v>
      </c>
      <c r="D723" s="706" t="s">
        <v>2459</v>
      </c>
      <c r="E723" s="706" t="s">
        <v>1151</v>
      </c>
      <c r="F723" s="706" t="s">
        <v>1149</v>
      </c>
      <c r="G723" s="706">
        <v>39339.53</v>
      </c>
      <c r="H723" s="706">
        <v>87940.91</v>
      </c>
      <c r="I723" s="706">
        <v>137067.01</v>
      </c>
      <c r="J723" s="706">
        <v>196363.11</v>
      </c>
      <c r="K723" s="706">
        <v>251577.99</v>
      </c>
      <c r="L723" s="706">
        <v>308265.09000000003</v>
      </c>
      <c r="M723" s="706">
        <v>355697.39</v>
      </c>
      <c r="N723" s="706">
        <v>402172.8</v>
      </c>
      <c r="O723" s="706">
        <v>425847.42</v>
      </c>
      <c r="P723" s="706">
        <v>0</v>
      </c>
      <c r="Q723" s="706">
        <v>0</v>
      </c>
      <c r="R723" s="706">
        <v>0</v>
      </c>
      <c r="S723" s="706">
        <v>50271.6</v>
      </c>
      <c r="T723" s="706">
        <v>50271.6</v>
      </c>
      <c r="U723" s="706">
        <v>0</v>
      </c>
      <c r="V723" s="706">
        <v>257</v>
      </c>
      <c r="W723" s="706">
        <v>582</v>
      </c>
      <c r="X723" s="706">
        <v>990</v>
      </c>
      <c r="Y723" s="706">
        <v>1433</v>
      </c>
      <c r="Z723" s="706">
        <v>1742</v>
      </c>
      <c r="AA723" s="706">
        <v>2068</v>
      </c>
      <c r="AB723" s="706">
        <v>2346</v>
      </c>
      <c r="AC723" s="706">
        <v>2577</v>
      </c>
      <c r="AD723" s="706">
        <v>2729</v>
      </c>
      <c r="AE723" s="706">
        <v>0</v>
      </c>
      <c r="AF723" s="706">
        <v>0</v>
      </c>
      <c r="AG723" s="706">
        <v>0</v>
      </c>
      <c r="AH723" s="706">
        <v>322</v>
      </c>
      <c r="AI723" s="706">
        <v>322</v>
      </c>
      <c r="AJ723" s="905" t="str">
        <f t="shared" si="68"/>
        <v>G46300</v>
      </c>
      <c r="AK723" s="905" t="str">
        <f t="shared" si="69"/>
        <v>VTES-M.D. INTERNE SERV.</v>
      </c>
      <c r="AL723" s="905">
        <f>IFERROR(INDEX(G723:R723,1,MATCH(Parametres!$B$3,G$1:R$1,0)-1)*IF(OR(F723="L",F723="S",F723="I"),-1,1),"")</f>
        <v>-355697.39</v>
      </c>
      <c r="AM723" s="905">
        <f t="shared" si="70"/>
        <v>-46475.409999999974</v>
      </c>
      <c r="AN723" s="905">
        <f>INDEX(G723:R723,1,MATCH(Parametres!$B$3,G$1:R$1,0))*IF(OR(F723="L",F723="S",F723="I"),-1,1)</f>
        <v>-402172.8</v>
      </c>
      <c r="AO723" s="487" t="str">
        <f>+VLOOKUP($AJ723,Data_Validation!$A:$D,1,0)</f>
        <v>G46300</v>
      </c>
      <c r="AP723" s="487" t="str">
        <f>+VLOOKUP($AJ723,Data_Validation!$A:$D,3,0)</f>
        <v>Service</v>
      </c>
      <c r="AQ723" s="487" t="str">
        <f>+VLOOKUP($AJ723,Data_Validation!$A:$D,4,0)</f>
        <v>M/O Interne</v>
      </c>
      <c r="AR723" s="487" t="s">
        <v>299</v>
      </c>
      <c r="AS723" s="487" t="str">
        <f>+VLOOKUP($AJ723,Data_Validation!$A:$E,5,0)</f>
        <v>Oui</v>
      </c>
      <c r="AT723" s="904" t="str">
        <f t="shared" si="71"/>
        <v>G46300</v>
      </c>
      <c r="AU723" s="488" t="str">
        <f t="shared" si="72"/>
        <v>VTES-M.D. INTERNE SERV.</v>
      </c>
      <c r="AV723" s="899">
        <f>IFERROR(INDEX(V723:AG723,1,MATCH(Parametres!$B$3,V$1:AG$1,0)-1)*IF(OR(C723="L",C723="S",C723="I"),-1,1),"")</f>
        <v>2346</v>
      </c>
      <c r="AW723" s="899">
        <f t="shared" si="73"/>
        <v>231</v>
      </c>
      <c r="AX723" s="899">
        <f>INDEX(V723:AG723,1,MATCH(Parametres!$B$3,V$1:AG$1,0))*IF(OR(C723="L",C723="S",C723="I"),-1,1)</f>
        <v>2577</v>
      </c>
      <c r="AY723" s="487" t="s">
        <v>337</v>
      </c>
      <c r="AZ723" s="487" t="str">
        <f>+VLOOKUP($AJ723,Data_Validation!$A:$E,5,0)</f>
        <v>Oui</v>
      </c>
    </row>
    <row r="724" spans="1:52" ht="15" customHeight="1">
      <c r="A724" s="706" t="s">
        <v>1148</v>
      </c>
      <c r="B724" s="706">
        <v>2026</v>
      </c>
      <c r="C724" s="706" t="s">
        <v>3361</v>
      </c>
      <c r="D724" s="706" t="s">
        <v>3362</v>
      </c>
      <c r="E724" s="706" t="s">
        <v>1151</v>
      </c>
      <c r="F724" s="706" t="s">
        <v>1149</v>
      </c>
      <c r="G724" s="706">
        <v>0</v>
      </c>
      <c r="H724" s="706">
        <v>0</v>
      </c>
      <c r="I724" s="706">
        <v>0</v>
      </c>
      <c r="J724" s="706">
        <v>0</v>
      </c>
      <c r="K724" s="706">
        <v>0</v>
      </c>
      <c r="L724" s="706">
        <v>0</v>
      </c>
      <c r="M724" s="706">
        <v>0</v>
      </c>
      <c r="N724" s="706">
        <v>0</v>
      </c>
      <c r="O724" s="706">
        <v>1988</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1</v>
      </c>
      <c r="AE724" s="706">
        <v>0</v>
      </c>
      <c r="AF724" s="706">
        <v>0</v>
      </c>
      <c r="AG724" s="706">
        <v>0</v>
      </c>
      <c r="AH724" s="706">
        <v>0</v>
      </c>
      <c r="AI724" s="706">
        <v>0</v>
      </c>
      <c r="AJ724" s="905" t="str">
        <f t="shared" si="68"/>
        <v>G46305</v>
      </c>
      <c r="AK724" s="905" t="str">
        <f t="shared" si="69"/>
        <v>VTE ESTHETIQUE INTERNE</v>
      </c>
      <c r="AL724" s="905">
        <f>IFERROR(INDEX(G724:R724,1,MATCH(Parametres!$B$3,G$1:R$1,0)-1)*IF(OR(F724="L",F724="S",F724="I"),-1,1),"")</f>
        <v>0</v>
      </c>
      <c r="AM724" s="905">
        <f t="shared" si="70"/>
        <v>0</v>
      </c>
      <c r="AN724" s="905">
        <f>INDEX(G724:R724,1,MATCH(Parametres!$B$3,G$1:R$1,0))*IF(OR(F724="L",F724="S",F724="I"),-1,1)</f>
        <v>0</v>
      </c>
      <c r="AO724" s="487" t="e">
        <f>+VLOOKUP($AJ724,Data_Validation!$A:$D,1,0)</f>
        <v>#N/A</v>
      </c>
      <c r="AP724" s="487" t="e">
        <f>+VLOOKUP($AJ724,Data_Validation!$A:$D,3,0)</f>
        <v>#N/A</v>
      </c>
      <c r="AQ724" s="487" t="e">
        <f>+VLOOKUP($AJ724,Data_Validation!$A:$D,4,0)</f>
        <v>#N/A</v>
      </c>
      <c r="AR724" s="487" t="s">
        <v>299</v>
      </c>
      <c r="AS724" s="487" t="e">
        <f>+VLOOKUP($AJ724,Data_Validation!$A:$E,5,0)</f>
        <v>#N/A</v>
      </c>
      <c r="AT724" s="904" t="str">
        <f t="shared" si="71"/>
        <v>G46305</v>
      </c>
      <c r="AU724" s="488" t="str">
        <f t="shared" si="72"/>
        <v>VTE ESTHETIQUE INTERNE</v>
      </c>
      <c r="AV724" s="899">
        <f>IFERROR(INDEX(V724:AG724,1,MATCH(Parametres!$B$3,V$1:AG$1,0)-1)*IF(OR(C724="L",C724="S",C724="I"),-1,1),"")</f>
        <v>0</v>
      </c>
      <c r="AW724" s="899">
        <f t="shared" si="73"/>
        <v>0</v>
      </c>
      <c r="AX724" s="899">
        <f>INDEX(V724:AG724,1,MATCH(Parametres!$B$3,V$1:AG$1,0))*IF(OR(C724="L",C724="S",C724="I"),-1,1)</f>
        <v>0</v>
      </c>
      <c r="AY724" s="487" t="s">
        <v>337</v>
      </c>
      <c r="AZ724" s="487" t="e">
        <f>+VLOOKUP($AJ724,Data_Validation!$A:$E,5,0)</f>
        <v>#N/A</v>
      </c>
    </row>
    <row r="725" spans="1:52" ht="15" customHeight="1">
      <c r="A725" s="706" t="s">
        <v>1148</v>
      </c>
      <c r="B725" s="706">
        <v>2026</v>
      </c>
      <c r="C725" s="706" t="s">
        <v>2460</v>
      </c>
      <c r="D725" s="706" t="s">
        <v>3363</v>
      </c>
      <c r="E725" s="706" t="s">
        <v>1151</v>
      </c>
      <c r="F725" s="706" t="s">
        <v>1149</v>
      </c>
      <c r="G725" s="706">
        <v>1950</v>
      </c>
      <c r="H725" s="706">
        <v>2250</v>
      </c>
      <c r="I725" s="706">
        <v>2550</v>
      </c>
      <c r="J725" s="706">
        <v>2700</v>
      </c>
      <c r="K725" s="706">
        <v>3090</v>
      </c>
      <c r="L725" s="706">
        <v>3090</v>
      </c>
      <c r="M725" s="706">
        <v>3720.5</v>
      </c>
      <c r="N725" s="706">
        <v>4470.5</v>
      </c>
      <c r="O725" s="706">
        <v>4470.5</v>
      </c>
      <c r="P725" s="706">
        <v>0</v>
      </c>
      <c r="Q725" s="706">
        <v>0</v>
      </c>
      <c r="R725" s="706">
        <v>0</v>
      </c>
      <c r="S725" s="706">
        <v>558.80999999999995</v>
      </c>
      <c r="T725" s="706">
        <v>558.80999999999995</v>
      </c>
      <c r="U725" s="706">
        <v>0</v>
      </c>
      <c r="V725" s="706">
        <v>13</v>
      </c>
      <c r="W725" s="706">
        <v>15</v>
      </c>
      <c r="X725" s="706">
        <v>17</v>
      </c>
      <c r="Y725" s="706">
        <v>18</v>
      </c>
      <c r="Z725" s="706">
        <v>21</v>
      </c>
      <c r="AA725" s="706">
        <v>21</v>
      </c>
      <c r="AB725" s="706">
        <v>26</v>
      </c>
      <c r="AC725" s="706">
        <v>31</v>
      </c>
      <c r="AD725" s="706">
        <v>31</v>
      </c>
      <c r="AE725" s="706">
        <v>0</v>
      </c>
      <c r="AF725" s="706">
        <v>0</v>
      </c>
      <c r="AG725" s="706">
        <v>0</v>
      </c>
      <c r="AH725" s="706">
        <v>4</v>
      </c>
      <c r="AI725" s="706">
        <v>4</v>
      </c>
      <c r="AJ725" s="905" t="str">
        <f t="shared" si="68"/>
        <v>G46320</v>
      </c>
      <c r="AK725" s="905" t="str">
        <f t="shared" si="69"/>
        <v>VTES-MO INTERN S.A.A.Q.</v>
      </c>
      <c r="AL725" s="905">
        <f>IFERROR(INDEX(G725:R725,1,MATCH(Parametres!$B$3,G$1:R$1,0)-1)*IF(OR(F725="L",F725="S",F725="I"),-1,1),"")</f>
        <v>-3720.5</v>
      </c>
      <c r="AM725" s="905">
        <f t="shared" si="70"/>
        <v>-750</v>
      </c>
      <c r="AN725" s="905">
        <f>INDEX(G725:R725,1,MATCH(Parametres!$B$3,G$1:R$1,0))*IF(OR(F725="L",F725="S",F725="I"),-1,1)</f>
        <v>-4470.5</v>
      </c>
      <c r="AO725" s="487" t="str">
        <f>+VLOOKUP($AJ725,Data_Validation!$A:$D,1,0)</f>
        <v>G46320</v>
      </c>
      <c r="AP725" s="487" t="str">
        <f>+VLOOKUP($AJ725,Data_Validation!$A:$D,3,0)</f>
        <v>SAAQ</v>
      </c>
      <c r="AQ725" s="487" t="str">
        <f>+VLOOKUP($AJ725,Data_Validation!$A:$D,4,0)</f>
        <v>Inspection - Véhicules Interne</v>
      </c>
      <c r="AR725" s="487" t="s">
        <v>299</v>
      </c>
      <c r="AS725" s="487" t="str">
        <f>+VLOOKUP($AJ725,Data_Validation!$A:$E,5,0)</f>
        <v>Oui</v>
      </c>
      <c r="AT725" s="904" t="str">
        <f t="shared" si="71"/>
        <v>G46320</v>
      </c>
      <c r="AU725" s="488" t="str">
        <f t="shared" si="72"/>
        <v>VTES-MO INTERN S.A.A.Q.</v>
      </c>
      <c r="AV725" s="899">
        <f>IFERROR(INDEX(V725:AG725,1,MATCH(Parametres!$B$3,V$1:AG$1,0)-1)*IF(OR(C725="L",C725="S",C725="I"),-1,1),"")</f>
        <v>26</v>
      </c>
      <c r="AW725" s="899">
        <f t="shared" si="73"/>
        <v>5</v>
      </c>
      <c r="AX725" s="899">
        <f>INDEX(V725:AG725,1,MATCH(Parametres!$B$3,V$1:AG$1,0))*IF(OR(C725="L",C725="S",C725="I"),-1,1)</f>
        <v>31</v>
      </c>
      <c r="AY725" s="487" t="s">
        <v>337</v>
      </c>
      <c r="AZ725" s="487" t="str">
        <f>+VLOOKUP($AJ725,Data_Validation!$A:$E,5,0)</f>
        <v>Oui</v>
      </c>
    </row>
    <row r="726" spans="1:52" ht="15" customHeight="1">
      <c r="A726" s="706" t="s">
        <v>1148</v>
      </c>
      <c r="B726" s="706">
        <v>2026</v>
      </c>
      <c r="C726" s="706" t="s">
        <v>2462</v>
      </c>
      <c r="D726" s="706" t="s">
        <v>2463</v>
      </c>
      <c r="E726" s="706" t="s">
        <v>1151</v>
      </c>
      <c r="F726" s="706" t="s">
        <v>1149</v>
      </c>
      <c r="G726" s="706">
        <v>22291</v>
      </c>
      <c r="H726" s="706">
        <v>51476.32</v>
      </c>
      <c r="I726" s="706">
        <v>93858.59</v>
      </c>
      <c r="J726" s="706">
        <v>115408.32000000001</v>
      </c>
      <c r="K726" s="706">
        <v>135246.35999999999</v>
      </c>
      <c r="L726" s="706">
        <v>156298.54</v>
      </c>
      <c r="M726" s="706">
        <v>171043.12</v>
      </c>
      <c r="N726" s="706">
        <v>190097.4</v>
      </c>
      <c r="O726" s="706">
        <v>198668.76</v>
      </c>
      <c r="P726" s="706">
        <v>0</v>
      </c>
      <c r="Q726" s="706">
        <v>0</v>
      </c>
      <c r="R726" s="706">
        <v>0</v>
      </c>
      <c r="S726" s="706">
        <v>23762.18</v>
      </c>
      <c r="T726" s="706">
        <v>23762.18</v>
      </c>
      <c r="U726" s="706">
        <v>0</v>
      </c>
      <c r="V726" s="706">
        <v>149</v>
      </c>
      <c r="W726" s="706">
        <v>337</v>
      </c>
      <c r="X726" s="706">
        <v>620</v>
      </c>
      <c r="Y726" s="706">
        <v>762</v>
      </c>
      <c r="Z726" s="706">
        <v>894</v>
      </c>
      <c r="AA726" s="706">
        <v>1036</v>
      </c>
      <c r="AB726" s="706">
        <v>1136</v>
      </c>
      <c r="AC726" s="706">
        <v>1271</v>
      </c>
      <c r="AD726" s="706">
        <v>1329</v>
      </c>
      <c r="AE726" s="706">
        <v>0</v>
      </c>
      <c r="AF726" s="706">
        <v>0</v>
      </c>
      <c r="AG726" s="706">
        <v>0</v>
      </c>
      <c r="AH726" s="706">
        <v>159</v>
      </c>
      <c r="AI726" s="706">
        <v>159</v>
      </c>
      <c r="AJ726" s="905" t="str">
        <f t="shared" si="68"/>
        <v>G46400</v>
      </c>
      <c r="AK726" s="905" t="str">
        <f t="shared" si="69"/>
        <v>VTES-M.D. INSPECTION</v>
      </c>
      <c r="AL726" s="905">
        <f>IFERROR(INDEX(G726:R726,1,MATCH(Parametres!$B$3,G$1:R$1,0)-1)*IF(OR(F726="L",F726="S",F726="I"),-1,1),"")</f>
        <v>-171043.12</v>
      </c>
      <c r="AM726" s="905">
        <f t="shared" si="70"/>
        <v>-19054.28</v>
      </c>
      <c r="AN726" s="905">
        <f>INDEX(G726:R726,1,MATCH(Parametres!$B$3,G$1:R$1,0))*IF(OR(F726="L",F726="S",F726="I"),-1,1)</f>
        <v>-190097.4</v>
      </c>
      <c r="AO726" s="487" t="str">
        <f>+VLOOKUP($AJ726,Data_Validation!$A:$D,1,0)</f>
        <v>G46400</v>
      </c>
      <c r="AP726" s="487" t="str">
        <f>+VLOOKUP($AJ726,Data_Validation!$A:$D,3,0)</f>
        <v>Service</v>
      </c>
      <c r="AQ726" s="487" t="str">
        <f>+VLOOKUP($AJ726,Data_Validation!$A:$D,4,0)</f>
        <v>M/O Interne</v>
      </c>
      <c r="AR726" s="487" t="s">
        <v>299</v>
      </c>
      <c r="AS726" s="487" t="str">
        <f>+VLOOKUP($AJ726,Data_Validation!$A:$E,5,0)</f>
        <v>Oui</v>
      </c>
      <c r="AT726" s="904" t="str">
        <f t="shared" si="71"/>
        <v>G46400</v>
      </c>
      <c r="AU726" s="488" t="str">
        <f t="shared" si="72"/>
        <v>VTES-M.D. INSPECTION</v>
      </c>
      <c r="AV726" s="899">
        <f>IFERROR(INDEX(V726:AG726,1,MATCH(Parametres!$B$3,V$1:AG$1,0)-1)*IF(OR(C726="L",C726="S",C726="I"),-1,1),"")</f>
        <v>1136</v>
      </c>
      <c r="AW726" s="899">
        <f t="shared" si="73"/>
        <v>135</v>
      </c>
      <c r="AX726" s="899">
        <f>INDEX(V726:AG726,1,MATCH(Parametres!$B$3,V$1:AG$1,0))*IF(OR(C726="L",C726="S",C726="I"),-1,1)</f>
        <v>1271</v>
      </c>
      <c r="AY726" s="487" t="s">
        <v>337</v>
      </c>
      <c r="AZ726" s="487" t="str">
        <f>+VLOOKUP($AJ726,Data_Validation!$A:$E,5,0)</f>
        <v>Oui</v>
      </c>
    </row>
    <row r="727" spans="1:52" ht="15" customHeight="1">
      <c r="A727" s="706" t="s">
        <v>1148</v>
      </c>
      <c r="B727" s="706">
        <v>2026</v>
      </c>
      <c r="C727" s="706" t="s">
        <v>2464</v>
      </c>
      <c r="D727" s="706" t="s">
        <v>2465</v>
      </c>
      <c r="E727" s="706" t="s">
        <v>1151</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G46420</v>
      </c>
      <c r="AK727" s="905" t="str">
        <f t="shared" si="69"/>
        <v>VTES-MO PDI CAM MOYEN</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G46420</v>
      </c>
      <c r="AU727" s="488" t="str">
        <f t="shared" si="72"/>
        <v>VTES-MO PDI CAM MOYEN</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customHeight="1">
      <c r="A728" s="706" t="s">
        <v>1148</v>
      </c>
      <c r="B728" s="706">
        <v>2026</v>
      </c>
      <c r="C728" s="706" t="s">
        <v>2466</v>
      </c>
      <c r="D728" s="706" t="s">
        <v>2467</v>
      </c>
      <c r="E728" s="706" t="s">
        <v>333</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G46500</v>
      </c>
      <c r="AK728" s="905" t="str">
        <f t="shared" ref="AK728:AK791" si="75">D728</f>
        <v>*TEMPS PERDU SERVICE</v>
      </c>
      <c r="AL728" s="905">
        <f>IFERROR(INDEX(G728:R728,1,MATCH(Parametres!$B$3,G$1:R$1,0)-1)*IF(OR(F728="L",F728="S",F728="I"),-1,1),"")</f>
        <v>0</v>
      </c>
      <c r="AM728" s="905">
        <f t="shared" ref="AM728:AM791" si="76">AN728-AL728</f>
        <v>0</v>
      </c>
      <c r="AN728" s="905">
        <f>INDEX(G728:R728,1,MATCH(Parametres!$B$3,G$1:R$1,0))*IF(OR(F728="L",F728="S",F728="I"),-1,1)</f>
        <v>0</v>
      </c>
      <c r="AO728" s="487" t="str">
        <f>+VLOOKUP($AJ728,Data_Validation!$A:$D,1,0)</f>
        <v>G46500</v>
      </c>
      <c r="AP728" s="487">
        <f>+VLOOKUP($AJ728,Data_Validation!$A:$D,3,0)</f>
        <v>0</v>
      </c>
      <c r="AQ728" s="487">
        <f>+VLOOKUP($AJ728,Data_Validation!$A:$D,4,0)</f>
        <v>0</v>
      </c>
      <c r="AR728" s="487" t="s">
        <v>299</v>
      </c>
      <c r="AS728" s="487">
        <f>+VLOOKUP($AJ728,Data_Validation!$A:$E,5,0)</f>
        <v>0</v>
      </c>
      <c r="AT728" s="904" t="str">
        <f t="shared" ref="AT728:AT791" si="77">C728</f>
        <v>G46500</v>
      </c>
      <c r="AU728" s="488" t="str">
        <f t="shared" ref="AU728:AU791" si="78">D728</f>
        <v>*TEMPS PERDU SERVICE</v>
      </c>
      <c r="AV728" s="899">
        <f>IFERROR(INDEX(V728:AG728,1,MATCH(Parametres!$B$3,V$1:AG$1,0)-1)*IF(OR(C728="L",C728="S",C728="I"),-1,1),"")</f>
        <v>0</v>
      </c>
      <c r="AW728" s="899">
        <f t="shared" ref="AW728:AW791" si="79">AX728-AV728</f>
        <v>0</v>
      </c>
      <c r="AX728" s="899">
        <f>INDEX(V728:AG728,1,MATCH(Parametres!$B$3,V$1:AG$1,0))*IF(OR(C728="L",C728="S",C728="I"),-1,1)</f>
        <v>0</v>
      </c>
      <c r="AY728" s="487" t="s">
        <v>337</v>
      </c>
      <c r="AZ728" s="487">
        <f>+VLOOKUP($AJ728,Data_Validation!$A:$E,5,0)</f>
        <v>0</v>
      </c>
    </row>
    <row r="729" spans="1:52" ht="15" customHeight="1">
      <c r="A729" s="706" t="s">
        <v>1148</v>
      </c>
      <c r="B729" s="706">
        <v>2026</v>
      </c>
      <c r="C729" s="706" t="s">
        <v>3364</v>
      </c>
      <c r="D729" s="706" t="s">
        <v>3365</v>
      </c>
      <c r="E729" s="706" t="s">
        <v>333</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G46507</v>
      </c>
      <c r="AK729" s="905" t="str">
        <f t="shared" si="75"/>
        <v>*TEMPS PERDU SAAQ</v>
      </c>
      <c r="AL729" s="905">
        <f>IFERROR(INDEX(G729:R729,1,MATCH(Parametres!$B$3,G$1:R$1,0)-1)*IF(OR(F729="L",F729="S",F729="I"),-1,1),"")</f>
        <v>0</v>
      </c>
      <c r="AM729" s="905">
        <f t="shared" si="76"/>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77"/>
        <v>G46507</v>
      </c>
      <c r="AU729" s="488" t="str">
        <f t="shared" si="78"/>
        <v>*TEMPS PERDU SAAQ</v>
      </c>
      <c r="AV729" s="899">
        <f>IFERROR(INDEX(V729:AG729,1,MATCH(Parametres!$B$3,V$1:AG$1,0)-1)*IF(OR(C729="L",C729="S",C729="I"),-1,1),"")</f>
        <v>0</v>
      </c>
      <c r="AW729" s="899">
        <f t="shared" si="79"/>
        <v>0</v>
      </c>
      <c r="AX729" s="899">
        <f>INDEX(V729:AG729,1,MATCH(Parametres!$B$3,V$1:AG$1,0))*IF(OR(C729="L",C729="S",C729="I"),-1,1)</f>
        <v>0</v>
      </c>
      <c r="AY729" s="487" t="s">
        <v>337</v>
      </c>
      <c r="AZ729" s="487" t="e">
        <f>+VLOOKUP($AJ729,Data_Validation!$A:$E,5,0)</f>
        <v>#N/A</v>
      </c>
    </row>
    <row r="730" spans="1:52" ht="15" customHeight="1">
      <c r="A730" s="706" t="s">
        <v>1148</v>
      </c>
      <c r="B730" s="706">
        <v>2026</v>
      </c>
      <c r="C730" s="706" t="s">
        <v>2468</v>
      </c>
      <c r="D730" s="706" t="s">
        <v>2469</v>
      </c>
      <c r="E730" s="706" t="s">
        <v>1151</v>
      </c>
      <c r="F730" s="706" t="s">
        <v>1149</v>
      </c>
      <c r="G730" s="706">
        <v>4849.09</v>
      </c>
      <c r="H730" s="706">
        <v>20619.18</v>
      </c>
      <c r="I730" s="706">
        <v>38598.06</v>
      </c>
      <c r="J730" s="706">
        <v>48780.08</v>
      </c>
      <c r="K730" s="706">
        <v>63022.97</v>
      </c>
      <c r="L730" s="706">
        <v>74558.77</v>
      </c>
      <c r="M730" s="706">
        <v>84699.56</v>
      </c>
      <c r="N730" s="706">
        <v>101547.02</v>
      </c>
      <c r="O730" s="706">
        <v>108364.48</v>
      </c>
      <c r="P730" s="706">
        <v>0</v>
      </c>
      <c r="Q730" s="706">
        <v>0</v>
      </c>
      <c r="R730" s="706">
        <v>0</v>
      </c>
      <c r="S730" s="706">
        <v>12693.38</v>
      </c>
      <c r="T730" s="706">
        <v>12693.38</v>
      </c>
      <c r="U730" s="706">
        <v>0</v>
      </c>
      <c r="V730" s="706">
        <v>19</v>
      </c>
      <c r="W730" s="706">
        <v>56</v>
      </c>
      <c r="X730" s="706">
        <v>90</v>
      </c>
      <c r="Y730" s="706">
        <v>127</v>
      </c>
      <c r="Z730" s="706">
        <v>168</v>
      </c>
      <c r="AA730" s="706">
        <v>207</v>
      </c>
      <c r="AB730" s="706">
        <v>241</v>
      </c>
      <c r="AC730" s="706">
        <v>273</v>
      </c>
      <c r="AD730" s="706">
        <v>291</v>
      </c>
      <c r="AE730" s="706">
        <v>0</v>
      </c>
      <c r="AF730" s="706">
        <v>0</v>
      </c>
      <c r="AG730" s="706">
        <v>0</v>
      </c>
      <c r="AH730" s="706">
        <v>34</v>
      </c>
      <c r="AI730" s="706">
        <v>34</v>
      </c>
      <c r="AJ730" s="905" t="str">
        <f t="shared" si="74"/>
        <v>G46600</v>
      </c>
      <c r="AK730" s="905" t="str">
        <f t="shared" si="75"/>
        <v>VTES-REPARAT.SOUS-TRAITES</v>
      </c>
      <c r="AL730" s="905">
        <f>IFERROR(INDEX(G730:R730,1,MATCH(Parametres!$B$3,G$1:R$1,0)-1)*IF(OR(F730="L",F730="S",F730="I"),-1,1),"")</f>
        <v>-84699.56</v>
      </c>
      <c r="AM730" s="905">
        <f t="shared" si="76"/>
        <v>-16847.460000000006</v>
      </c>
      <c r="AN730" s="905">
        <f>INDEX(G730:R730,1,MATCH(Parametres!$B$3,G$1:R$1,0))*IF(OR(F730="L",F730="S",F730="I"),-1,1)</f>
        <v>-101547.02</v>
      </c>
      <c r="AO730" s="487" t="str">
        <f>+VLOOKUP($AJ730,Data_Validation!$A:$D,1,0)</f>
        <v>G46600</v>
      </c>
      <c r="AP730" s="487" t="str">
        <f>+VLOOKUP($AJ730,Data_Validation!$A:$D,3,0)</f>
        <v>Service</v>
      </c>
      <c r="AQ730" s="487" t="str">
        <f>+VLOOKUP($AJ730,Data_Validation!$A:$D,4,0)</f>
        <v>Sous-traitement</v>
      </c>
      <c r="AR730" s="487" t="s">
        <v>299</v>
      </c>
      <c r="AS730" s="487" t="str">
        <f>+VLOOKUP($AJ730,Data_Validation!$A:$E,5,0)</f>
        <v>Oui</v>
      </c>
      <c r="AT730" s="904" t="str">
        <f t="shared" si="77"/>
        <v>G46600</v>
      </c>
      <c r="AU730" s="488" t="str">
        <f t="shared" si="78"/>
        <v>VTES-REPARAT.SOUS-TRAITES</v>
      </c>
      <c r="AV730" s="899">
        <f>IFERROR(INDEX(V730:AG730,1,MATCH(Parametres!$B$3,V$1:AG$1,0)-1)*IF(OR(C730="L",C730="S",C730="I"),-1,1),"")</f>
        <v>241</v>
      </c>
      <c r="AW730" s="899">
        <f t="shared" si="79"/>
        <v>32</v>
      </c>
      <c r="AX730" s="899">
        <f>INDEX(V730:AG730,1,MATCH(Parametres!$B$3,V$1:AG$1,0))*IF(OR(C730="L",C730="S",C730="I"),-1,1)</f>
        <v>273</v>
      </c>
      <c r="AY730" s="487" t="s">
        <v>337</v>
      </c>
      <c r="AZ730" s="487" t="str">
        <f>+VLOOKUP($AJ730,Data_Validation!$A:$E,5,0)</f>
        <v>Oui</v>
      </c>
    </row>
    <row r="731" spans="1:52" ht="15" customHeight="1">
      <c r="A731" s="706" t="s">
        <v>1148</v>
      </c>
      <c r="B731" s="706">
        <v>2026</v>
      </c>
      <c r="C731" s="706" t="s">
        <v>2470</v>
      </c>
      <c r="D731" s="706" t="s">
        <v>3134</v>
      </c>
      <c r="E731" s="706" t="s">
        <v>1151</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G46610</v>
      </c>
      <c r="AK731" s="905" t="str">
        <f t="shared" si="75"/>
        <v>VTES-SOUS-TRAITANCE SAAQ</v>
      </c>
      <c r="AL731" s="905">
        <f>IFERROR(INDEX(G731:R731,1,MATCH(Parametres!$B$3,G$1:R$1,0)-1)*IF(OR(F731="L",F731="S",F731="I"),-1,1),"")</f>
        <v>0</v>
      </c>
      <c r="AM731" s="905">
        <f t="shared" si="76"/>
        <v>0</v>
      </c>
      <c r="AN731" s="905">
        <f>INDEX(G731:R731,1,MATCH(Parametres!$B$3,G$1:R$1,0))*IF(OR(F731="L",F731="S",F731="I"),-1,1)</f>
        <v>0</v>
      </c>
      <c r="AO731" s="487" t="str">
        <f>+VLOOKUP($AJ731,Data_Validation!$A:$D,1,0)</f>
        <v>G46610</v>
      </c>
      <c r="AP731" s="487" t="str">
        <f>+VLOOKUP($AJ731,Data_Validation!$A:$D,3,0)</f>
        <v>SAAQ</v>
      </c>
      <c r="AQ731" s="487" t="str">
        <f>+VLOOKUP($AJ731,Data_Validation!$A:$D,4,0)</f>
        <v>Inspection - Véhicules Interne</v>
      </c>
      <c r="AR731" s="487" t="s">
        <v>299</v>
      </c>
      <c r="AS731" s="487" t="str">
        <f>+VLOOKUP($AJ731,Data_Validation!$A:$E,5,0)</f>
        <v>Oui</v>
      </c>
      <c r="AT731" s="904" t="str">
        <f t="shared" si="77"/>
        <v>G46610</v>
      </c>
      <c r="AU731" s="488" t="str">
        <f t="shared" si="78"/>
        <v>VTES-SOUS-TRAITANCE SAAQ</v>
      </c>
      <c r="AV731" s="899">
        <f>IFERROR(INDEX(V731:AG731,1,MATCH(Parametres!$B$3,V$1:AG$1,0)-1)*IF(OR(C731="L",C731="S",C731="I"),-1,1),"")</f>
        <v>0</v>
      </c>
      <c r="AW731" s="899">
        <f t="shared" si="79"/>
        <v>0</v>
      </c>
      <c r="AX731" s="899">
        <f>INDEX(V731:AG731,1,MATCH(Parametres!$B$3,V$1:AG$1,0))*IF(OR(C731="L",C731="S",C731="I"),-1,1)</f>
        <v>0</v>
      </c>
      <c r="AY731" s="487" t="s">
        <v>337</v>
      </c>
      <c r="AZ731" s="487" t="str">
        <f>+VLOOKUP($AJ731,Data_Validation!$A:$E,5,0)</f>
        <v>Oui</v>
      </c>
    </row>
    <row r="732" spans="1:52" ht="15" customHeight="1">
      <c r="A732" s="706" t="s">
        <v>1148</v>
      </c>
      <c r="B732" s="706">
        <v>2026</v>
      </c>
      <c r="C732" s="706" t="s">
        <v>2472</v>
      </c>
      <c r="D732" s="706" t="s">
        <v>2473</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G46611</v>
      </c>
      <c r="AK732" s="905" t="str">
        <f t="shared" si="75"/>
        <v>SUPER VITRE VENTE SUBLET</v>
      </c>
      <c r="AL732" s="905">
        <f>IFERROR(INDEX(G732:R732,1,MATCH(Parametres!$B$3,G$1:R$1,0)-1)*IF(OR(F732="L",F732="S",F732="I"),-1,1),"")</f>
        <v>0</v>
      </c>
      <c r="AM732" s="905">
        <f t="shared" si="76"/>
        <v>0</v>
      </c>
      <c r="AN732" s="905">
        <f>INDEX(G732:R732,1,MATCH(Parametres!$B$3,G$1:R$1,0))*IF(OR(F732="L",F732="S",F732="I"),-1,1)</f>
        <v>0</v>
      </c>
      <c r="AO732" s="487" t="e">
        <f>+VLOOKUP($AJ732,Data_Validation!$A:$D,1,0)</f>
        <v>#N/A</v>
      </c>
      <c r="AP732" s="487" t="e">
        <f>+VLOOKUP($AJ732,Data_Validation!$A:$D,3,0)</f>
        <v>#N/A</v>
      </c>
      <c r="AQ732" s="487" t="e">
        <f>+VLOOKUP($AJ732,Data_Validation!$A:$D,4,0)</f>
        <v>#N/A</v>
      </c>
      <c r="AR732" s="487" t="s">
        <v>299</v>
      </c>
      <c r="AS732" s="487" t="e">
        <f>+VLOOKUP($AJ732,Data_Validation!$A:$E,5,0)</f>
        <v>#N/A</v>
      </c>
      <c r="AT732" s="904" t="str">
        <f t="shared" si="77"/>
        <v>G46611</v>
      </c>
      <c r="AU732" s="488" t="str">
        <f t="shared" si="78"/>
        <v>SUPER VITRE VENTE SUBLET</v>
      </c>
      <c r="AV732" s="899">
        <f>IFERROR(INDEX(V732:AG732,1,MATCH(Parametres!$B$3,V$1:AG$1,0)-1)*IF(OR(C732="L",C732="S",C732="I"),-1,1),"")</f>
        <v>0</v>
      </c>
      <c r="AW732" s="899">
        <f t="shared" si="79"/>
        <v>0</v>
      </c>
      <c r="AX732" s="899">
        <f>INDEX(V732:AG732,1,MATCH(Parametres!$B$3,V$1:AG$1,0))*IF(OR(C732="L",C732="S",C732="I"),-1,1)</f>
        <v>0</v>
      </c>
      <c r="AY732" s="487" t="s">
        <v>337</v>
      </c>
      <c r="AZ732" s="487" t="e">
        <f>+VLOOKUP($AJ732,Data_Validation!$A:$E,5,0)</f>
        <v>#N/A</v>
      </c>
    </row>
    <row r="733" spans="1:52" ht="15" customHeight="1">
      <c r="A733" s="706" t="s">
        <v>1148</v>
      </c>
      <c r="B733" s="706">
        <v>2026</v>
      </c>
      <c r="C733" s="706" t="s">
        <v>2474</v>
      </c>
      <c r="D733" s="706" t="s">
        <v>2475</v>
      </c>
      <c r="E733" s="706" t="s">
        <v>1151</v>
      </c>
      <c r="F733" s="706" t="s">
        <v>1149</v>
      </c>
      <c r="G733" s="706">
        <v>41978.81</v>
      </c>
      <c r="H733" s="706">
        <v>103633.08</v>
      </c>
      <c r="I733" s="706">
        <v>149530.79</v>
      </c>
      <c r="J733" s="706">
        <v>192371.79</v>
      </c>
      <c r="K733" s="706">
        <v>220602.06</v>
      </c>
      <c r="L733" s="706">
        <v>281495.37</v>
      </c>
      <c r="M733" s="706">
        <v>333679.74</v>
      </c>
      <c r="N733" s="706">
        <v>383287.53</v>
      </c>
      <c r="O733" s="706">
        <v>426544.74</v>
      </c>
      <c r="P733" s="706">
        <v>0</v>
      </c>
      <c r="Q733" s="706">
        <v>0</v>
      </c>
      <c r="R733" s="706">
        <v>0</v>
      </c>
      <c r="S733" s="706">
        <v>47910.94</v>
      </c>
      <c r="T733" s="706">
        <v>47910.94</v>
      </c>
      <c r="U733" s="706">
        <v>0</v>
      </c>
      <c r="V733" s="706">
        <v>130</v>
      </c>
      <c r="W733" s="706">
        <v>275</v>
      </c>
      <c r="X733" s="706">
        <v>447</v>
      </c>
      <c r="Y733" s="706">
        <v>646</v>
      </c>
      <c r="Z733" s="706">
        <v>805</v>
      </c>
      <c r="AA733" s="706">
        <v>971</v>
      </c>
      <c r="AB733" s="706">
        <v>1145</v>
      </c>
      <c r="AC733" s="706">
        <v>1283</v>
      </c>
      <c r="AD733" s="706">
        <v>1400</v>
      </c>
      <c r="AE733" s="706">
        <v>0</v>
      </c>
      <c r="AF733" s="706">
        <v>0</v>
      </c>
      <c r="AG733" s="706">
        <v>0</v>
      </c>
      <c r="AH733" s="706">
        <v>160</v>
      </c>
      <c r="AI733" s="706">
        <v>160</v>
      </c>
      <c r="AJ733" s="905" t="str">
        <f t="shared" si="74"/>
        <v>G46710</v>
      </c>
      <c r="AK733" s="905" t="str">
        <f t="shared" si="75"/>
        <v>VTES PI SERV.VOIT&amp;CAM LEG</v>
      </c>
      <c r="AL733" s="905">
        <f>IFERROR(INDEX(G733:R733,1,MATCH(Parametres!$B$3,G$1:R$1,0)-1)*IF(OR(F733="L",F733="S",F733="I"),-1,1),"")</f>
        <v>-333679.74</v>
      </c>
      <c r="AM733" s="905">
        <f t="shared" si="76"/>
        <v>-49607.790000000037</v>
      </c>
      <c r="AN733" s="905">
        <f>INDEX(G733:R733,1,MATCH(Parametres!$B$3,G$1:R$1,0))*IF(OR(F733="L",F733="S",F733="I"),-1,1)</f>
        <v>-383287.53</v>
      </c>
      <c r="AO733" s="487" t="str">
        <f>+VLOOKUP($AJ733,Data_Validation!$A:$D,1,0)</f>
        <v>G46710</v>
      </c>
      <c r="AP733" s="487" t="str">
        <f>+VLOOKUP($AJ733,Data_Validation!$A:$D,3,0)</f>
        <v>Pièces</v>
      </c>
      <c r="AQ733" s="487" t="str">
        <f>+VLOOKUP($AJ733,Data_Validation!$A:$D,4,0)</f>
        <v>Pièces Ro Clients</v>
      </c>
      <c r="AR733" s="487" t="s">
        <v>299</v>
      </c>
      <c r="AS733" s="487" t="str">
        <f>+VLOOKUP($AJ733,Data_Validation!$A:$E,5,0)</f>
        <v>Oui</v>
      </c>
      <c r="AT733" s="904" t="str">
        <f t="shared" si="77"/>
        <v>G46710</v>
      </c>
      <c r="AU733" s="488" t="str">
        <f t="shared" si="78"/>
        <v>VTES PI SERV.VOIT&amp;CAM LEG</v>
      </c>
      <c r="AV733" s="899">
        <f>IFERROR(INDEX(V733:AG733,1,MATCH(Parametres!$B$3,V$1:AG$1,0)-1)*IF(OR(C733="L",C733="S",C733="I"),-1,1),"")</f>
        <v>1145</v>
      </c>
      <c r="AW733" s="899">
        <f t="shared" si="79"/>
        <v>138</v>
      </c>
      <c r="AX733" s="899">
        <f>INDEX(V733:AG733,1,MATCH(Parametres!$B$3,V$1:AG$1,0))*IF(OR(C733="L",C733="S",C733="I"),-1,1)</f>
        <v>1283</v>
      </c>
      <c r="AY733" s="487" t="s">
        <v>337</v>
      </c>
      <c r="AZ733" s="487" t="str">
        <f>+VLOOKUP($AJ733,Data_Validation!$A:$E,5,0)</f>
        <v>Oui</v>
      </c>
    </row>
    <row r="734" spans="1:52" ht="15" customHeight="1">
      <c r="A734" s="706" t="s">
        <v>1148</v>
      </c>
      <c r="B734" s="706">
        <v>2026</v>
      </c>
      <c r="C734" s="706" t="s">
        <v>2476</v>
      </c>
      <c r="D734" s="706" t="s">
        <v>2477</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G46720</v>
      </c>
      <c r="AK734" s="905" t="str">
        <f t="shared" si="75"/>
        <v>B.R PPC VOIT &amp; CAM LEG.</v>
      </c>
      <c r="AL734" s="905">
        <f>IFERROR(INDEX(G734:R734,1,MATCH(Parametres!$B$3,G$1:R$1,0)-1)*IF(OR(F734="L",F734="S",F734="I"),-1,1),"")</f>
        <v>0</v>
      </c>
      <c r="AM734" s="905">
        <f t="shared" si="76"/>
        <v>0</v>
      </c>
      <c r="AN734" s="905">
        <f>INDEX(G734:R734,1,MATCH(Parametres!$B$3,G$1:R$1,0))*IF(OR(F734="L",F734="S",F734="I"),-1,1)</f>
        <v>0</v>
      </c>
      <c r="AO734" s="487" t="str">
        <f>+VLOOKUP($AJ734,Data_Validation!$A:$D,1,0)</f>
        <v>G46720</v>
      </c>
      <c r="AP734" s="487" t="str">
        <f>+VLOOKUP($AJ734,Data_Validation!$A:$D,3,0)</f>
        <v>Pièces</v>
      </c>
      <c r="AQ734" s="487" t="str">
        <f>+VLOOKUP($AJ734,Data_Validation!$A:$D,4,0)</f>
        <v>Pièces Ro Clients</v>
      </c>
      <c r="AR734" s="487" t="s">
        <v>299</v>
      </c>
      <c r="AS734" s="487" t="str">
        <f>+VLOOKUP($AJ734,Data_Validation!$A:$E,5,0)</f>
        <v>Oui</v>
      </c>
      <c r="AT734" s="904" t="str">
        <f t="shared" si="77"/>
        <v>G46720</v>
      </c>
      <c r="AU734" s="488" t="str">
        <f t="shared" si="78"/>
        <v>B.R PPC VOIT &amp; CAM LEG.</v>
      </c>
      <c r="AV734" s="899">
        <f>IFERROR(INDEX(V734:AG734,1,MATCH(Parametres!$B$3,V$1:AG$1,0)-1)*IF(OR(C734="L",C734="S",C734="I"),-1,1),"")</f>
        <v>0</v>
      </c>
      <c r="AW734" s="899">
        <f t="shared" si="79"/>
        <v>0</v>
      </c>
      <c r="AX734" s="899">
        <f>INDEX(V734:AG734,1,MATCH(Parametres!$B$3,V$1:AG$1,0))*IF(OR(C734="L",C734="S",C734="I"),-1,1)</f>
        <v>0</v>
      </c>
      <c r="AY734" s="487" t="s">
        <v>337</v>
      </c>
      <c r="AZ734" s="487" t="str">
        <f>+VLOOKUP($AJ734,Data_Validation!$A:$E,5,0)</f>
        <v>Oui</v>
      </c>
    </row>
    <row r="735" spans="1:52" ht="15" customHeight="1">
      <c r="A735" s="706" t="s">
        <v>1148</v>
      </c>
      <c r="B735" s="706">
        <v>2026</v>
      </c>
      <c r="C735" s="706" t="s">
        <v>2478</v>
      </c>
      <c r="D735" s="706" t="s">
        <v>2479</v>
      </c>
      <c r="E735" s="706" t="s">
        <v>1151</v>
      </c>
      <c r="F735" s="706" t="s">
        <v>1149</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905" t="str">
        <f t="shared" si="74"/>
        <v>G46740</v>
      </c>
      <c r="AK735" s="905" t="str">
        <f t="shared" si="75"/>
        <v>SER.RAPIDE VOIT CAM LEG.</v>
      </c>
      <c r="AL735" s="905">
        <f>IFERROR(INDEX(G735:R735,1,MATCH(Parametres!$B$3,G$1:R$1,0)-1)*IF(OR(F735="L",F735="S",F735="I"),-1,1),"")</f>
        <v>0</v>
      </c>
      <c r="AM735" s="905">
        <f t="shared" si="76"/>
        <v>0</v>
      </c>
      <c r="AN735" s="905">
        <f>INDEX(G735:R735,1,MATCH(Parametres!$B$3,G$1:R$1,0))*IF(OR(F735="L",F735="S",F735="I"),-1,1)</f>
        <v>0</v>
      </c>
      <c r="AO735" s="487" t="str">
        <f>+VLOOKUP($AJ735,Data_Validation!$A:$D,1,0)</f>
        <v>G46740</v>
      </c>
      <c r="AP735" s="487">
        <f>+VLOOKUP($AJ735,Data_Validation!$A:$D,3,0)</f>
        <v>0</v>
      </c>
      <c r="AQ735" s="487">
        <f>+VLOOKUP($AJ735,Data_Validation!$A:$D,4,0)</f>
        <v>0</v>
      </c>
      <c r="AR735" s="487" t="s">
        <v>299</v>
      </c>
      <c r="AS735" s="487">
        <f>+VLOOKUP($AJ735,Data_Validation!$A:$E,5,0)</f>
        <v>0</v>
      </c>
      <c r="AT735" s="904" t="str">
        <f t="shared" si="77"/>
        <v>G46740</v>
      </c>
      <c r="AU735" s="488" t="str">
        <f t="shared" si="78"/>
        <v>SER.RAPIDE VOIT CAM LEG.</v>
      </c>
      <c r="AV735" s="899">
        <f>IFERROR(INDEX(V735:AG735,1,MATCH(Parametres!$B$3,V$1:AG$1,0)-1)*IF(OR(C735="L",C735="S",C735="I"),-1,1),"")</f>
        <v>0</v>
      </c>
      <c r="AW735" s="899">
        <f t="shared" si="79"/>
        <v>0</v>
      </c>
      <c r="AX735" s="899">
        <f>INDEX(V735:AG735,1,MATCH(Parametres!$B$3,V$1:AG$1,0))*IF(OR(C735="L",C735="S",C735="I"),-1,1)</f>
        <v>0</v>
      </c>
      <c r="AY735" s="487" t="s">
        <v>337</v>
      </c>
      <c r="AZ735" s="487">
        <f>+VLOOKUP($AJ735,Data_Validation!$A:$E,5,0)</f>
        <v>0</v>
      </c>
    </row>
    <row r="736" spans="1:52" ht="15" customHeight="1">
      <c r="A736" s="706" t="s">
        <v>1148</v>
      </c>
      <c r="B736" s="706">
        <v>2026</v>
      </c>
      <c r="C736" s="706" t="s">
        <v>2480</v>
      </c>
      <c r="D736" s="706" t="s">
        <v>2481</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G46800</v>
      </c>
      <c r="AK736" s="905" t="str">
        <f t="shared" si="75"/>
        <v>VTES-PCE CLIENT CAM MOYEN</v>
      </c>
      <c r="AL736" s="905">
        <f>IFERROR(INDEX(G736:R736,1,MATCH(Parametres!$B$3,G$1:R$1,0)-1)*IF(OR(F736="L",F736="S",F736="I"),-1,1),"")</f>
        <v>0</v>
      </c>
      <c r="AM736" s="905">
        <f t="shared" si="76"/>
        <v>0</v>
      </c>
      <c r="AN736" s="905">
        <f>INDEX(G736:R736,1,MATCH(Parametres!$B$3,G$1:R$1,0))*IF(OR(F736="L",F736="S",F736="I"),-1,1)</f>
        <v>0</v>
      </c>
      <c r="AO736" s="487" t="str">
        <f>+VLOOKUP($AJ736,Data_Validation!$A:$D,1,0)</f>
        <v>G46800</v>
      </c>
      <c r="AP736" s="487">
        <f>+VLOOKUP($AJ736,Data_Validation!$A:$D,3,0)</f>
        <v>0</v>
      </c>
      <c r="AQ736" s="487">
        <f>+VLOOKUP($AJ736,Data_Validation!$A:$D,4,0)</f>
        <v>0</v>
      </c>
      <c r="AR736" s="487" t="s">
        <v>299</v>
      </c>
      <c r="AS736" s="487">
        <f>+VLOOKUP($AJ736,Data_Validation!$A:$E,5,0)</f>
        <v>0</v>
      </c>
      <c r="AT736" s="904" t="str">
        <f t="shared" si="77"/>
        <v>G46800</v>
      </c>
      <c r="AU736" s="488" t="str">
        <f t="shared" si="78"/>
        <v>VTES-PCE CLIENT CAM MOYEN</v>
      </c>
      <c r="AV736" s="899">
        <f>IFERROR(INDEX(V736:AG736,1,MATCH(Parametres!$B$3,V$1:AG$1,0)-1)*IF(OR(C736="L",C736="S",C736="I"),-1,1),"")</f>
        <v>0</v>
      </c>
      <c r="AW736" s="899">
        <f t="shared" si="79"/>
        <v>0</v>
      </c>
      <c r="AX736" s="899">
        <f>INDEX(V736:AG736,1,MATCH(Parametres!$B$3,V$1:AG$1,0))*IF(OR(C736="L",C736="S",C736="I"),-1,1)</f>
        <v>0</v>
      </c>
      <c r="AY736" s="487" t="s">
        <v>337</v>
      </c>
      <c r="AZ736" s="487">
        <f>+VLOOKUP($AJ736,Data_Validation!$A:$E,5,0)</f>
        <v>0</v>
      </c>
    </row>
    <row r="737" spans="1:52" ht="15" customHeight="1">
      <c r="A737" s="706" t="s">
        <v>1148</v>
      </c>
      <c r="B737" s="706">
        <v>2026</v>
      </c>
      <c r="C737" s="706" t="s">
        <v>2482</v>
      </c>
      <c r="D737" s="706" t="s">
        <v>2483</v>
      </c>
      <c r="E737" s="706" t="s">
        <v>1151</v>
      </c>
      <c r="F737" s="706" t="s">
        <v>1149</v>
      </c>
      <c r="G737" s="706">
        <v>0</v>
      </c>
      <c r="H737" s="706">
        <v>0</v>
      </c>
      <c r="I737" s="706">
        <v>0</v>
      </c>
      <c r="J737" s="706">
        <v>0</v>
      </c>
      <c r="K737" s="706">
        <v>0</v>
      </c>
      <c r="L737" s="706">
        <v>0</v>
      </c>
      <c r="M737" s="706">
        <v>0</v>
      </c>
      <c r="N737" s="706">
        <v>0</v>
      </c>
      <c r="O737" s="706">
        <v>0</v>
      </c>
      <c r="P737" s="706">
        <v>0</v>
      </c>
      <c r="Q737" s="706">
        <v>0</v>
      </c>
      <c r="R737" s="706">
        <v>0</v>
      </c>
      <c r="S737" s="706">
        <v>0</v>
      </c>
      <c r="T737" s="706">
        <v>0</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905" t="str">
        <f t="shared" si="74"/>
        <v>G46810</v>
      </c>
      <c r="AK737" s="905" t="str">
        <f t="shared" si="75"/>
        <v>VTES-PCE SERV.CLIENT CAM.</v>
      </c>
      <c r="AL737" s="905">
        <f>IFERROR(INDEX(G737:R737,1,MATCH(Parametres!$B$3,G$1:R$1,0)-1)*IF(OR(F737="L",F737="S",F737="I"),-1,1),"")</f>
        <v>0</v>
      </c>
      <c r="AM737" s="905">
        <f t="shared" si="76"/>
        <v>0</v>
      </c>
      <c r="AN737" s="905">
        <f>INDEX(G737:R737,1,MATCH(Parametres!$B$3,G$1:R$1,0))*IF(OR(F737="L",F737="S",F737="I"),-1,1)</f>
        <v>0</v>
      </c>
      <c r="AO737" s="487" t="str">
        <f>+VLOOKUP($AJ737,Data_Validation!$A:$D,1,0)</f>
        <v>G46810</v>
      </c>
      <c r="AP737" s="487">
        <f>+VLOOKUP($AJ737,Data_Validation!$A:$D,3,0)</f>
        <v>0</v>
      </c>
      <c r="AQ737" s="487">
        <f>+VLOOKUP($AJ737,Data_Validation!$A:$D,4,0)</f>
        <v>0</v>
      </c>
      <c r="AR737" s="487" t="s">
        <v>299</v>
      </c>
      <c r="AS737" s="487">
        <f>+VLOOKUP($AJ737,Data_Validation!$A:$E,5,0)</f>
        <v>0</v>
      </c>
      <c r="AT737" s="904" t="str">
        <f t="shared" si="77"/>
        <v>G46810</v>
      </c>
      <c r="AU737" s="488" t="str">
        <f t="shared" si="78"/>
        <v>VTES-PCE SERV.CLIENT CAM.</v>
      </c>
      <c r="AV737" s="899">
        <f>IFERROR(INDEX(V737:AG737,1,MATCH(Parametres!$B$3,V$1:AG$1,0)-1)*IF(OR(C737="L",C737="S",C737="I"),-1,1),"")</f>
        <v>0</v>
      </c>
      <c r="AW737" s="899">
        <f t="shared" si="79"/>
        <v>0</v>
      </c>
      <c r="AX737" s="899">
        <f>INDEX(V737:AG737,1,MATCH(Parametres!$B$3,V$1:AG$1,0))*IF(OR(C737="L",C737="S",C737="I"),-1,1)</f>
        <v>0</v>
      </c>
      <c r="AY737" s="487" t="s">
        <v>337</v>
      </c>
      <c r="AZ737" s="487">
        <f>+VLOOKUP($AJ737,Data_Validation!$A:$E,5,0)</f>
        <v>0</v>
      </c>
    </row>
    <row r="738" spans="1:52" ht="15" customHeight="1">
      <c r="A738" s="706" t="s">
        <v>1148</v>
      </c>
      <c r="B738" s="706">
        <v>2026</v>
      </c>
      <c r="C738" s="706" t="s">
        <v>2484</v>
      </c>
      <c r="D738" s="706" t="s">
        <v>2485</v>
      </c>
      <c r="E738" s="706" t="s">
        <v>1151</v>
      </c>
      <c r="F738" s="706" t="s">
        <v>1149</v>
      </c>
      <c r="G738" s="706">
        <v>0</v>
      </c>
      <c r="H738" s="706">
        <v>0</v>
      </c>
      <c r="I738" s="706">
        <v>0</v>
      </c>
      <c r="J738" s="706">
        <v>0</v>
      </c>
      <c r="K738" s="706">
        <v>0</v>
      </c>
      <c r="L738" s="706">
        <v>0</v>
      </c>
      <c r="M738" s="706">
        <v>0</v>
      </c>
      <c r="N738" s="706">
        <v>0</v>
      </c>
      <c r="O738" s="706">
        <v>0</v>
      </c>
      <c r="P738" s="706">
        <v>0</v>
      </c>
      <c r="Q738" s="706">
        <v>0</v>
      </c>
      <c r="R738" s="706">
        <v>0</v>
      </c>
      <c r="S738" s="706">
        <v>0</v>
      </c>
      <c r="T738" s="706">
        <v>0</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905" t="str">
        <f t="shared" si="74"/>
        <v>G46840</v>
      </c>
      <c r="AK738" s="905" t="str">
        <f t="shared" si="75"/>
        <v>VTES-PCE GOODWRENCH CAMIO</v>
      </c>
      <c r="AL738" s="905">
        <f>IFERROR(INDEX(G738:R738,1,MATCH(Parametres!$B$3,G$1:R$1,0)-1)*IF(OR(F738="L",F738="S",F738="I"),-1,1),"")</f>
        <v>0</v>
      </c>
      <c r="AM738" s="905">
        <f t="shared" si="76"/>
        <v>0</v>
      </c>
      <c r="AN738" s="905">
        <f>INDEX(G738:R738,1,MATCH(Parametres!$B$3,G$1:R$1,0))*IF(OR(F738="L",F738="S",F738="I"),-1,1)</f>
        <v>0</v>
      </c>
      <c r="AO738" s="487" t="e">
        <f>+VLOOKUP($AJ738,Data_Validation!$A:$D,1,0)</f>
        <v>#N/A</v>
      </c>
      <c r="AP738" s="487" t="e">
        <f>+VLOOKUP($AJ738,Data_Validation!$A:$D,3,0)</f>
        <v>#N/A</v>
      </c>
      <c r="AQ738" s="487" t="e">
        <f>+VLOOKUP($AJ738,Data_Validation!$A:$D,4,0)</f>
        <v>#N/A</v>
      </c>
      <c r="AR738" s="487" t="s">
        <v>299</v>
      </c>
      <c r="AS738" s="487" t="e">
        <f>+VLOOKUP($AJ738,Data_Validation!$A:$E,5,0)</f>
        <v>#N/A</v>
      </c>
      <c r="AT738" s="904" t="str">
        <f t="shared" si="77"/>
        <v>G46840</v>
      </c>
      <c r="AU738" s="488" t="str">
        <f t="shared" si="78"/>
        <v>VTES-PCE GOODWRENCH CAMIO</v>
      </c>
      <c r="AV738" s="899">
        <f>IFERROR(INDEX(V738:AG738,1,MATCH(Parametres!$B$3,V$1:AG$1,0)-1)*IF(OR(C738="L",C738="S",C738="I"),-1,1),"")</f>
        <v>0</v>
      </c>
      <c r="AW738" s="899">
        <f t="shared" si="79"/>
        <v>0</v>
      </c>
      <c r="AX738" s="899">
        <f>INDEX(V738:AG738,1,MATCH(Parametres!$B$3,V$1:AG$1,0))*IF(OR(C738="L",C738="S",C738="I"),-1,1)</f>
        <v>0</v>
      </c>
      <c r="AY738" s="487" t="s">
        <v>337</v>
      </c>
      <c r="AZ738" s="487" t="e">
        <f>+VLOOKUP($AJ738,Data_Validation!$A:$E,5,0)</f>
        <v>#N/A</v>
      </c>
    </row>
    <row r="739" spans="1:52" ht="15" customHeight="1">
      <c r="A739" s="706" t="s">
        <v>1148</v>
      </c>
      <c r="B739" s="706">
        <v>2026</v>
      </c>
      <c r="C739" s="706" t="s">
        <v>2486</v>
      </c>
      <c r="D739" s="706" t="s">
        <v>2487</v>
      </c>
      <c r="E739" s="706" t="s">
        <v>333</v>
      </c>
      <c r="F739" s="706" t="s">
        <v>1149</v>
      </c>
      <c r="G739" s="706">
        <v>2646.8</v>
      </c>
      <c r="H739" s="706">
        <v>5914.65</v>
      </c>
      <c r="I739" s="706">
        <v>9184.1</v>
      </c>
      <c r="J739" s="706">
        <v>13267.53</v>
      </c>
      <c r="K739" s="706">
        <v>17068.18</v>
      </c>
      <c r="L739" s="706">
        <v>20337.54</v>
      </c>
      <c r="M739" s="706">
        <v>22791.25</v>
      </c>
      <c r="N739" s="706">
        <v>25438.35</v>
      </c>
      <c r="O739" s="706">
        <v>27203.9</v>
      </c>
      <c r="P739" s="706">
        <v>0</v>
      </c>
      <c r="Q739" s="706">
        <v>0</v>
      </c>
      <c r="R739" s="706">
        <v>0</v>
      </c>
      <c r="S739" s="706">
        <v>3179.79</v>
      </c>
      <c r="T739" s="706">
        <v>3179.79</v>
      </c>
      <c r="U739" s="706">
        <v>0</v>
      </c>
      <c r="V739" s="706">
        <v>232</v>
      </c>
      <c r="W739" s="706">
        <v>521</v>
      </c>
      <c r="X739" s="706">
        <v>812</v>
      </c>
      <c r="Y739" s="706">
        <v>1191</v>
      </c>
      <c r="Z739" s="706">
        <v>1531</v>
      </c>
      <c r="AA739" s="706">
        <v>1824</v>
      </c>
      <c r="AB739" s="706">
        <v>2059</v>
      </c>
      <c r="AC739" s="706">
        <v>2267</v>
      </c>
      <c r="AD739" s="706">
        <v>2439</v>
      </c>
      <c r="AE739" s="706">
        <v>0</v>
      </c>
      <c r="AF739" s="706">
        <v>0</v>
      </c>
      <c r="AG739" s="706">
        <v>0</v>
      </c>
      <c r="AH739" s="706">
        <v>283</v>
      </c>
      <c r="AI739" s="706">
        <v>283</v>
      </c>
      <c r="AJ739" s="905" t="str">
        <f t="shared" si="74"/>
        <v>G46900</v>
      </c>
      <c r="AK739" s="905" t="str">
        <f t="shared" si="75"/>
        <v>VTES FOURNITURE ATELIER</v>
      </c>
      <c r="AL739" s="905">
        <f>IFERROR(INDEX(G739:R739,1,MATCH(Parametres!$B$3,G$1:R$1,0)-1)*IF(OR(F739="L",F739="S",F739="I"),-1,1),"")</f>
        <v>-22791.25</v>
      </c>
      <c r="AM739" s="905">
        <f t="shared" si="76"/>
        <v>-2647.0999999999985</v>
      </c>
      <c r="AN739" s="905">
        <f>INDEX(G739:R739,1,MATCH(Parametres!$B$3,G$1:R$1,0))*IF(OR(F739="L",F739="S",F739="I"),-1,1)</f>
        <v>-25438.35</v>
      </c>
      <c r="AO739" s="487" t="str">
        <f>+VLOOKUP($AJ739,Data_Validation!$A:$D,1,0)</f>
        <v>G46900</v>
      </c>
      <c r="AP739" s="487" t="str">
        <f>+VLOOKUP($AJ739,Data_Validation!$A:$D,3,0)</f>
        <v>Service</v>
      </c>
      <c r="AQ739" s="487" t="str">
        <f>+VLOOKUP($AJ739,Data_Validation!$A:$D,4,0)</f>
        <v>Sous-traitement</v>
      </c>
      <c r="AR739" s="487" t="s">
        <v>299</v>
      </c>
      <c r="AS739" s="487" t="str">
        <f>+VLOOKUP($AJ739,Data_Validation!$A:$E,5,0)</f>
        <v>Oui</v>
      </c>
      <c r="AT739" s="904" t="str">
        <f t="shared" si="77"/>
        <v>G46900</v>
      </c>
      <c r="AU739" s="488" t="str">
        <f t="shared" si="78"/>
        <v>VTES FOURNITURE ATELIER</v>
      </c>
      <c r="AV739" s="899">
        <f>IFERROR(INDEX(V739:AG739,1,MATCH(Parametres!$B$3,V$1:AG$1,0)-1)*IF(OR(C739="L",C739="S",C739="I"),-1,1),"")</f>
        <v>2059</v>
      </c>
      <c r="AW739" s="899">
        <f t="shared" si="79"/>
        <v>208</v>
      </c>
      <c r="AX739" s="899">
        <f>INDEX(V739:AG739,1,MATCH(Parametres!$B$3,V$1:AG$1,0))*IF(OR(C739="L",C739="S",C739="I"),-1,1)</f>
        <v>2267</v>
      </c>
      <c r="AY739" s="487" t="s">
        <v>337</v>
      </c>
      <c r="AZ739" s="487" t="str">
        <f>+VLOOKUP($AJ739,Data_Validation!$A:$E,5,0)</f>
        <v>Oui</v>
      </c>
    </row>
    <row r="740" spans="1:52" ht="15" customHeight="1">
      <c r="A740" s="706" t="s">
        <v>1148</v>
      </c>
      <c r="B740" s="706">
        <v>2026</v>
      </c>
      <c r="C740" s="706" t="s">
        <v>2488</v>
      </c>
      <c r="D740" s="706" t="s">
        <v>3366</v>
      </c>
      <c r="E740" s="706" t="s">
        <v>1151</v>
      </c>
      <c r="F740" s="706" t="s">
        <v>1149</v>
      </c>
      <c r="G740" s="706">
        <v>0</v>
      </c>
      <c r="H740" s="706">
        <v>0</v>
      </c>
      <c r="I740" s="706">
        <v>0</v>
      </c>
      <c r="J740" s="706">
        <v>0</v>
      </c>
      <c r="K740" s="706">
        <v>7647.4</v>
      </c>
      <c r="L740" s="706">
        <v>19811.75</v>
      </c>
      <c r="M740" s="706">
        <v>29506.6</v>
      </c>
      <c r="N740" s="706">
        <v>32925.629999999997</v>
      </c>
      <c r="O740" s="706">
        <v>43343.23</v>
      </c>
      <c r="P740" s="706">
        <v>0</v>
      </c>
      <c r="Q740" s="706">
        <v>0</v>
      </c>
      <c r="R740" s="706">
        <v>0</v>
      </c>
      <c r="S740" s="706">
        <v>4115.7</v>
      </c>
      <c r="T740" s="706">
        <v>4115.7</v>
      </c>
      <c r="U740" s="706">
        <v>0</v>
      </c>
      <c r="V740" s="706">
        <v>0</v>
      </c>
      <c r="W740" s="706">
        <v>0</v>
      </c>
      <c r="X740" s="706">
        <v>0</v>
      </c>
      <c r="Y740" s="706">
        <v>0</v>
      </c>
      <c r="Z740" s="706">
        <v>16</v>
      </c>
      <c r="AA740" s="706">
        <v>38</v>
      </c>
      <c r="AB740" s="706">
        <v>54</v>
      </c>
      <c r="AC740" s="706">
        <v>63</v>
      </c>
      <c r="AD740" s="706">
        <v>83</v>
      </c>
      <c r="AE740" s="706">
        <v>0</v>
      </c>
      <c r="AF740" s="706">
        <v>0</v>
      </c>
      <c r="AG740" s="706">
        <v>0</v>
      </c>
      <c r="AH740" s="706">
        <v>8</v>
      </c>
      <c r="AI740" s="706">
        <v>8</v>
      </c>
      <c r="AJ740" s="905" t="str">
        <f t="shared" si="74"/>
        <v>G47000</v>
      </c>
      <c r="AK740" s="905" t="str">
        <f t="shared" si="75"/>
        <v>VTES -MO .CLIENT-PEINTURE</v>
      </c>
      <c r="AL740" s="905">
        <f>IFERROR(INDEX(G740:R740,1,MATCH(Parametres!$B$3,G$1:R$1,0)-1)*IF(OR(F740="L",F740="S",F740="I"),-1,1),"")</f>
        <v>-29506.6</v>
      </c>
      <c r="AM740" s="905">
        <f t="shared" si="76"/>
        <v>-3419.0299999999988</v>
      </c>
      <c r="AN740" s="905">
        <f>INDEX(G740:R740,1,MATCH(Parametres!$B$3,G$1:R$1,0))*IF(OR(F740="L",F740="S",F740="I"),-1,1)</f>
        <v>-32925.629999999997</v>
      </c>
      <c r="AO740" s="487" t="str">
        <f>+VLOOKUP($AJ740,Data_Validation!$A:$D,1,0)</f>
        <v>G47000</v>
      </c>
      <c r="AP740" s="487" t="str">
        <f>+VLOOKUP($AJ740,Data_Validation!$A:$D,3,0)</f>
        <v>Carrosserie</v>
      </c>
      <c r="AQ740" s="487" t="str">
        <f>+VLOOKUP($AJ740,Data_Validation!$A:$D,4,0)</f>
        <v>Carrosserie Clients</v>
      </c>
      <c r="AR740" s="487" t="s">
        <v>299</v>
      </c>
      <c r="AS740" s="487" t="str">
        <f>+VLOOKUP($AJ740,Data_Validation!$A:$E,5,0)</f>
        <v>Oui</v>
      </c>
      <c r="AT740" s="904" t="str">
        <f t="shared" si="77"/>
        <v>G47000</v>
      </c>
      <c r="AU740" s="488" t="str">
        <f t="shared" si="78"/>
        <v>VTES -MO .CLIENT-PEINTURE</v>
      </c>
      <c r="AV740" s="899">
        <f>IFERROR(INDEX(V740:AG740,1,MATCH(Parametres!$B$3,V$1:AG$1,0)-1)*IF(OR(C740="L",C740="S",C740="I"),-1,1),"")</f>
        <v>54</v>
      </c>
      <c r="AW740" s="899">
        <f t="shared" si="79"/>
        <v>9</v>
      </c>
      <c r="AX740" s="899">
        <f>INDEX(V740:AG740,1,MATCH(Parametres!$B$3,V$1:AG$1,0))*IF(OR(C740="L",C740="S",C740="I"),-1,1)</f>
        <v>63</v>
      </c>
      <c r="AY740" s="487" t="s">
        <v>337</v>
      </c>
      <c r="AZ740" s="487" t="str">
        <f>+VLOOKUP($AJ740,Data_Validation!$A:$E,5,0)</f>
        <v>Oui</v>
      </c>
    </row>
    <row r="741" spans="1:52" ht="15" customHeight="1">
      <c r="A741" s="706" t="s">
        <v>1148</v>
      </c>
      <c r="B741" s="706">
        <v>2026</v>
      </c>
      <c r="C741" s="706" t="s">
        <v>2490</v>
      </c>
      <c r="D741" s="706" t="s">
        <v>3367</v>
      </c>
      <c r="E741" s="706" t="s">
        <v>1151</v>
      </c>
      <c r="F741" s="706" t="s">
        <v>1149</v>
      </c>
      <c r="G741" s="706">
        <v>0</v>
      </c>
      <c r="H741" s="706">
        <v>0</v>
      </c>
      <c r="I741" s="706">
        <v>0</v>
      </c>
      <c r="J741" s="706">
        <v>0</v>
      </c>
      <c r="K741" s="706">
        <v>10270.44</v>
      </c>
      <c r="L741" s="706">
        <v>23929.94</v>
      </c>
      <c r="M741" s="706">
        <v>33592.980000000003</v>
      </c>
      <c r="N741" s="706">
        <v>40487.51</v>
      </c>
      <c r="O741" s="706">
        <v>46147.64</v>
      </c>
      <c r="P741" s="706">
        <v>0</v>
      </c>
      <c r="Q741" s="706">
        <v>0</v>
      </c>
      <c r="R741" s="706">
        <v>0</v>
      </c>
      <c r="S741" s="706">
        <v>5060.9399999999996</v>
      </c>
      <c r="T741" s="706">
        <v>5060.9399999999996</v>
      </c>
      <c r="U741" s="706">
        <v>0</v>
      </c>
      <c r="V741" s="706">
        <v>0</v>
      </c>
      <c r="W741" s="706">
        <v>0</v>
      </c>
      <c r="X741" s="706">
        <v>0</v>
      </c>
      <c r="Y741" s="706">
        <v>0</v>
      </c>
      <c r="Z741" s="706">
        <v>17</v>
      </c>
      <c r="AA741" s="706">
        <v>36</v>
      </c>
      <c r="AB741" s="706">
        <v>55</v>
      </c>
      <c r="AC741" s="706">
        <v>65</v>
      </c>
      <c r="AD741" s="706">
        <v>75</v>
      </c>
      <c r="AE741" s="706">
        <v>0</v>
      </c>
      <c r="AF741" s="706">
        <v>0</v>
      </c>
      <c r="AG741" s="706">
        <v>0</v>
      </c>
      <c r="AH741" s="706">
        <v>8</v>
      </c>
      <c r="AI741" s="706">
        <v>8</v>
      </c>
      <c r="AJ741" s="905" t="str">
        <f t="shared" si="74"/>
        <v>G47005</v>
      </c>
      <c r="AK741" s="905" t="str">
        <f t="shared" si="75"/>
        <v>VTES -M.O CONCES. PEINTUR</v>
      </c>
      <c r="AL741" s="905">
        <f>IFERROR(INDEX(G741:R741,1,MATCH(Parametres!$B$3,G$1:R$1,0)-1)*IF(OR(F741="L",F741="S",F741="I"),-1,1),"")</f>
        <v>-33592.980000000003</v>
      </c>
      <c r="AM741" s="905">
        <f t="shared" si="76"/>
        <v>-6894.5299999999988</v>
      </c>
      <c r="AN741" s="905">
        <f>INDEX(G741:R741,1,MATCH(Parametres!$B$3,G$1:R$1,0))*IF(OR(F741="L",F741="S",F741="I"),-1,1)</f>
        <v>-40487.51</v>
      </c>
      <c r="AO741" s="487" t="str">
        <f>+VLOOKUP($AJ741,Data_Validation!$A:$D,1,0)</f>
        <v>G47005</v>
      </c>
      <c r="AP741" s="487" t="str">
        <f>+VLOOKUP($AJ741,Data_Validation!$A:$D,3,0)</f>
        <v>Carrosserie</v>
      </c>
      <c r="AQ741" s="487" t="str">
        <f>+VLOOKUP($AJ741,Data_Validation!$A:$D,4,0)</f>
        <v>Carrosserie Concessions</v>
      </c>
      <c r="AR741" s="487" t="s">
        <v>299</v>
      </c>
      <c r="AS741" s="487" t="str">
        <f>+VLOOKUP($AJ741,Data_Validation!$A:$E,5,0)</f>
        <v>Oui</v>
      </c>
      <c r="AT741" s="904" t="str">
        <f t="shared" si="77"/>
        <v>G47005</v>
      </c>
      <c r="AU741" s="488" t="str">
        <f t="shared" si="78"/>
        <v>VTES -M.O CONCES. PEINTUR</v>
      </c>
      <c r="AV741" s="899">
        <f>IFERROR(INDEX(V741:AG741,1,MATCH(Parametres!$B$3,V$1:AG$1,0)-1)*IF(OR(C741="L",C741="S",C741="I"),-1,1),"")</f>
        <v>55</v>
      </c>
      <c r="AW741" s="899">
        <f t="shared" si="79"/>
        <v>10</v>
      </c>
      <c r="AX741" s="899">
        <f>INDEX(V741:AG741,1,MATCH(Parametres!$B$3,V$1:AG$1,0))*IF(OR(C741="L",C741="S",C741="I"),-1,1)</f>
        <v>65</v>
      </c>
      <c r="AY741" s="487" t="s">
        <v>337</v>
      </c>
      <c r="AZ741" s="487" t="str">
        <f>+VLOOKUP($AJ741,Data_Validation!$A:$E,5,0)</f>
        <v>Oui</v>
      </c>
    </row>
    <row r="742" spans="1:52" ht="15" customHeight="1">
      <c r="A742" s="706" t="s">
        <v>1148</v>
      </c>
      <c r="B742" s="706">
        <v>2026</v>
      </c>
      <c r="C742" s="706" t="s">
        <v>2492</v>
      </c>
      <c r="D742" s="706" t="s">
        <v>2493</v>
      </c>
      <c r="E742" s="706" t="s">
        <v>1151</v>
      </c>
      <c r="F742" s="706" t="s">
        <v>1149</v>
      </c>
      <c r="G742" s="706">
        <v>56064.89</v>
      </c>
      <c r="H742" s="706">
        <v>121587.01</v>
      </c>
      <c r="I742" s="706">
        <v>174836.25</v>
      </c>
      <c r="J742" s="706">
        <v>279197.3</v>
      </c>
      <c r="K742" s="706">
        <v>298896.17</v>
      </c>
      <c r="L742" s="706">
        <v>317588.84999999998</v>
      </c>
      <c r="M742" s="706">
        <v>340882.88</v>
      </c>
      <c r="N742" s="706">
        <v>374868.99</v>
      </c>
      <c r="O742" s="706">
        <v>395040.8</v>
      </c>
      <c r="P742" s="706">
        <v>0</v>
      </c>
      <c r="Q742" s="706">
        <v>0</v>
      </c>
      <c r="R742" s="706">
        <v>0</v>
      </c>
      <c r="S742" s="706">
        <v>46858.62</v>
      </c>
      <c r="T742" s="706">
        <v>46858.62</v>
      </c>
      <c r="U742" s="706">
        <v>0</v>
      </c>
      <c r="V742" s="706">
        <v>45</v>
      </c>
      <c r="W742" s="706">
        <v>95</v>
      </c>
      <c r="X742" s="706">
        <v>146</v>
      </c>
      <c r="Y742" s="706">
        <v>210</v>
      </c>
      <c r="Z742" s="706">
        <v>237</v>
      </c>
      <c r="AA742" s="706">
        <v>266</v>
      </c>
      <c r="AB742" s="706">
        <v>293</v>
      </c>
      <c r="AC742" s="706">
        <v>315</v>
      </c>
      <c r="AD742" s="706">
        <v>344</v>
      </c>
      <c r="AE742" s="706">
        <v>0</v>
      </c>
      <c r="AF742" s="706">
        <v>0</v>
      </c>
      <c r="AG742" s="706">
        <v>0</v>
      </c>
      <c r="AH742" s="706">
        <v>39</v>
      </c>
      <c r="AI742" s="706">
        <v>39</v>
      </c>
      <c r="AJ742" s="905" t="str">
        <f t="shared" si="74"/>
        <v>G47100</v>
      </c>
      <c r="AK742" s="905" t="str">
        <f t="shared" si="75"/>
        <v>VTES-M.D. CLIENT CARROSS.</v>
      </c>
      <c r="AL742" s="905">
        <f>IFERROR(INDEX(G742:R742,1,MATCH(Parametres!$B$3,G$1:R$1,0)-1)*IF(OR(F742="L",F742="S",F742="I"),-1,1),"")</f>
        <v>-340882.88</v>
      </c>
      <c r="AM742" s="905">
        <f t="shared" si="76"/>
        <v>-33986.109999999986</v>
      </c>
      <c r="AN742" s="905">
        <f>INDEX(G742:R742,1,MATCH(Parametres!$B$3,G$1:R$1,0))*IF(OR(F742="L",F742="S",F742="I"),-1,1)</f>
        <v>-374868.99</v>
      </c>
      <c r="AO742" s="487" t="str">
        <f>+VLOOKUP($AJ742,Data_Validation!$A:$D,1,0)</f>
        <v>G47100</v>
      </c>
      <c r="AP742" s="487" t="str">
        <f>+VLOOKUP($AJ742,Data_Validation!$A:$D,3,0)</f>
        <v>Carrosserie</v>
      </c>
      <c r="AQ742" s="487" t="str">
        <f>+VLOOKUP($AJ742,Data_Validation!$A:$D,4,0)</f>
        <v>Carrosserie Clients</v>
      </c>
      <c r="AR742" s="487" t="s">
        <v>299</v>
      </c>
      <c r="AS742" s="487" t="str">
        <f>+VLOOKUP($AJ742,Data_Validation!$A:$E,5,0)</f>
        <v>Oui</v>
      </c>
      <c r="AT742" s="904" t="str">
        <f t="shared" si="77"/>
        <v>G47100</v>
      </c>
      <c r="AU742" s="488" t="str">
        <f t="shared" si="78"/>
        <v>VTES-M.D. CLIENT CARROSS.</v>
      </c>
      <c r="AV742" s="899">
        <f>IFERROR(INDEX(V742:AG742,1,MATCH(Parametres!$B$3,V$1:AG$1,0)-1)*IF(OR(C742="L",C742="S",C742="I"),-1,1),"")</f>
        <v>293</v>
      </c>
      <c r="AW742" s="899">
        <f t="shared" si="79"/>
        <v>22</v>
      </c>
      <c r="AX742" s="899">
        <f>INDEX(V742:AG742,1,MATCH(Parametres!$B$3,V$1:AG$1,0))*IF(OR(C742="L",C742="S",C742="I"),-1,1)</f>
        <v>315</v>
      </c>
      <c r="AY742" s="487" t="s">
        <v>337</v>
      </c>
      <c r="AZ742" s="487" t="str">
        <f>+VLOOKUP($AJ742,Data_Validation!$A:$E,5,0)</f>
        <v>Oui</v>
      </c>
    </row>
    <row r="743" spans="1:52" ht="15" customHeight="1">
      <c r="A743" s="706" t="s">
        <v>1148</v>
      </c>
      <c r="B743" s="706">
        <v>2026</v>
      </c>
      <c r="C743" s="706" t="s">
        <v>2494</v>
      </c>
      <c r="D743" s="706" t="s">
        <v>3368</v>
      </c>
      <c r="E743" s="706" t="s">
        <v>1151</v>
      </c>
      <c r="F743" s="706" t="s">
        <v>1149</v>
      </c>
      <c r="G743" s="706">
        <v>0</v>
      </c>
      <c r="H743" s="706">
        <v>0</v>
      </c>
      <c r="I743" s="706">
        <v>0</v>
      </c>
      <c r="J743" s="706">
        <v>0</v>
      </c>
      <c r="K743" s="706">
        <v>20289.45</v>
      </c>
      <c r="L743" s="706">
        <v>50705.96</v>
      </c>
      <c r="M743" s="706">
        <v>74569.38</v>
      </c>
      <c r="N743" s="706">
        <v>92193.01</v>
      </c>
      <c r="O743" s="706">
        <v>104589.62</v>
      </c>
      <c r="P743" s="706">
        <v>0</v>
      </c>
      <c r="Q743" s="706">
        <v>0</v>
      </c>
      <c r="R743" s="706">
        <v>0</v>
      </c>
      <c r="S743" s="706">
        <v>11524.13</v>
      </c>
      <c r="T743" s="706">
        <v>11524.13</v>
      </c>
      <c r="U743" s="706">
        <v>0</v>
      </c>
      <c r="V743" s="706">
        <v>0</v>
      </c>
      <c r="W743" s="706">
        <v>0</v>
      </c>
      <c r="X743" s="706">
        <v>0</v>
      </c>
      <c r="Y743" s="706">
        <v>0</v>
      </c>
      <c r="Z743" s="706">
        <v>19</v>
      </c>
      <c r="AA743" s="706">
        <v>43</v>
      </c>
      <c r="AB743" s="706">
        <v>64</v>
      </c>
      <c r="AC743" s="706">
        <v>77</v>
      </c>
      <c r="AD743" s="706">
        <v>87</v>
      </c>
      <c r="AE743" s="706">
        <v>0</v>
      </c>
      <c r="AF743" s="706">
        <v>0</v>
      </c>
      <c r="AG743" s="706">
        <v>0</v>
      </c>
      <c r="AH743" s="706">
        <v>10</v>
      </c>
      <c r="AI743" s="706">
        <v>10</v>
      </c>
      <c r="AJ743" s="905" t="str">
        <f t="shared" si="74"/>
        <v>G47105</v>
      </c>
      <c r="AK743" s="905" t="str">
        <f t="shared" si="75"/>
        <v>VTES -M.O CONCES. -BODY</v>
      </c>
      <c r="AL743" s="905">
        <f>IFERROR(INDEX(G743:R743,1,MATCH(Parametres!$B$3,G$1:R$1,0)-1)*IF(OR(F743="L",F743="S",F743="I"),-1,1),"")</f>
        <v>-74569.38</v>
      </c>
      <c r="AM743" s="905">
        <f t="shared" si="76"/>
        <v>-17623.62999999999</v>
      </c>
      <c r="AN743" s="905">
        <f>INDEX(G743:R743,1,MATCH(Parametres!$B$3,G$1:R$1,0))*IF(OR(F743="L",F743="S",F743="I"),-1,1)</f>
        <v>-92193.01</v>
      </c>
      <c r="AO743" s="487" t="str">
        <f>+VLOOKUP($AJ743,Data_Validation!$A:$D,1,0)</f>
        <v>G47105</v>
      </c>
      <c r="AP743" s="487" t="str">
        <f>+VLOOKUP($AJ743,Data_Validation!$A:$D,3,0)</f>
        <v>Carrosserie</v>
      </c>
      <c r="AQ743" s="487" t="str">
        <f>+VLOOKUP($AJ743,Data_Validation!$A:$D,4,0)</f>
        <v>Carrosserie Concessions</v>
      </c>
      <c r="AR743" s="487" t="s">
        <v>299</v>
      </c>
      <c r="AS743" s="487" t="str">
        <f>+VLOOKUP($AJ743,Data_Validation!$A:$E,5,0)</f>
        <v>Oui</v>
      </c>
      <c r="AT743" s="904" t="str">
        <f t="shared" si="77"/>
        <v>G47105</v>
      </c>
      <c r="AU743" s="488" t="str">
        <f t="shared" si="78"/>
        <v>VTES -M.O CONCES. -BODY</v>
      </c>
      <c r="AV743" s="899">
        <f>IFERROR(INDEX(V743:AG743,1,MATCH(Parametres!$B$3,V$1:AG$1,0)-1)*IF(OR(C743="L",C743="S",C743="I"),-1,1),"")</f>
        <v>64</v>
      </c>
      <c r="AW743" s="899">
        <f t="shared" si="79"/>
        <v>13</v>
      </c>
      <c r="AX743" s="899">
        <f>INDEX(V743:AG743,1,MATCH(Parametres!$B$3,V$1:AG$1,0))*IF(OR(C743="L",C743="S",C743="I"),-1,1)</f>
        <v>77</v>
      </c>
      <c r="AY743" s="487" t="s">
        <v>337</v>
      </c>
      <c r="AZ743" s="487" t="str">
        <f>+VLOOKUP($AJ743,Data_Validation!$A:$E,5,0)</f>
        <v>Oui</v>
      </c>
    </row>
    <row r="744" spans="1:52" ht="15" customHeight="1">
      <c r="A744" s="706" t="s">
        <v>1148</v>
      </c>
      <c r="B744" s="706">
        <v>2026</v>
      </c>
      <c r="C744" s="706" t="s">
        <v>2496</v>
      </c>
      <c r="D744" s="706" t="s">
        <v>3369</v>
      </c>
      <c r="E744" s="706" t="s">
        <v>1151</v>
      </c>
      <c r="F744" s="706" t="s">
        <v>1149</v>
      </c>
      <c r="G744" s="706">
        <v>0</v>
      </c>
      <c r="H744" s="706">
        <v>0</v>
      </c>
      <c r="I744" s="706">
        <v>0</v>
      </c>
      <c r="J744" s="706">
        <v>0</v>
      </c>
      <c r="K744" s="706">
        <v>845.5</v>
      </c>
      <c r="L744" s="706">
        <v>4409.1000000000004</v>
      </c>
      <c r="M744" s="706">
        <v>7096.43</v>
      </c>
      <c r="N744" s="706">
        <v>7224.43</v>
      </c>
      <c r="O744" s="706">
        <v>7717.93</v>
      </c>
      <c r="P744" s="706">
        <v>0</v>
      </c>
      <c r="Q744" s="706">
        <v>0</v>
      </c>
      <c r="R744" s="706">
        <v>0</v>
      </c>
      <c r="S744" s="706">
        <v>903.05</v>
      </c>
      <c r="T744" s="706">
        <v>903.05</v>
      </c>
      <c r="U744" s="706">
        <v>0</v>
      </c>
      <c r="V744" s="706">
        <v>0</v>
      </c>
      <c r="W744" s="706">
        <v>0</v>
      </c>
      <c r="X744" s="706">
        <v>0</v>
      </c>
      <c r="Y744" s="706">
        <v>0</v>
      </c>
      <c r="Z744" s="706">
        <v>5</v>
      </c>
      <c r="AA744" s="706">
        <v>24</v>
      </c>
      <c r="AB744" s="706">
        <v>42</v>
      </c>
      <c r="AC744" s="706">
        <v>43</v>
      </c>
      <c r="AD744" s="706">
        <v>47</v>
      </c>
      <c r="AE744" s="706">
        <v>0</v>
      </c>
      <c r="AF744" s="706">
        <v>0</v>
      </c>
      <c r="AG744" s="706">
        <v>0</v>
      </c>
      <c r="AH744" s="706">
        <v>5</v>
      </c>
      <c r="AI744" s="706">
        <v>5</v>
      </c>
      <c r="AJ744" s="905" t="str">
        <f t="shared" si="74"/>
        <v>G47110</v>
      </c>
      <c r="AK744" s="905" t="str">
        <f t="shared" si="75"/>
        <v>VTES - M.O MEC CLT BODY</v>
      </c>
      <c r="AL744" s="905">
        <f>IFERROR(INDEX(G744:R744,1,MATCH(Parametres!$B$3,G$1:R$1,0)-1)*IF(OR(F744="L",F744="S",F744="I"),-1,1),"")</f>
        <v>-7096.43</v>
      </c>
      <c r="AM744" s="905">
        <f t="shared" si="76"/>
        <v>-128</v>
      </c>
      <c r="AN744" s="905">
        <f>INDEX(G744:R744,1,MATCH(Parametres!$B$3,G$1:R$1,0))*IF(OR(F744="L",F744="S",F744="I"),-1,1)</f>
        <v>-7224.43</v>
      </c>
      <c r="AO744" s="487" t="str">
        <f>+VLOOKUP($AJ744,Data_Validation!$A:$D,1,0)</f>
        <v>G47110</v>
      </c>
      <c r="AP744" s="487" t="str">
        <f>+VLOOKUP($AJ744,Data_Validation!$A:$D,3,0)</f>
        <v>Carrosserie</v>
      </c>
      <c r="AQ744" s="487" t="str">
        <f>+VLOOKUP($AJ744,Data_Validation!$A:$D,4,0)</f>
        <v>Carrosserie Clients</v>
      </c>
      <c r="AR744" s="487" t="s">
        <v>299</v>
      </c>
      <c r="AS744" s="487" t="str">
        <f>+VLOOKUP($AJ744,Data_Validation!$A:$E,5,0)</f>
        <v>Oui</v>
      </c>
      <c r="AT744" s="904" t="str">
        <f t="shared" si="77"/>
        <v>G47110</v>
      </c>
      <c r="AU744" s="488" t="str">
        <f t="shared" si="78"/>
        <v>VTES - M.O MEC CLT BODY</v>
      </c>
      <c r="AV744" s="899">
        <f>IFERROR(INDEX(V744:AG744,1,MATCH(Parametres!$B$3,V$1:AG$1,0)-1)*IF(OR(C744="L",C744="S",C744="I"),-1,1),"")</f>
        <v>42</v>
      </c>
      <c r="AW744" s="899">
        <f t="shared" si="79"/>
        <v>1</v>
      </c>
      <c r="AX744" s="899">
        <f>INDEX(V744:AG744,1,MATCH(Parametres!$B$3,V$1:AG$1,0))*IF(OR(C744="L",C744="S",C744="I"),-1,1)</f>
        <v>43</v>
      </c>
      <c r="AY744" s="487" t="s">
        <v>337</v>
      </c>
      <c r="AZ744" s="487" t="str">
        <f>+VLOOKUP($AJ744,Data_Validation!$A:$E,5,0)</f>
        <v>Oui</v>
      </c>
    </row>
    <row r="745" spans="1:52" ht="15" customHeight="1">
      <c r="A745" s="706" t="s">
        <v>1148</v>
      </c>
      <c r="B745" s="706">
        <v>2026</v>
      </c>
      <c r="C745" s="706" t="s">
        <v>2498</v>
      </c>
      <c r="D745" s="706" t="s">
        <v>3370</v>
      </c>
      <c r="E745" s="706" t="s">
        <v>1151</v>
      </c>
      <c r="F745" s="706" t="s">
        <v>1149</v>
      </c>
      <c r="G745" s="706">
        <v>0</v>
      </c>
      <c r="H745" s="706">
        <v>0</v>
      </c>
      <c r="I745" s="706">
        <v>0</v>
      </c>
      <c r="J745" s="706">
        <v>0</v>
      </c>
      <c r="K745" s="706">
        <v>386</v>
      </c>
      <c r="L745" s="706">
        <v>386</v>
      </c>
      <c r="M745" s="706">
        <v>386</v>
      </c>
      <c r="N745" s="706">
        <v>386</v>
      </c>
      <c r="O745" s="706">
        <v>386</v>
      </c>
      <c r="P745" s="706">
        <v>0</v>
      </c>
      <c r="Q745" s="706">
        <v>0</v>
      </c>
      <c r="R745" s="706">
        <v>0</v>
      </c>
      <c r="S745" s="706">
        <v>48.25</v>
      </c>
      <c r="T745" s="706">
        <v>48.25</v>
      </c>
      <c r="U745" s="706">
        <v>0</v>
      </c>
      <c r="V745" s="706">
        <v>0</v>
      </c>
      <c r="W745" s="706">
        <v>0</v>
      </c>
      <c r="X745" s="706">
        <v>0</v>
      </c>
      <c r="Y745" s="706">
        <v>0</v>
      </c>
      <c r="Z745" s="706">
        <v>1</v>
      </c>
      <c r="AA745" s="706">
        <v>1</v>
      </c>
      <c r="AB745" s="706">
        <v>1</v>
      </c>
      <c r="AC745" s="706">
        <v>1</v>
      </c>
      <c r="AD745" s="706">
        <v>1</v>
      </c>
      <c r="AE745" s="706">
        <v>0</v>
      </c>
      <c r="AF745" s="706">
        <v>0</v>
      </c>
      <c r="AG745" s="706">
        <v>0</v>
      </c>
      <c r="AH745" s="706">
        <v>0</v>
      </c>
      <c r="AI745" s="706">
        <v>0</v>
      </c>
      <c r="AJ745" s="905" t="str">
        <f t="shared" si="74"/>
        <v>G47115</v>
      </c>
      <c r="AK745" s="905" t="str">
        <f t="shared" si="75"/>
        <v>VTES -M.O CONCES MEC-BODY</v>
      </c>
      <c r="AL745" s="905">
        <f>IFERROR(INDEX(G745:R745,1,MATCH(Parametres!$B$3,G$1:R$1,0)-1)*IF(OR(F745="L",F745="S",F745="I"),-1,1),"")</f>
        <v>-386</v>
      </c>
      <c r="AM745" s="905">
        <f t="shared" si="76"/>
        <v>0</v>
      </c>
      <c r="AN745" s="905">
        <f>INDEX(G745:R745,1,MATCH(Parametres!$B$3,G$1:R$1,0))*IF(OR(F745="L",F745="S",F745="I"),-1,1)</f>
        <v>-386</v>
      </c>
      <c r="AO745" s="487" t="str">
        <f>+VLOOKUP($AJ745,Data_Validation!$A:$D,1,0)</f>
        <v>G47115</v>
      </c>
      <c r="AP745" s="487" t="str">
        <f>+VLOOKUP($AJ745,Data_Validation!$A:$D,3,0)</f>
        <v>Carrosserie</v>
      </c>
      <c r="AQ745" s="487" t="str">
        <f>+VLOOKUP($AJ745,Data_Validation!$A:$D,4,0)</f>
        <v>Carrosserie Concessions</v>
      </c>
      <c r="AR745" s="487" t="s">
        <v>299</v>
      </c>
      <c r="AS745" s="487" t="str">
        <f>+VLOOKUP($AJ745,Data_Validation!$A:$E,5,0)</f>
        <v>Oui</v>
      </c>
      <c r="AT745" s="904" t="str">
        <f t="shared" si="77"/>
        <v>G47115</v>
      </c>
      <c r="AU745" s="488" t="str">
        <f t="shared" si="78"/>
        <v>VTES -M.O CONCES MEC-BODY</v>
      </c>
      <c r="AV745" s="899">
        <f>IFERROR(INDEX(V745:AG745,1,MATCH(Parametres!$B$3,V$1:AG$1,0)-1)*IF(OR(C745="L",C745="S",C745="I"),-1,1),"")</f>
        <v>1</v>
      </c>
      <c r="AW745" s="899">
        <f t="shared" si="79"/>
        <v>0</v>
      </c>
      <c r="AX745" s="899">
        <f>INDEX(V745:AG745,1,MATCH(Parametres!$B$3,V$1:AG$1,0))*IF(OR(C745="L",C745="S",C745="I"),-1,1)</f>
        <v>1</v>
      </c>
      <c r="AY745" s="487" t="s">
        <v>337</v>
      </c>
      <c r="AZ745" s="487" t="str">
        <f>+VLOOKUP($AJ745,Data_Validation!$A:$E,5,0)</f>
        <v>Oui</v>
      </c>
    </row>
    <row r="746" spans="1:52" ht="15" customHeight="1">
      <c r="A746" s="706" t="s">
        <v>1148</v>
      </c>
      <c r="B746" s="706">
        <v>2026</v>
      </c>
      <c r="C746" s="706" t="s">
        <v>2500</v>
      </c>
      <c r="D746" s="706" t="s">
        <v>2501</v>
      </c>
      <c r="E746" s="706" t="s">
        <v>333</v>
      </c>
      <c r="F746" s="706" t="s">
        <v>1149</v>
      </c>
      <c r="G746" s="706">
        <v>0</v>
      </c>
      <c r="H746" s="706">
        <v>0</v>
      </c>
      <c r="I746" s="706">
        <v>0</v>
      </c>
      <c r="J746" s="706">
        <v>0</v>
      </c>
      <c r="K746" s="706">
        <v>0</v>
      </c>
      <c r="L746" s="706">
        <v>-4238.93</v>
      </c>
      <c r="M746" s="706">
        <v>-9167.43</v>
      </c>
      <c r="N746" s="706">
        <v>-13864.6</v>
      </c>
      <c r="O746" s="706">
        <v>-15846.2</v>
      </c>
      <c r="P746" s="706">
        <v>0</v>
      </c>
      <c r="Q746" s="706">
        <v>0</v>
      </c>
      <c r="R746" s="706">
        <v>0</v>
      </c>
      <c r="S746" s="706">
        <v>-1733.08</v>
      </c>
      <c r="T746" s="706">
        <v>-1733.08</v>
      </c>
      <c r="U746" s="706">
        <v>0</v>
      </c>
      <c r="V746" s="706">
        <v>0</v>
      </c>
      <c r="W746" s="706">
        <v>0</v>
      </c>
      <c r="X746" s="706">
        <v>0</v>
      </c>
      <c r="Y746" s="706">
        <v>0</v>
      </c>
      <c r="Z746" s="706">
        <v>0</v>
      </c>
      <c r="AA746" s="706">
        <v>-1</v>
      </c>
      <c r="AB746" s="706">
        <v>-2</v>
      </c>
      <c r="AC746" s="706">
        <v>-3</v>
      </c>
      <c r="AD746" s="706">
        <v>-4</v>
      </c>
      <c r="AE746" s="706">
        <v>0</v>
      </c>
      <c r="AF746" s="706">
        <v>0</v>
      </c>
      <c r="AG746" s="706">
        <v>0</v>
      </c>
      <c r="AH746" s="706">
        <v>0</v>
      </c>
      <c r="AI746" s="706">
        <v>0</v>
      </c>
      <c r="AJ746" s="905" t="str">
        <f t="shared" si="74"/>
        <v>G47125</v>
      </c>
      <c r="AK746" s="905" t="str">
        <f t="shared" si="75"/>
        <v>RISTOURNE M.O CONC.BODY</v>
      </c>
      <c r="AL746" s="905">
        <f>IFERROR(INDEX(G746:R746,1,MATCH(Parametres!$B$3,G$1:R$1,0)-1)*IF(OR(F746="L",F746="S",F746="I"),-1,1),"")</f>
        <v>9167.43</v>
      </c>
      <c r="AM746" s="905">
        <f t="shared" si="76"/>
        <v>4697.17</v>
      </c>
      <c r="AN746" s="905">
        <f>INDEX(G746:R746,1,MATCH(Parametres!$B$3,G$1:R$1,0))*IF(OR(F746="L",F746="S",F746="I"),-1,1)</f>
        <v>13864.6</v>
      </c>
      <c r="AO746" s="487" t="str">
        <f>+VLOOKUP($AJ746,Data_Validation!$A:$D,1,0)</f>
        <v>G47125</v>
      </c>
      <c r="AP746" s="487" t="str">
        <f>+VLOOKUP($AJ746,Data_Validation!$A:$D,3,0)</f>
        <v>Carrosserie</v>
      </c>
      <c r="AQ746" s="487" t="str">
        <f>+VLOOKUP($AJ746,Data_Validation!$A:$D,4,0)</f>
        <v>Carrosserie Concessions</v>
      </c>
      <c r="AR746" s="487" t="s">
        <v>299</v>
      </c>
      <c r="AS746" s="487" t="str">
        <f>+VLOOKUP($AJ746,Data_Validation!$A:$E,5,0)</f>
        <v>Oui</v>
      </c>
      <c r="AT746" s="904" t="str">
        <f t="shared" si="77"/>
        <v>G47125</v>
      </c>
      <c r="AU746" s="488" t="str">
        <f t="shared" si="78"/>
        <v>RISTOURNE M.O CONC.BODY</v>
      </c>
      <c r="AV746" s="899">
        <f>IFERROR(INDEX(V746:AG746,1,MATCH(Parametres!$B$3,V$1:AG$1,0)-1)*IF(OR(C746="L",C746="S",C746="I"),-1,1),"")</f>
        <v>-2</v>
      </c>
      <c r="AW746" s="899">
        <f t="shared" si="79"/>
        <v>-1</v>
      </c>
      <c r="AX746" s="899">
        <f>INDEX(V746:AG746,1,MATCH(Parametres!$B$3,V$1:AG$1,0))*IF(OR(C746="L",C746="S",C746="I"),-1,1)</f>
        <v>-3</v>
      </c>
      <c r="AY746" s="487" t="s">
        <v>337</v>
      </c>
      <c r="AZ746" s="487" t="str">
        <f>+VLOOKUP($AJ746,Data_Validation!$A:$E,5,0)</f>
        <v>Oui</v>
      </c>
    </row>
    <row r="747" spans="1:52" ht="15" customHeight="1">
      <c r="A747" s="706" t="s">
        <v>1148</v>
      </c>
      <c r="B747" s="706">
        <v>2026</v>
      </c>
      <c r="C747" s="706" t="s">
        <v>2502</v>
      </c>
      <c r="D747" s="706" t="s">
        <v>2503</v>
      </c>
      <c r="E747" s="706" t="s">
        <v>1151</v>
      </c>
      <c r="F747" s="706" t="s">
        <v>1149</v>
      </c>
      <c r="G747" s="706">
        <v>176.85</v>
      </c>
      <c r="H747" s="706">
        <v>176.85</v>
      </c>
      <c r="I747" s="706">
        <v>176.85</v>
      </c>
      <c r="J747" s="706">
        <v>559.39</v>
      </c>
      <c r="K747" s="706">
        <v>559.39</v>
      </c>
      <c r="L747" s="706">
        <v>559.39</v>
      </c>
      <c r="M747" s="706">
        <v>559.39</v>
      </c>
      <c r="N747" s="706">
        <v>1598.72</v>
      </c>
      <c r="O747" s="706">
        <v>1598.72</v>
      </c>
      <c r="P747" s="706">
        <v>0</v>
      </c>
      <c r="Q747" s="706">
        <v>0</v>
      </c>
      <c r="R747" s="706">
        <v>0</v>
      </c>
      <c r="S747" s="706">
        <v>199.84</v>
      </c>
      <c r="T747" s="706">
        <v>199.84</v>
      </c>
      <c r="U747" s="706">
        <v>0</v>
      </c>
      <c r="V747" s="706">
        <v>1</v>
      </c>
      <c r="W747" s="706">
        <v>1</v>
      </c>
      <c r="X747" s="706">
        <v>1</v>
      </c>
      <c r="Y747" s="706">
        <v>2</v>
      </c>
      <c r="Z747" s="706">
        <v>2</v>
      </c>
      <c r="AA747" s="706">
        <v>2</v>
      </c>
      <c r="AB747" s="706">
        <v>2</v>
      </c>
      <c r="AC747" s="706">
        <v>3</v>
      </c>
      <c r="AD747" s="706">
        <v>3</v>
      </c>
      <c r="AE747" s="706">
        <v>0</v>
      </c>
      <c r="AF747" s="706">
        <v>0</v>
      </c>
      <c r="AG747" s="706">
        <v>0</v>
      </c>
      <c r="AH747" s="706">
        <v>0</v>
      </c>
      <c r="AI747" s="706">
        <v>0</v>
      </c>
      <c r="AJ747" s="905" t="str">
        <f t="shared" si="74"/>
        <v>G47200</v>
      </c>
      <c r="AK747" s="905" t="str">
        <f t="shared" si="75"/>
        <v>VTES-M.D. CARROS.GARANTIE</v>
      </c>
      <c r="AL747" s="905">
        <f>IFERROR(INDEX(G747:R747,1,MATCH(Parametres!$B$3,G$1:R$1,0)-1)*IF(OR(F747="L",F747="S",F747="I"),-1,1),"")</f>
        <v>-559.39</v>
      </c>
      <c r="AM747" s="905">
        <f t="shared" si="76"/>
        <v>-1039.33</v>
      </c>
      <c r="AN747" s="905">
        <f>INDEX(G747:R747,1,MATCH(Parametres!$B$3,G$1:R$1,0))*IF(OR(F747="L",F747="S",F747="I"),-1,1)</f>
        <v>-1598.72</v>
      </c>
      <c r="AO747" s="487" t="str">
        <f>+VLOOKUP($AJ747,Data_Validation!$A:$D,1,0)</f>
        <v>G47200</v>
      </c>
      <c r="AP747" s="487" t="str">
        <f>+VLOOKUP($AJ747,Data_Validation!$A:$D,3,0)</f>
        <v>Carrosserie</v>
      </c>
      <c r="AQ747" s="487" t="str">
        <f>+VLOOKUP($AJ747,Data_Validation!$A:$D,4,0)</f>
        <v>Carrosserie Interne</v>
      </c>
      <c r="AR747" s="487" t="s">
        <v>299</v>
      </c>
      <c r="AS747" s="487" t="str">
        <f>+VLOOKUP($AJ747,Data_Validation!$A:$E,5,0)</f>
        <v>Oui</v>
      </c>
      <c r="AT747" s="904" t="str">
        <f t="shared" si="77"/>
        <v>G47200</v>
      </c>
      <c r="AU747" s="488" t="str">
        <f t="shared" si="78"/>
        <v>VTES-M.D. CARROS.GARANTIE</v>
      </c>
      <c r="AV747" s="899">
        <f>IFERROR(INDEX(V747:AG747,1,MATCH(Parametres!$B$3,V$1:AG$1,0)-1)*IF(OR(C747="L",C747="S",C747="I"),-1,1),"")</f>
        <v>2</v>
      </c>
      <c r="AW747" s="899">
        <f t="shared" si="79"/>
        <v>1</v>
      </c>
      <c r="AX747" s="899">
        <f>INDEX(V747:AG747,1,MATCH(Parametres!$B$3,V$1:AG$1,0))*IF(OR(C747="L",C747="S",C747="I"),-1,1)</f>
        <v>3</v>
      </c>
      <c r="AY747" s="487" t="s">
        <v>337</v>
      </c>
      <c r="AZ747" s="487" t="str">
        <f>+VLOOKUP($AJ747,Data_Validation!$A:$E,5,0)</f>
        <v>Oui</v>
      </c>
    </row>
    <row r="748" spans="1:52" ht="15" customHeight="1">
      <c r="A748" s="706" t="s">
        <v>1148</v>
      </c>
      <c r="B748" s="706">
        <v>2026</v>
      </c>
      <c r="C748" s="706" t="s">
        <v>2504</v>
      </c>
      <c r="D748" s="706" t="s">
        <v>3371</v>
      </c>
      <c r="E748" s="706" t="s">
        <v>1151</v>
      </c>
      <c r="F748" s="706" t="s">
        <v>1149</v>
      </c>
      <c r="G748" s="706">
        <v>3884</v>
      </c>
      <c r="H748" s="706">
        <v>11349.2</v>
      </c>
      <c r="I748" s="706">
        <v>15516.7</v>
      </c>
      <c r="J748" s="706">
        <v>19788.2</v>
      </c>
      <c r="K748" s="706">
        <v>23844.5</v>
      </c>
      <c r="L748" s="706">
        <v>27952.25</v>
      </c>
      <c r="M748" s="706">
        <v>32587.84</v>
      </c>
      <c r="N748" s="706">
        <v>36754.839999999997</v>
      </c>
      <c r="O748" s="706">
        <v>39613.339999999997</v>
      </c>
      <c r="P748" s="706">
        <v>0</v>
      </c>
      <c r="Q748" s="706">
        <v>0</v>
      </c>
      <c r="R748" s="706">
        <v>0</v>
      </c>
      <c r="S748" s="706">
        <v>4594.3599999999997</v>
      </c>
      <c r="T748" s="706">
        <v>4594.3599999999997</v>
      </c>
      <c r="U748" s="706">
        <v>0</v>
      </c>
      <c r="V748" s="706">
        <v>4</v>
      </c>
      <c r="W748" s="706">
        <v>15</v>
      </c>
      <c r="X748" s="706">
        <v>27</v>
      </c>
      <c r="Y748" s="706">
        <v>33</v>
      </c>
      <c r="Z748" s="706">
        <v>40</v>
      </c>
      <c r="AA748" s="706">
        <v>48</v>
      </c>
      <c r="AB748" s="706">
        <v>56</v>
      </c>
      <c r="AC748" s="706">
        <v>63</v>
      </c>
      <c r="AD748" s="706">
        <v>74</v>
      </c>
      <c r="AE748" s="706">
        <v>0</v>
      </c>
      <c r="AF748" s="706">
        <v>0</v>
      </c>
      <c r="AG748" s="706">
        <v>0</v>
      </c>
      <c r="AH748" s="706">
        <v>8</v>
      </c>
      <c r="AI748" s="706">
        <v>8</v>
      </c>
      <c r="AJ748" s="905" t="str">
        <f t="shared" si="74"/>
        <v>G47300</v>
      </c>
      <c r="AK748" s="905" t="str">
        <f t="shared" si="75"/>
        <v>VTES -M.D. CARROS.INTERNE</v>
      </c>
      <c r="AL748" s="905">
        <f>IFERROR(INDEX(G748:R748,1,MATCH(Parametres!$B$3,G$1:R$1,0)-1)*IF(OR(F748="L",F748="S",F748="I"),-1,1),"")</f>
        <v>-32587.84</v>
      </c>
      <c r="AM748" s="905">
        <f t="shared" si="76"/>
        <v>-4166.9999999999964</v>
      </c>
      <c r="AN748" s="905">
        <f>INDEX(G748:R748,1,MATCH(Parametres!$B$3,G$1:R$1,0))*IF(OR(F748="L",F748="S",F748="I"),-1,1)</f>
        <v>-36754.839999999997</v>
      </c>
      <c r="AO748" s="487" t="str">
        <f>+VLOOKUP($AJ748,Data_Validation!$A:$D,1,0)</f>
        <v>G47300</v>
      </c>
      <c r="AP748" s="487" t="str">
        <f>+VLOOKUP($AJ748,Data_Validation!$A:$D,3,0)</f>
        <v>Carrosserie</v>
      </c>
      <c r="AQ748" s="487" t="str">
        <f>+VLOOKUP($AJ748,Data_Validation!$A:$D,4,0)</f>
        <v>Carrosserie Interne</v>
      </c>
      <c r="AR748" s="487" t="s">
        <v>299</v>
      </c>
      <c r="AS748" s="487" t="str">
        <f>+VLOOKUP($AJ748,Data_Validation!$A:$E,5,0)</f>
        <v>Oui</v>
      </c>
      <c r="AT748" s="904" t="str">
        <f t="shared" si="77"/>
        <v>G47300</v>
      </c>
      <c r="AU748" s="488" t="str">
        <f t="shared" si="78"/>
        <v>VTES -M.D. CARROS.INTERNE</v>
      </c>
      <c r="AV748" s="899">
        <f>IFERROR(INDEX(V748:AG748,1,MATCH(Parametres!$B$3,V$1:AG$1,0)-1)*IF(OR(C748="L",C748="S",C748="I"),-1,1),"")</f>
        <v>56</v>
      </c>
      <c r="AW748" s="899">
        <f t="shared" si="79"/>
        <v>7</v>
      </c>
      <c r="AX748" s="899">
        <f>INDEX(V748:AG748,1,MATCH(Parametres!$B$3,V$1:AG$1,0))*IF(OR(C748="L",C748="S",C748="I"),-1,1)</f>
        <v>63</v>
      </c>
      <c r="AY748" s="487" t="s">
        <v>337</v>
      </c>
      <c r="AZ748" s="487" t="str">
        <f>+VLOOKUP($AJ748,Data_Validation!$A:$E,5,0)</f>
        <v>Oui</v>
      </c>
    </row>
    <row r="749" spans="1:52" ht="15" customHeight="1">
      <c r="A749" s="706" t="s">
        <v>1148</v>
      </c>
      <c r="B749" s="706">
        <v>2026</v>
      </c>
      <c r="C749" s="706" t="s">
        <v>2506</v>
      </c>
      <c r="D749" s="706" t="s">
        <v>3372</v>
      </c>
      <c r="E749" s="706" t="s">
        <v>1151</v>
      </c>
      <c r="F749" s="706" t="s">
        <v>1149</v>
      </c>
      <c r="G749" s="706">
        <v>0</v>
      </c>
      <c r="H749" s="706">
        <v>0</v>
      </c>
      <c r="I749" s="706">
        <v>0</v>
      </c>
      <c r="J749" s="706">
        <v>0</v>
      </c>
      <c r="K749" s="706">
        <v>817.5</v>
      </c>
      <c r="L749" s="706">
        <v>1843.5</v>
      </c>
      <c r="M749" s="706">
        <v>2793</v>
      </c>
      <c r="N749" s="706">
        <v>3523.5</v>
      </c>
      <c r="O749" s="706">
        <v>4348</v>
      </c>
      <c r="P749" s="706">
        <v>0</v>
      </c>
      <c r="Q749" s="706">
        <v>0</v>
      </c>
      <c r="R749" s="706">
        <v>0</v>
      </c>
      <c r="S749" s="706">
        <v>440.44</v>
      </c>
      <c r="T749" s="706">
        <v>440.44</v>
      </c>
      <c r="U749" s="706">
        <v>0</v>
      </c>
      <c r="V749" s="706">
        <v>0</v>
      </c>
      <c r="W749" s="706">
        <v>0</v>
      </c>
      <c r="X749" s="706">
        <v>0</v>
      </c>
      <c r="Y749" s="706">
        <v>0</v>
      </c>
      <c r="Z749" s="706">
        <v>4</v>
      </c>
      <c r="AA749" s="706">
        <v>10</v>
      </c>
      <c r="AB749" s="706">
        <v>14</v>
      </c>
      <c r="AC749" s="706">
        <v>17</v>
      </c>
      <c r="AD749" s="706">
        <v>22</v>
      </c>
      <c r="AE749" s="706">
        <v>0</v>
      </c>
      <c r="AF749" s="706">
        <v>0</v>
      </c>
      <c r="AG749" s="706">
        <v>0</v>
      </c>
      <c r="AH749" s="706">
        <v>2</v>
      </c>
      <c r="AI749" s="706">
        <v>2</v>
      </c>
      <c r="AJ749" s="905" t="str">
        <f t="shared" si="74"/>
        <v>G47303</v>
      </c>
      <c r="AK749" s="905" t="str">
        <f t="shared" si="75"/>
        <v>VTES -M.D. PEINTURE INT</v>
      </c>
      <c r="AL749" s="905">
        <f>IFERROR(INDEX(G749:R749,1,MATCH(Parametres!$B$3,G$1:R$1,0)-1)*IF(OR(F749="L",F749="S",F749="I"),-1,1),"")</f>
        <v>-2793</v>
      </c>
      <c r="AM749" s="905">
        <f t="shared" si="76"/>
        <v>-730.5</v>
      </c>
      <c r="AN749" s="905">
        <f>INDEX(G749:R749,1,MATCH(Parametres!$B$3,G$1:R$1,0))*IF(OR(F749="L",F749="S",F749="I"),-1,1)</f>
        <v>-3523.5</v>
      </c>
      <c r="AO749" s="487" t="str">
        <f>+VLOOKUP($AJ749,Data_Validation!$A:$D,1,0)</f>
        <v>G47303</v>
      </c>
      <c r="AP749" s="487" t="str">
        <f>+VLOOKUP($AJ749,Data_Validation!$A:$D,3,0)</f>
        <v>Carrosserie</v>
      </c>
      <c r="AQ749" s="487" t="str">
        <f>+VLOOKUP($AJ749,Data_Validation!$A:$D,4,0)</f>
        <v>Carrosserie Interne</v>
      </c>
      <c r="AR749" s="487" t="s">
        <v>299</v>
      </c>
      <c r="AS749" s="487" t="str">
        <f>+VLOOKUP($AJ749,Data_Validation!$A:$E,5,0)</f>
        <v>Oui</v>
      </c>
      <c r="AT749" s="904" t="str">
        <f t="shared" si="77"/>
        <v>G47303</v>
      </c>
      <c r="AU749" s="488" t="str">
        <f t="shared" si="78"/>
        <v>VTES -M.D. PEINTURE INT</v>
      </c>
      <c r="AV749" s="899">
        <f>IFERROR(INDEX(V749:AG749,1,MATCH(Parametres!$B$3,V$1:AG$1,0)-1)*IF(OR(C749="L",C749="S",C749="I"),-1,1),"")</f>
        <v>14</v>
      </c>
      <c r="AW749" s="899">
        <f t="shared" si="79"/>
        <v>3</v>
      </c>
      <c r="AX749" s="899">
        <f>INDEX(V749:AG749,1,MATCH(Parametres!$B$3,V$1:AG$1,0))*IF(OR(C749="L",C749="S",C749="I"),-1,1)</f>
        <v>17</v>
      </c>
      <c r="AY749" s="487" t="s">
        <v>337</v>
      </c>
      <c r="AZ749" s="487" t="str">
        <f>+VLOOKUP($AJ749,Data_Validation!$A:$E,5,0)</f>
        <v>Oui</v>
      </c>
    </row>
    <row r="750" spans="1:52" ht="15" customHeight="1">
      <c r="A750" s="706" t="s">
        <v>1148</v>
      </c>
      <c r="B750" s="706">
        <v>2026</v>
      </c>
      <c r="C750" s="706" t="s">
        <v>2508</v>
      </c>
      <c r="D750" s="706" t="s">
        <v>2509</v>
      </c>
      <c r="E750" s="706" t="s">
        <v>1151</v>
      </c>
      <c r="F750" s="706" t="s">
        <v>1149</v>
      </c>
      <c r="G750" s="706">
        <v>0</v>
      </c>
      <c r="H750" s="706">
        <v>0</v>
      </c>
      <c r="I750" s="706">
        <v>0</v>
      </c>
      <c r="J750" s="706">
        <v>0</v>
      </c>
      <c r="K750" s="706">
        <v>0</v>
      </c>
      <c r="L750" s="706">
        <v>0</v>
      </c>
      <c r="M750" s="706">
        <v>0</v>
      </c>
      <c r="N750" s="706">
        <v>0</v>
      </c>
      <c r="O750" s="706">
        <v>792</v>
      </c>
      <c r="P750" s="706">
        <v>0</v>
      </c>
      <c r="Q750" s="706">
        <v>0</v>
      </c>
      <c r="R750" s="706">
        <v>0</v>
      </c>
      <c r="S750" s="706">
        <v>0</v>
      </c>
      <c r="T750" s="706">
        <v>0</v>
      </c>
      <c r="U750" s="706">
        <v>0</v>
      </c>
      <c r="V750" s="706">
        <v>0</v>
      </c>
      <c r="W750" s="706">
        <v>0</v>
      </c>
      <c r="X750" s="706">
        <v>0</v>
      </c>
      <c r="Y750" s="706">
        <v>0</v>
      </c>
      <c r="Z750" s="706">
        <v>0</v>
      </c>
      <c r="AA750" s="706">
        <v>0</v>
      </c>
      <c r="AB750" s="706">
        <v>0</v>
      </c>
      <c r="AC750" s="706">
        <v>0</v>
      </c>
      <c r="AD750" s="706">
        <v>1</v>
      </c>
      <c r="AE750" s="706">
        <v>0</v>
      </c>
      <c r="AF750" s="706">
        <v>0</v>
      </c>
      <c r="AG750" s="706">
        <v>0</v>
      </c>
      <c r="AH750" s="706">
        <v>0</v>
      </c>
      <c r="AI750" s="706">
        <v>0</v>
      </c>
      <c r="AJ750" s="905" t="str">
        <f t="shared" si="74"/>
        <v>G47313</v>
      </c>
      <c r="AK750" s="905" t="str">
        <f t="shared" si="75"/>
        <v>VTE -M.O MEC INTERN-BODY</v>
      </c>
      <c r="AL750" s="905">
        <f>IFERROR(INDEX(G750:R750,1,MATCH(Parametres!$B$3,G$1:R$1,0)-1)*IF(OR(F750="L",F750="S",F750="I"),-1,1),"")</f>
        <v>0</v>
      </c>
      <c r="AM750" s="905">
        <f t="shared" si="76"/>
        <v>0</v>
      </c>
      <c r="AN750" s="905">
        <f>INDEX(G750:R750,1,MATCH(Parametres!$B$3,G$1:R$1,0))*IF(OR(F750="L",F750="S",F750="I"),-1,1)</f>
        <v>0</v>
      </c>
      <c r="AO750" s="487" t="str">
        <f>+VLOOKUP($AJ750,Data_Validation!$A:$D,1,0)</f>
        <v>G47313</v>
      </c>
      <c r="AP750" s="487" t="str">
        <f>+VLOOKUP($AJ750,Data_Validation!$A:$D,3,0)</f>
        <v>Carrosserie</v>
      </c>
      <c r="AQ750" s="487" t="str">
        <f>+VLOOKUP($AJ750,Data_Validation!$A:$D,4,0)</f>
        <v>Carrosserie Interne</v>
      </c>
      <c r="AR750" s="487" t="s">
        <v>299</v>
      </c>
      <c r="AS750" s="487" t="str">
        <f>+VLOOKUP($AJ750,Data_Validation!$A:$E,5,0)</f>
        <v>Oui</v>
      </c>
      <c r="AT750" s="904" t="str">
        <f t="shared" si="77"/>
        <v>G47313</v>
      </c>
      <c r="AU750" s="488" t="str">
        <f t="shared" si="78"/>
        <v>VTE -M.O MEC INTERN-BODY</v>
      </c>
      <c r="AV750" s="899">
        <f>IFERROR(INDEX(V750:AG750,1,MATCH(Parametres!$B$3,V$1:AG$1,0)-1)*IF(OR(C750="L",C750="S",C750="I"),-1,1),"")</f>
        <v>0</v>
      </c>
      <c r="AW750" s="899">
        <f t="shared" si="79"/>
        <v>0</v>
      </c>
      <c r="AX750" s="899">
        <f>INDEX(V750:AG750,1,MATCH(Parametres!$B$3,V$1:AG$1,0))*IF(OR(C750="L",C750="S",C750="I"),-1,1)</f>
        <v>0</v>
      </c>
      <c r="AY750" s="487" t="s">
        <v>337</v>
      </c>
      <c r="AZ750" s="487" t="str">
        <f>+VLOOKUP($AJ750,Data_Validation!$A:$E,5,0)</f>
        <v>Oui</v>
      </c>
    </row>
    <row r="751" spans="1:52" ht="15" customHeight="1">
      <c r="A751" s="706" t="s">
        <v>1148</v>
      </c>
      <c r="B751" s="706">
        <v>2026</v>
      </c>
      <c r="C751" s="706" t="s">
        <v>2510</v>
      </c>
      <c r="D751" s="706" t="s">
        <v>2511</v>
      </c>
      <c r="E751" s="706" t="s">
        <v>333</v>
      </c>
      <c r="F751" s="706" t="s">
        <v>1149</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905" t="str">
        <f t="shared" si="74"/>
        <v>G47500</v>
      </c>
      <c r="AK751" s="905" t="str">
        <f t="shared" si="75"/>
        <v>*TEMPS PERDU CARROSSERIE</v>
      </c>
      <c r="AL751" s="905">
        <f>IFERROR(INDEX(G751:R751,1,MATCH(Parametres!$B$3,G$1:R$1,0)-1)*IF(OR(F751="L",F751="S",F751="I"),-1,1),"")</f>
        <v>0</v>
      </c>
      <c r="AM751" s="905">
        <f t="shared" si="76"/>
        <v>0</v>
      </c>
      <c r="AN751" s="905">
        <f>INDEX(G751:R751,1,MATCH(Parametres!$B$3,G$1:R$1,0))*IF(OR(F751="L",F751="S",F751="I"),-1,1)</f>
        <v>0</v>
      </c>
      <c r="AO751" s="487" t="str">
        <f>+VLOOKUP($AJ751,Data_Validation!$A:$D,1,0)</f>
        <v>G47500</v>
      </c>
      <c r="AP751" s="487" t="str">
        <f>+VLOOKUP($AJ751,Data_Validation!$A:$D,3,0)</f>
        <v>Carrosserie</v>
      </c>
      <c r="AQ751" s="487" t="str">
        <f>+VLOOKUP($AJ751,Data_Validation!$A:$D,4,0)</f>
        <v>Ajustement M/O Carrosserie</v>
      </c>
      <c r="AR751" s="487" t="s">
        <v>299</v>
      </c>
      <c r="AS751" s="487" t="str">
        <f>+VLOOKUP($AJ751,Data_Validation!$A:$E,5,0)</f>
        <v>Oui</v>
      </c>
      <c r="AT751" s="904" t="str">
        <f t="shared" si="77"/>
        <v>G47500</v>
      </c>
      <c r="AU751" s="488" t="str">
        <f t="shared" si="78"/>
        <v>*TEMPS PERDU CARROSSERIE</v>
      </c>
      <c r="AV751" s="899">
        <f>IFERROR(INDEX(V751:AG751,1,MATCH(Parametres!$B$3,V$1:AG$1,0)-1)*IF(OR(C751="L",C751="S",C751="I"),-1,1),"")</f>
        <v>0</v>
      </c>
      <c r="AW751" s="899">
        <f t="shared" si="79"/>
        <v>0</v>
      </c>
      <c r="AX751" s="899">
        <f>INDEX(V751:AG751,1,MATCH(Parametres!$B$3,V$1:AG$1,0))*IF(OR(C751="L",C751="S",C751="I"),-1,1)</f>
        <v>0</v>
      </c>
      <c r="AY751" s="487" t="s">
        <v>337</v>
      </c>
      <c r="AZ751" s="487" t="str">
        <f>+VLOOKUP($AJ751,Data_Validation!$A:$E,5,0)</f>
        <v>Oui</v>
      </c>
    </row>
    <row r="752" spans="1:52" ht="15" customHeight="1">
      <c r="A752" s="706" t="s">
        <v>1148</v>
      </c>
      <c r="B752" s="706">
        <v>2026</v>
      </c>
      <c r="C752" s="706" t="s">
        <v>2512</v>
      </c>
      <c r="D752" s="706" t="s">
        <v>2513</v>
      </c>
      <c r="E752" s="706" t="s">
        <v>1151</v>
      </c>
      <c r="F752" s="706" t="s">
        <v>1149</v>
      </c>
      <c r="G752" s="706">
        <v>95129.18</v>
      </c>
      <c r="H752" s="706">
        <v>187039.21</v>
      </c>
      <c r="I752" s="706">
        <v>259663.73</v>
      </c>
      <c r="J752" s="706">
        <v>303769.32</v>
      </c>
      <c r="K752" s="706">
        <v>337800.91</v>
      </c>
      <c r="L752" s="706">
        <v>389901.01</v>
      </c>
      <c r="M752" s="706">
        <v>433867.16</v>
      </c>
      <c r="N752" s="706">
        <v>475247.57</v>
      </c>
      <c r="O752" s="706">
        <v>507700.26</v>
      </c>
      <c r="P752" s="706">
        <v>0</v>
      </c>
      <c r="Q752" s="706">
        <v>0</v>
      </c>
      <c r="R752" s="706">
        <v>0</v>
      </c>
      <c r="S752" s="706">
        <v>59405.95</v>
      </c>
      <c r="T752" s="706">
        <v>59405.95</v>
      </c>
      <c r="U752" s="706">
        <v>0</v>
      </c>
      <c r="V752" s="706">
        <v>30</v>
      </c>
      <c r="W752" s="706">
        <v>70</v>
      </c>
      <c r="X752" s="706">
        <v>108</v>
      </c>
      <c r="Y752" s="706">
        <v>135</v>
      </c>
      <c r="Z752" s="706">
        <v>157</v>
      </c>
      <c r="AA752" s="706">
        <v>188</v>
      </c>
      <c r="AB752" s="706">
        <v>213</v>
      </c>
      <c r="AC752" s="706">
        <v>235</v>
      </c>
      <c r="AD752" s="706">
        <v>263</v>
      </c>
      <c r="AE752" s="706">
        <v>0</v>
      </c>
      <c r="AF752" s="706">
        <v>0</v>
      </c>
      <c r="AG752" s="706">
        <v>0</v>
      </c>
      <c r="AH752" s="706">
        <v>29</v>
      </c>
      <c r="AI752" s="706">
        <v>29</v>
      </c>
      <c r="AJ752" s="905" t="str">
        <f t="shared" si="74"/>
        <v>G47600</v>
      </c>
      <c r="AK752" s="905" t="str">
        <f t="shared" si="75"/>
        <v>VTES-REP.SOUS-TRAITE BODY</v>
      </c>
      <c r="AL752" s="905">
        <f>IFERROR(INDEX(G752:R752,1,MATCH(Parametres!$B$3,G$1:R$1,0)-1)*IF(OR(F752="L",F752="S",F752="I"),-1,1),"")</f>
        <v>-433867.16</v>
      </c>
      <c r="AM752" s="905">
        <f t="shared" si="76"/>
        <v>-41380.410000000033</v>
      </c>
      <c r="AN752" s="905">
        <f>INDEX(G752:R752,1,MATCH(Parametres!$B$3,G$1:R$1,0))*IF(OR(F752="L",F752="S",F752="I"),-1,1)</f>
        <v>-475247.57</v>
      </c>
      <c r="AO752" s="487" t="str">
        <f>+VLOOKUP($AJ752,Data_Validation!$A:$D,1,0)</f>
        <v>G47600</v>
      </c>
      <c r="AP752" s="487" t="str">
        <f>+VLOOKUP($AJ752,Data_Validation!$A:$D,3,0)</f>
        <v>Carrosserie</v>
      </c>
      <c r="AQ752" s="487" t="str">
        <f>+VLOOKUP($AJ752,Data_Validation!$A:$D,4,0)</f>
        <v>Carrosserie Clients</v>
      </c>
      <c r="AR752" s="487" t="s">
        <v>299</v>
      </c>
      <c r="AS752" s="487" t="str">
        <f>+VLOOKUP($AJ752,Data_Validation!$A:$E,5,0)</f>
        <v>Oui</v>
      </c>
      <c r="AT752" s="904" t="str">
        <f t="shared" si="77"/>
        <v>G47600</v>
      </c>
      <c r="AU752" s="488" t="str">
        <f t="shared" si="78"/>
        <v>VTES-REP.SOUS-TRAITE BODY</v>
      </c>
      <c r="AV752" s="899">
        <f>IFERROR(INDEX(V752:AG752,1,MATCH(Parametres!$B$3,V$1:AG$1,0)-1)*IF(OR(C752="L",C752="S",C752="I"),-1,1),"")</f>
        <v>213</v>
      </c>
      <c r="AW752" s="899">
        <f t="shared" si="79"/>
        <v>22</v>
      </c>
      <c r="AX752" s="899">
        <f>INDEX(V752:AG752,1,MATCH(Parametres!$B$3,V$1:AG$1,0))*IF(OR(C752="L",C752="S",C752="I"),-1,1)</f>
        <v>235</v>
      </c>
      <c r="AY752" s="487" t="s">
        <v>337</v>
      </c>
      <c r="AZ752" s="487" t="str">
        <f>+VLOOKUP($AJ752,Data_Validation!$A:$E,5,0)</f>
        <v>Oui</v>
      </c>
    </row>
    <row r="753" spans="1:52" ht="15" customHeight="1">
      <c r="A753" s="706" t="s">
        <v>1148</v>
      </c>
      <c r="B753" s="706">
        <v>2026</v>
      </c>
      <c r="C753" s="706" t="s">
        <v>2514</v>
      </c>
      <c r="D753" s="706" t="s">
        <v>3373</v>
      </c>
      <c r="E753" s="706" t="s">
        <v>1151</v>
      </c>
      <c r="F753" s="706" t="s">
        <v>1149</v>
      </c>
      <c r="G753" s="706">
        <v>0</v>
      </c>
      <c r="H753" s="706">
        <v>0</v>
      </c>
      <c r="I753" s="706">
        <v>0</v>
      </c>
      <c r="J753" s="706">
        <v>0</v>
      </c>
      <c r="K753" s="706">
        <v>0</v>
      </c>
      <c r="L753" s="706">
        <v>331.62</v>
      </c>
      <c r="M753" s="706">
        <v>1036.33</v>
      </c>
      <c r="N753" s="706">
        <v>1451.84</v>
      </c>
      <c r="O753" s="706">
        <v>5688.45</v>
      </c>
      <c r="P753" s="706">
        <v>0</v>
      </c>
      <c r="Q753" s="706">
        <v>0</v>
      </c>
      <c r="R753" s="706">
        <v>0</v>
      </c>
      <c r="S753" s="706">
        <v>181.48</v>
      </c>
      <c r="T753" s="706">
        <v>181.48</v>
      </c>
      <c r="U753" s="706">
        <v>0</v>
      </c>
      <c r="V753" s="706">
        <v>0</v>
      </c>
      <c r="W753" s="706">
        <v>0</v>
      </c>
      <c r="X753" s="706">
        <v>0</v>
      </c>
      <c r="Y753" s="706">
        <v>0</v>
      </c>
      <c r="Z753" s="706">
        <v>0</v>
      </c>
      <c r="AA753" s="706">
        <v>3</v>
      </c>
      <c r="AB753" s="706">
        <v>8</v>
      </c>
      <c r="AC753" s="706">
        <v>10</v>
      </c>
      <c r="AD753" s="706">
        <v>14</v>
      </c>
      <c r="AE753" s="706">
        <v>0</v>
      </c>
      <c r="AF753" s="706">
        <v>0</v>
      </c>
      <c r="AG753" s="706">
        <v>0</v>
      </c>
      <c r="AH753" s="706">
        <v>1</v>
      </c>
      <c r="AI753" s="706">
        <v>1</v>
      </c>
      <c r="AJ753" s="905" t="str">
        <f t="shared" si="74"/>
        <v>G47603</v>
      </c>
      <c r="AK753" s="905" t="str">
        <f t="shared" si="75"/>
        <v>VTES - S.T. INTERN-BODY</v>
      </c>
      <c r="AL753" s="905">
        <f>IFERROR(INDEX(G753:R753,1,MATCH(Parametres!$B$3,G$1:R$1,0)-1)*IF(OR(F753="L",F753="S",F753="I"),-1,1),"")</f>
        <v>-1036.33</v>
      </c>
      <c r="AM753" s="905">
        <f t="shared" si="76"/>
        <v>-415.51</v>
      </c>
      <c r="AN753" s="905">
        <f>INDEX(G753:R753,1,MATCH(Parametres!$B$3,G$1:R$1,0))*IF(OR(F753="L",F753="S",F753="I"),-1,1)</f>
        <v>-1451.84</v>
      </c>
      <c r="AO753" s="487" t="str">
        <f>+VLOOKUP($AJ753,Data_Validation!$A:$D,1,0)</f>
        <v>G47603</v>
      </c>
      <c r="AP753" s="487" t="str">
        <f>+VLOOKUP($AJ753,Data_Validation!$A:$D,3,0)</f>
        <v>Carrosserie</v>
      </c>
      <c r="AQ753" s="487" t="str">
        <f>+VLOOKUP($AJ753,Data_Validation!$A:$D,4,0)</f>
        <v>Carrosserie Interne</v>
      </c>
      <c r="AR753" s="487" t="s">
        <v>299</v>
      </c>
      <c r="AS753" s="487" t="str">
        <f>+VLOOKUP($AJ753,Data_Validation!$A:$E,5,0)</f>
        <v>Oui</v>
      </c>
      <c r="AT753" s="904" t="str">
        <f t="shared" si="77"/>
        <v>G47603</v>
      </c>
      <c r="AU753" s="488" t="str">
        <f t="shared" si="78"/>
        <v>VTES - S.T. INTERN-BODY</v>
      </c>
      <c r="AV753" s="899">
        <f>IFERROR(INDEX(V753:AG753,1,MATCH(Parametres!$B$3,V$1:AG$1,0)-1)*IF(OR(C753="L",C753="S",C753="I"),-1,1),"")</f>
        <v>8</v>
      </c>
      <c r="AW753" s="899">
        <f t="shared" si="79"/>
        <v>2</v>
      </c>
      <c r="AX753" s="899">
        <f>INDEX(V753:AG753,1,MATCH(Parametres!$B$3,V$1:AG$1,0))*IF(OR(C753="L",C753="S",C753="I"),-1,1)</f>
        <v>10</v>
      </c>
      <c r="AY753" s="487" t="s">
        <v>337</v>
      </c>
      <c r="AZ753" s="487" t="str">
        <f>+VLOOKUP($AJ753,Data_Validation!$A:$E,5,0)</f>
        <v>Oui</v>
      </c>
    </row>
    <row r="754" spans="1:52" ht="15" customHeight="1">
      <c r="A754" s="706" t="s">
        <v>1148</v>
      </c>
      <c r="B754" s="706">
        <v>2026</v>
      </c>
      <c r="C754" s="706" t="s">
        <v>2516</v>
      </c>
      <c r="D754" s="706" t="s">
        <v>3374</v>
      </c>
      <c r="E754" s="706" t="s">
        <v>1151</v>
      </c>
      <c r="F754" s="706" t="s">
        <v>1149</v>
      </c>
      <c r="G754" s="706">
        <v>0</v>
      </c>
      <c r="H754" s="706">
        <v>0</v>
      </c>
      <c r="I754" s="706">
        <v>0</v>
      </c>
      <c r="J754" s="706">
        <v>0</v>
      </c>
      <c r="K754" s="706">
        <v>7087.7</v>
      </c>
      <c r="L754" s="706">
        <v>7357.7</v>
      </c>
      <c r="M754" s="706">
        <v>8017.7</v>
      </c>
      <c r="N754" s="706">
        <v>8182.7</v>
      </c>
      <c r="O754" s="706">
        <v>9005.7000000000007</v>
      </c>
      <c r="P754" s="706">
        <v>0</v>
      </c>
      <c r="Q754" s="706">
        <v>0</v>
      </c>
      <c r="R754" s="706">
        <v>0</v>
      </c>
      <c r="S754" s="706">
        <v>1022.84</v>
      </c>
      <c r="T754" s="706">
        <v>1022.84</v>
      </c>
      <c r="U754" s="706">
        <v>0</v>
      </c>
      <c r="V754" s="706">
        <v>0</v>
      </c>
      <c r="W754" s="706">
        <v>0</v>
      </c>
      <c r="X754" s="706">
        <v>0</v>
      </c>
      <c r="Y754" s="706">
        <v>0</v>
      </c>
      <c r="Z754" s="706">
        <v>2</v>
      </c>
      <c r="AA754" s="706">
        <v>4</v>
      </c>
      <c r="AB754" s="706">
        <v>6</v>
      </c>
      <c r="AC754" s="706">
        <v>7</v>
      </c>
      <c r="AD754" s="706">
        <v>10</v>
      </c>
      <c r="AE754" s="706">
        <v>0</v>
      </c>
      <c r="AF754" s="706">
        <v>0</v>
      </c>
      <c r="AG754" s="706">
        <v>0</v>
      </c>
      <c r="AH754" s="706">
        <v>1</v>
      </c>
      <c r="AI754" s="706">
        <v>1</v>
      </c>
      <c r="AJ754" s="905" t="str">
        <f t="shared" si="74"/>
        <v>G47605</v>
      </c>
      <c r="AK754" s="905" t="str">
        <f t="shared" si="75"/>
        <v>VTES -S.T CONCES. BODY</v>
      </c>
      <c r="AL754" s="905">
        <f>IFERROR(INDEX(G754:R754,1,MATCH(Parametres!$B$3,G$1:R$1,0)-1)*IF(OR(F754="L",F754="S",F754="I"),-1,1),"")</f>
        <v>-8017.7</v>
      </c>
      <c r="AM754" s="905">
        <f t="shared" si="76"/>
        <v>-165</v>
      </c>
      <c r="AN754" s="905">
        <f>INDEX(G754:R754,1,MATCH(Parametres!$B$3,G$1:R$1,0))*IF(OR(F754="L",F754="S",F754="I"),-1,1)</f>
        <v>-8182.7</v>
      </c>
      <c r="AO754" s="487" t="str">
        <f>+VLOOKUP($AJ754,Data_Validation!$A:$D,1,0)</f>
        <v>G47605</v>
      </c>
      <c r="AP754" s="487" t="str">
        <f>+VLOOKUP($AJ754,Data_Validation!$A:$D,3,0)</f>
        <v>Carrosserie</v>
      </c>
      <c r="AQ754" s="487" t="str">
        <f>+VLOOKUP($AJ754,Data_Validation!$A:$D,4,0)</f>
        <v>Carrosserie Concessions</v>
      </c>
      <c r="AR754" s="487" t="s">
        <v>299</v>
      </c>
      <c r="AS754" s="487" t="str">
        <f>+VLOOKUP($AJ754,Data_Validation!$A:$E,5,0)</f>
        <v>Oui</v>
      </c>
      <c r="AT754" s="904" t="str">
        <f t="shared" si="77"/>
        <v>G47605</v>
      </c>
      <c r="AU754" s="488" t="str">
        <f t="shared" si="78"/>
        <v>VTES -S.T CONCES. BODY</v>
      </c>
      <c r="AV754" s="899">
        <f>IFERROR(INDEX(V754:AG754,1,MATCH(Parametres!$B$3,V$1:AG$1,0)-1)*IF(OR(C754="L",C754="S",C754="I"),-1,1),"")</f>
        <v>6</v>
      </c>
      <c r="AW754" s="899">
        <f t="shared" si="79"/>
        <v>1</v>
      </c>
      <c r="AX754" s="899">
        <f>INDEX(V754:AG754,1,MATCH(Parametres!$B$3,V$1:AG$1,0))*IF(OR(C754="L",C754="S",C754="I"),-1,1)</f>
        <v>7</v>
      </c>
      <c r="AY754" s="487" t="s">
        <v>337</v>
      </c>
      <c r="AZ754" s="487" t="str">
        <f>+VLOOKUP($AJ754,Data_Validation!$A:$E,5,0)</f>
        <v>Oui</v>
      </c>
    </row>
    <row r="755" spans="1:52" ht="15" customHeight="1">
      <c r="A755" s="706" t="s">
        <v>1148</v>
      </c>
      <c r="B755" s="706">
        <v>2026</v>
      </c>
      <c r="C755" s="706" t="s">
        <v>2518</v>
      </c>
      <c r="D755" s="706" t="s">
        <v>2519</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G47610</v>
      </c>
      <c r="AK755" s="905" t="str">
        <f t="shared" si="75"/>
        <v>VTE -PCS.S-T BODY -CLIENT</v>
      </c>
      <c r="AL755" s="905">
        <f>IFERROR(INDEX(G755:R755,1,MATCH(Parametres!$B$3,G$1:R$1,0)-1)*IF(OR(F755="L",F755="S",F755="I"),-1,1),"")</f>
        <v>0</v>
      </c>
      <c r="AM755" s="905">
        <f t="shared" si="76"/>
        <v>0</v>
      </c>
      <c r="AN755" s="905">
        <f>INDEX(G755:R755,1,MATCH(Parametres!$B$3,G$1:R$1,0))*IF(OR(F755="L",F755="S",F755="I"),-1,1)</f>
        <v>0</v>
      </c>
      <c r="AO755" s="487" t="str">
        <f>+VLOOKUP($AJ755,Data_Validation!$A:$D,1,0)</f>
        <v>G47610</v>
      </c>
      <c r="AP755" s="487" t="str">
        <f>+VLOOKUP($AJ755,Data_Validation!$A:$D,3,0)</f>
        <v>Carrosserie</v>
      </c>
      <c r="AQ755" s="487" t="str">
        <f>+VLOOKUP($AJ755,Data_Validation!$A:$D,4,0)</f>
        <v>Carrosserie Clients</v>
      </c>
      <c r="AR755" s="487" t="s">
        <v>299</v>
      </c>
      <c r="AS755" s="487" t="str">
        <f>+VLOOKUP($AJ755,Data_Validation!$A:$E,5,0)</f>
        <v>Oui</v>
      </c>
      <c r="AT755" s="904" t="str">
        <f t="shared" si="77"/>
        <v>G47610</v>
      </c>
      <c r="AU755" s="488" t="str">
        <f t="shared" si="78"/>
        <v>VTE -PCS.S-T BODY -CLIENT</v>
      </c>
      <c r="AV755" s="899">
        <f>IFERROR(INDEX(V755:AG755,1,MATCH(Parametres!$B$3,V$1:AG$1,0)-1)*IF(OR(C755="L",C755="S",C755="I"),-1,1),"")</f>
        <v>0</v>
      </c>
      <c r="AW755" s="899">
        <f t="shared" si="79"/>
        <v>0</v>
      </c>
      <c r="AX755" s="899">
        <f>INDEX(V755:AG755,1,MATCH(Parametres!$B$3,V$1:AG$1,0))*IF(OR(C755="L",C755="S",C755="I"),-1,1)</f>
        <v>0</v>
      </c>
      <c r="AY755" s="487" t="s">
        <v>337</v>
      </c>
      <c r="AZ755" s="487" t="str">
        <f>+VLOOKUP($AJ755,Data_Validation!$A:$E,5,0)</f>
        <v>Oui</v>
      </c>
    </row>
    <row r="756" spans="1:52" ht="15" customHeight="1">
      <c r="A756" s="706" t="s">
        <v>1148</v>
      </c>
      <c r="B756" s="706">
        <v>2026</v>
      </c>
      <c r="C756" s="706" t="s">
        <v>2520</v>
      </c>
      <c r="D756" s="706" t="s">
        <v>2521</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G47613</v>
      </c>
      <c r="AK756" s="905" t="str">
        <f t="shared" si="75"/>
        <v>VTE -PIECES INTERN -BODY</v>
      </c>
      <c r="AL756" s="905">
        <f>IFERROR(INDEX(G756:R756,1,MATCH(Parametres!$B$3,G$1:R$1,0)-1)*IF(OR(F756="L",F756="S",F756="I"),-1,1),"")</f>
        <v>0</v>
      </c>
      <c r="AM756" s="905">
        <f t="shared" si="76"/>
        <v>0</v>
      </c>
      <c r="AN756" s="905">
        <f>INDEX(G756:R756,1,MATCH(Parametres!$B$3,G$1:R$1,0))*IF(OR(F756="L",F756="S",F756="I"),-1,1)</f>
        <v>0</v>
      </c>
      <c r="AO756" s="487" t="str">
        <f>+VLOOKUP($AJ756,Data_Validation!$A:$D,1,0)</f>
        <v>G47613</v>
      </c>
      <c r="AP756" s="487" t="str">
        <f>+VLOOKUP($AJ756,Data_Validation!$A:$D,3,0)</f>
        <v>Carrosserie</v>
      </c>
      <c r="AQ756" s="487" t="str">
        <f>+VLOOKUP($AJ756,Data_Validation!$A:$D,4,0)</f>
        <v>Carrosserie Interne</v>
      </c>
      <c r="AR756" s="487" t="s">
        <v>299</v>
      </c>
      <c r="AS756" s="487" t="str">
        <f>+VLOOKUP($AJ756,Data_Validation!$A:$E,5,0)</f>
        <v>Oui</v>
      </c>
      <c r="AT756" s="904" t="str">
        <f t="shared" si="77"/>
        <v>G47613</v>
      </c>
      <c r="AU756" s="488" t="str">
        <f t="shared" si="78"/>
        <v>VTE -PIECES INTERN -BODY</v>
      </c>
      <c r="AV756" s="899">
        <f>IFERROR(INDEX(V756:AG756,1,MATCH(Parametres!$B$3,V$1:AG$1,0)-1)*IF(OR(C756="L",C756="S",C756="I"),-1,1),"")</f>
        <v>0</v>
      </c>
      <c r="AW756" s="899">
        <f t="shared" si="79"/>
        <v>0</v>
      </c>
      <c r="AX756" s="899">
        <f>INDEX(V756:AG756,1,MATCH(Parametres!$B$3,V$1:AG$1,0))*IF(OR(C756="L",C756="S",C756="I"),-1,1)</f>
        <v>0</v>
      </c>
      <c r="AY756" s="487" t="s">
        <v>337</v>
      </c>
      <c r="AZ756" s="487" t="str">
        <f>+VLOOKUP($AJ756,Data_Validation!$A:$E,5,0)</f>
        <v>Oui</v>
      </c>
    </row>
    <row r="757" spans="1:52" ht="15" customHeight="1">
      <c r="A757" s="706" t="s">
        <v>1148</v>
      </c>
      <c r="B757" s="706">
        <v>2026</v>
      </c>
      <c r="C757" s="706" t="s">
        <v>2522</v>
      </c>
      <c r="D757" s="706" t="s">
        <v>2523</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G47615</v>
      </c>
      <c r="AK757" s="905" t="str">
        <f t="shared" si="75"/>
        <v>VTE - S-T PCS CONCES-BOD</v>
      </c>
      <c r="AL757" s="905">
        <f>IFERROR(INDEX(G757:R757,1,MATCH(Parametres!$B$3,G$1:R$1,0)-1)*IF(OR(F757="L",F757="S",F757="I"),-1,1),"")</f>
        <v>0</v>
      </c>
      <c r="AM757" s="905">
        <f t="shared" si="76"/>
        <v>0</v>
      </c>
      <c r="AN757" s="905">
        <f>INDEX(G757:R757,1,MATCH(Parametres!$B$3,G$1:R$1,0))*IF(OR(F757="L",F757="S",F757="I"),-1,1)</f>
        <v>0</v>
      </c>
      <c r="AO757" s="487" t="str">
        <f>+VLOOKUP($AJ757,Data_Validation!$A:$D,1,0)</f>
        <v>G47615</v>
      </c>
      <c r="AP757" s="487" t="str">
        <f>+VLOOKUP($AJ757,Data_Validation!$A:$D,3,0)</f>
        <v>Carrosserie</v>
      </c>
      <c r="AQ757" s="487" t="str">
        <f>+VLOOKUP($AJ757,Data_Validation!$A:$D,4,0)</f>
        <v>Carrosserie Concessions</v>
      </c>
      <c r="AR757" s="487" t="s">
        <v>299</v>
      </c>
      <c r="AS757" s="487" t="str">
        <f>+VLOOKUP($AJ757,Data_Validation!$A:$E,5,0)</f>
        <v>Oui</v>
      </c>
      <c r="AT757" s="904" t="str">
        <f t="shared" si="77"/>
        <v>G47615</v>
      </c>
      <c r="AU757" s="488" t="str">
        <f t="shared" si="78"/>
        <v>VTE - S-T PCS CONCES-BOD</v>
      </c>
      <c r="AV757" s="899">
        <f>IFERROR(INDEX(V757:AG757,1,MATCH(Parametres!$B$3,V$1:AG$1,0)-1)*IF(OR(C757="L",C757="S",C757="I"),-1,1),"")</f>
        <v>0</v>
      </c>
      <c r="AW757" s="899">
        <f t="shared" si="79"/>
        <v>0</v>
      </c>
      <c r="AX757" s="899">
        <f>INDEX(V757:AG757,1,MATCH(Parametres!$B$3,V$1:AG$1,0))*IF(OR(C757="L",C757="S",C757="I"),-1,1)</f>
        <v>0</v>
      </c>
      <c r="AY757" s="487" t="s">
        <v>337</v>
      </c>
      <c r="AZ757" s="487" t="str">
        <f>+VLOOKUP($AJ757,Data_Validation!$A:$E,5,0)</f>
        <v>Oui</v>
      </c>
    </row>
    <row r="758" spans="1:52" ht="15" customHeight="1">
      <c r="A758" s="706" t="s">
        <v>1148</v>
      </c>
      <c r="B758" s="706">
        <v>2026</v>
      </c>
      <c r="C758" s="706" t="s">
        <v>2524</v>
      </c>
      <c r="D758" s="706" t="s">
        <v>3375</v>
      </c>
      <c r="E758" s="706" t="s">
        <v>1151</v>
      </c>
      <c r="F758" s="706" t="s">
        <v>1149</v>
      </c>
      <c r="G758" s="706">
        <v>0</v>
      </c>
      <c r="H758" s="706">
        <v>0</v>
      </c>
      <c r="I758" s="706">
        <v>0</v>
      </c>
      <c r="J758" s="706">
        <v>0</v>
      </c>
      <c r="K758" s="706">
        <v>0</v>
      </c>
      <c r="L758" s="706">
        <v>1486.33</v>
      </c>
      <c r="M758" s="706">
        <v>1486.33</v>
      </c>
      <c r="N758" s="706">
        <v>1486.33</v>
      </c>
      <c r="O758" s="706">
        <v>1486.33</v>
      </c>
      <c r="P758" s="706">
        <v>0</v>
      </c>
      <c r="Q758" s="706">
        <v>0</v>
      </c>
      <c r="R758" s="706">
        <v>0</v>
      </c>
      <c r="S758" s="706">
        <v>185.79</v>
      </c>
      <c r="T758" s="706">
        <v>185.79</v>
      </c>
      <c r="U758" s="706">
        <v>0</v>
      </c>
      <c r="V758" s="706">
        <v>0</v>
      </c>
      <c r="W758" s="706">
        <v>0</v>
      </c>
      <c r="X758" s="706">
        <v>0</v>
      </c>
      <c r="Y758" s="706">
        <v>0</v>
      </c>
      <c r="Z758" s="706">
        <v>12</v>
      </c>
      <c r="AA758" s="706">
        <v>18</v>
      </c>
      <c r="AB758" s="706">
        <v>18</v>
      </c>
      <c r="AC758" s="706">
        <v>18</v>
      </c>
      <c r="AD758" s="706">
        <v>18</v>
      </c>
      <c r="AE758" s="706">
        <v>0</v>
      </c>
      <c r="AF758" s="706">
        <v>0</v>
      </c>
      <c r="AG758" s="706">
        <v>0</v>
      </c>
      <c r="AH758" s="706">
        <v>2</v>
      </c>
      <c r="AI758" s="706">
        <v>2</v>
      </c>
      <c r="AJ758" s="905" t="str">
        <f t="shared" si="74"/>
        <v>G47620</v>
      </c>
      <c r="AK758" s="905" t="str">
        <f t="shared" si="75"/>
        <v>VTES -LOC.COURTOIS - BODY</v>
      </c>
      <c r="AL758" s="905">
        <f>IFERROR(INDEX(G758:R758,1,MATCH(Parametres!$B$3,G$1:R$1,0)-1)*IF(OR(F758="L",F758="S",F758="I"),-1,1),"")</f>
        <v>-1486.33</v>
      </c>
      <c r="AM758" s="905">
        <f t="shared" si="76"/>
        <v>0</v>
      </c>
      <c r="AN758" s="905">
        <f>INDEX(G758:R758,1,MATCH(Parametres!$B$3,G$1:R$1,0))*IF(OR(F758="L",F758="S",F758="I"),-1,1)</f>
        <v>-1486.33</v>
      </c>
      <c r="AO758" s="487" t="str">
        <f>+VLOOKUP($AJ758,Data_Validation!$A:$D,1,0)</f>
        <v>G47620</v>
      </c>
      <c r="AP758" s="487" t="str">
        <f>+VLOOKUP($AJ758,Data_Validation!$A:$D,3,0)</f>
        <v>Carrosserie</v>
      </c>
      <c r="AQ758" s="487" t="str">
        <f>+VLOOKUP($AJ758,Data_Validation!$A:$D,4,0)</f>
        <v>Carrosserie Clients</v>
      </c>
      <c r="AR758" s="487" t="s">
        <v>299</v>
      </c>
      <c r="AS758" s="487" t="str">
        <f>+VLOOKUP($AJ758,Data_Validation!$A:$E,5,0)</f>
        <v>Oui</v>
      </c>
      <c r="AT758" s="904" t="str">
        <f t="shared" si="77"/>
        <v>G47620</v>
      </c>
      <c r="AU758" s="488" t="str">
        <f t="shared" si="78"/>
        <v>VTES -LOC.COURTOIS - BODY</v>
      </c>
      <c r="AV758" s="899">
        <f>IFERROR(INDEX(V758:AG758,1,MATCH(Parametres!$B$3,V$1:AG$1,0)-1)*IF(OR(C758="L",C758="S",C758="I"),-1,1),"")</f>
        <v>18</v>
      </c>
      <c r="AW758" s="899">
        <f t="shared" si="79"/>
        <v>0</v>
      </c>
      <c r="AX758" s="899">
        <f>INDEX(V758:AG758,1,MATCH(Parametres!$B$3,V$1:AG$1,0))*IF(OR(C758="L",C758="S",C758="I"),-1,1)</f>
        <v>18</v>
      </c>
      <c r="AY758" s="487" t="s">
        <v>337</v>
      </c>
      <c r="AZ758" s="487" t="str">
        <f>+VLOOKUP($AJ758,Data_Validation!$A:$E,5,0)</f>
        <v>Oui</v>
      </c>
    </row>
    <row r="759" spans="1:52" ht="15" customHeight="1">
      <c r="A759" s="706" t="s">
        <v>1148</v>
      </c>
      <c r="B759" s="706">
        <v>2026</v>
      </c>
      <c r="C759" s="706" t="s">
        <v>2526</v>
      </c>
      <c r="D759" s="706" t="s">
        <v>2527</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G47623</v>
      </c>
      <c r="AK759" s="905" t="str">
        <f t="shared" si="75"/>
        <v>VTE -LOC COURT INT-BODY</v>
      </c>
      <c r="AL759" s="905">
        <f>IFERROR(INDEX(G759:R759,1,MATCH(Parametres!$B$3,G$1:R$1,0)-1)*IF(OR(F759="L",F759="S",F759="I"),-1,1),"")</f>
        <v>0</v>
      </c>
      <c r="AM759" s="905">
        <f t="shared" si="76"/>
        <v>0</v>
      </c>
      <c r="AN759" s="905">
        <f>INDEX(G759:R759,1,MATCH(Parametres!$B$3,G$1:R$1,0))*IF(OR(F759="L",F759="S",F759="I"),-1,1)</f>
        <v>0</v>
      </c>
      <c r="AO759" s="487" t="str">
        <f>+VLOOKUP($AJ759,Data_Validation!$A:$D,1,0)</f>
        <v>G47623</v>
      </c>
      <c r="AP759" s="487">
        <f>+VLOOKUP($AJ759,Data_Validation!$A:$D,3,0)</f>
        <v>0</v>
      </c>
      <c r="AQ759" s="487">
        <f>+VLOOKUP($AJ759,Data_Validation!$A:$D,4,0)</f>
        <v>0</v>
      </c>
      <c r="AR759" s="487" t="s">
        <v>299</v>
      </c>
      <c r="AS759" s="487">
        <f>+VLOOKUP($AJ759,Data_Validation!$A:$E,5,0)</f>
        <v>0</v>
      </c>
      <c r="AT759" s="904" t="str">
        <f t="shared" si="77"/>
        <v>G47623</v>
      </c>
      <c r="AU759" s="488" t="str">
        <f t="shared" si="78"/>
        <v>VTE -LOC COURT INT-BODY</v>
      </c>
      <c r="AV759" s="899">
        <f>IFERROR(INDEX(V759:AG759,1,MATCH(Parametres!$B$3,V$1:AG$1,0)-1)*IF(OR(C759="L",C759="S",C759="I"),-1,1),"")</f>
        <v>0</v>
      </c>
      <c r="AW759" s="899">
        <f t="shared" si="79"/>
        <v>0</v>
      </c>
      <c r="AX759" s="899">
        <f>INDEX(V759:AG759,1,MATCH(Parametres!$B$3,V$1:AG$1,0))*IF(OR(C759="L",C759="S",C759="I"),-1,1)</f>
        <v>0</v>
      </c>
      <c r="AY759" s="487" t="s">
        <v>337</v>
      </c>
      <c r="AZ759" s="487">
        <f>+VLOOKUP($AJ759,Data_Validation!$A:$E,5,0)</f>
        <v>0</v>
      </c>
    </row>
    <row r="760" spans="1:52" ht="15" customHeight="1">
      <c r="A760" s="706" t="s">
        <v>1148</v>
      </c>
      <c r="B760" s="706">
        <v>2026</v>
      </c>
      <c r="C760" s="706" t="s">
        <v>2528</v>
      </c>
      <c r="D760" s="706" t="s">
        <v>2529</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G47625</v>
      </c>
      <c r="AK760" s="905" t="str">
        <f t="shared" si="75"/>
        <v>VTE - LOC COURT CONCES B</v>
      </c>
      <c r="AL760" s="905">
        <f>IFERROR(INDEX(G760:R760,1,MATCH(Parametres!$B$3,G$1:R$1,0)-1)*IF(OR(F760="L",F760="S",F760="I"),-1,1),"")</f>
        <v>0</v>
      </c>
      <c r="AM760" s="905">
        <f t="shared" si="76"/>
        <v>0</v>
      </c>
      <c r="AN760" s="905">
        <f>INDEX(G760:R760,1,MATCH(Parametres!$B$3,G$1:R$1,0))*IF(OR(F760="L",F760="S",F760="I"),-1,1)</f>
        <v>0</v>
      </c>
      <c r="AO760" s="487" t="str">
        <f>+VLOOKUP($AJ760,Data_Validation!$A:$D,1,0)</f>
        <v>G47625</v>
      </c>
      <c r="AP760" s="487">
        <f>+VLOOKUP($AJ760,Data_Validation!$A:$D,3,0)</f>
        <v>0</v>
      </c>
      <c r="AQ760" s="487">
        <f>+VLOOKUP($AJ760,Data_Validation!$A:$D,4,0)</f>
        <v>0</v>
      </c>
      <c r="AR760" s="487" t="s">
        <v>299</v>
      </c>
      <c r="AS760" s="487">
        <f>+VLOOKUP($AJ760,Data_Validation!$A:$E,5,0)</f>
        <v>0</v>
      </c>
      <c r="AT760" s="904" t="str">
        <f t="shared" si="77"/>
        <v>G47625</v>
      </c>
      <c r="AU760" s="488" t="str">
        <f t="shared" si="78"/>
        <v>VTE - LOC COURT CONCES B</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2530</v>
      </c>
      <c r="D761" s="706" t="s">
        <v>2531</v>
      </c>
      <c r="E761" s="706" t="s">
        <v>1151</v>
      </c>
      <c r="F761" s="706" t="s">
        <v>1149</v>
      </c>
      <c r="G761" s="706">
        <v>0</v>
      </c>
      <c r="H761" s="706">
        <v>0</v>
      </c>
      <c r="I761" s="706">
        <v>0</v>
      </c>
      <c r="J761" s="706">
        <v>0</v>
      </c>
      <c r="K761" s="706">
        <v>100.64</v>
      </c>
      <c r="L761" s="706">
        <v>100.64</v>
      </c>
      <c r="M761" s="706">
        <v>100.64</v>
      </c>
      <c r="N761" s="706">
        <v>100.64</v>
      </c>
      <c r="O761" s="706">
        <v>100.64</v>
      </c>
      <c r="P761" s="706">
        <v>0</v>
      </c>
      <c r="Q761" s="706">
        <v>0</v>
      </c>
      <c r="R761" s="706">
        <v>0</v>
      </c>
      <c r="S761" s="706">
        <v>12.58</v>
      </c>
      <c r="T761" s="706">
        <v>12.58</v>
      </c>
      <c r="U761" s="706">
        <v>0</v>
      </c>
      <c r="V761" s="706">
        <v>0</v>
      </c>
      <c r="W761" s="706">
        <v>0</v>
      </c>
      <c r="X761" s="706">
        <v>0</v>
      </c>
      <c r="Y761" s="706">
        <v>0</v>
      </c>
      <c r="Z761" s="706">
        <v>1</v>
      </c>
      <c r="AA761" s="706">
        <v>1</v>
      </c>
      <c r="AB761" s="706">
        <v>1</v>
      </c>
      <c r="AC761" s="706">
        <v>1</v>
      </c>
      <c r="AD761" s="706">
        <v>1</v>
      </c>
      <c r="AE761" s="706">
        <v>0</v>
      </c>
      <c r="AF761" s="706">
        <v>0</v>
      </c>
      <c r="AG761" s="706">
        <v>0</v>
      </c>
      <c r="AH761" s="706">
        <v>0</v>
      </c>
      <c r="AI761" s="706">
        <v>0</v>
      </c>
      <c r="AJ761" s="905" t="str">
        <f t="shared" si="74"/>
        <v>G47700</v>
      </c>
      <c r="AK761" s="905" t="str">
        <f t="shared" si="75"/>
        <v>VENTE P&amp;A CLIENTS CAROSSE</v>
      </c>
      <c r="AL761" s="905">
        <f>IFERROR(INDEX(G761:R761,1,MATCH(Parametres!$B$3,G$1:R$1,0)-1)*IF(OR(F761="L",F761="S",F761="I"),-1,1),"")</f>
        <v>-100.64</v>
      </c>
      <c r="AM761" s="905">
        <f t="shared" si="76"/>
        <v>0</v>
      </c>
      <c r="AN761" s="905">
        <f>INDEX(G761:R761,1,MATCH(Parametres!$B$3,G$1:R$1,0))*IF(OR(F761="L",F761="S",F761="I"),-1,1)</f>
        <v>-100.64</v>
      </c>
      <c r="AO761" s="487" t="str">
        <f>+VLOOKUP($AJ761,Data_Validation!$A:$D,1,0)</f>
        <v>G47700</v>
      </c>
      <c r="AP761" s="487" t="str">
        <f>+VLOOKUP($AJ761,Data_Validation!$A:$D,3,0)</f>
        <v>Pièces</v>
      </c>
      <c r="AQ761" s="487" t="str">
        <f>+VLOOKUP($AJ761,Data_Validation!$A:$D,4,0)</f>
        <v>Pièces Ro Carrosserie</v>
      </c>
      <c r="AR761" s="487" t="s">
        <v>299</v>
      </c>
      <c r="AS761" s="487" t="str">
        <f>+VLOOKUP($AJ761,Data_Validation!$A:$E,5,0)</f>
        <v>Oui</v>
      </c>
      <c r="AT761" s="904" t="str">
        <f t="shared" si="77"/>
        <v>G47700</v>
      </c>
      <c r="AU761" s="488" t="str">
        <f t="shared" si="78"/>
        <v>VENTE P&amp;A CLIENTS CAROSSE</v>
      </c>
      <c r="AV761" s="899">
        <f>IFERROR(INDEX(V761:AG761,1,MATCH(Parametres!$B$3,V$1:AG$1,0)-1)*IF(OR(C761="L",C761="S",C761="I"),-1,1),"")</f>
        <v>1</v>
      </c>
      <c r="AW761" s="899">
        <f t="shared" si="79"/>
        <v>0</v>
      </c>
      <c r="AX761" s="899">
        <f>INDEX(V761:AG761,1,MATCH(Parametres!$B$3,V$1:AG$1,0))*IF(OR(C761="L",C761="S",C761="I"),-1,1)</f>
        <v>1</v>
      </c>
      <c r="AY761" s="487" t="s">
        <v>337</v>
      </c>
      <c r="AZ761" s="487" t="str">
        <f>+VLOOKUP($AJ761,Data_Validation!$A:$E,5,0)</f>
        <v>Oui</v>
      </c>
    </row>
    <row r="762" spans="1:52" ht="15" customHeight="1">
      <c r="A762" s="706" t="s">
        <v>1148</v>
      </c>
      <c r="B762" s="706">
        <v>2026</v>
      </c>
      <c r="C762" s="706" t="s">
        <v>2532</v>
      </c>
      <c r="D762" s="706" t="s">
        <v>3376</v>
      </c>
      <c r="E762" s="706" t="s">
        <v>1151</v>
      </c>
      <c r="F762" s="706" t="s">
        <v>1149</v>
      </c>
      <c r="G762" s="706">
        <v>0</v>
      </c>
      <c r="H762" s="706">
        <v>0</v>
      </c>
      <c r="I762" s="706">
        <v>0</v>
      </c>
      <c r="J762" s="706">
        <v>0</v>
      </c>
      <c r="K762" s="706">
        <v>0</v>
      </c>
      <c r="L762" s="706">
        <v>0</v>
      </c>
      <c r="M762" s="706">
        <v>0</v>
      </c>
      <c r="N762" s="706">
        <v>0</v>
      </c>
      <c r="O762" s="706">
        <v>0</v>
      </c>
      <c r="P762" s="706">
        <v>0</v>
      </c>
      <c r="Q762" s="706">
        <v>0</v>
      </c>
      <c r="R762" s="706">
        <v>0</v>
      </c>
      <c r="S762" s="706">
        <v>0</v>
      </c>
      <c r="T762" s="706">
        <v>0</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905" t="str">
        <f t="shared" si="74"/>
        <v>G47800</v>
      </c>
      <c r="AK762" s="905" t="str">
        <f t="shared" si="75"/>
        <v>VTE -PCE CARR.CLIENT.CAM.</v>
      </c>
      <c r="AL762" s="905">
        <f>IFERROR(INDEX(G762:R762,1,MATCH(Parametres!$B$3,G$1:R$1,0)-1)*IF(OR(F762="L",F762="S",F762="I"),-1,1),"")</f>
        <v>0</v>
      </c>
      <c r="AM762" s="905">
        <f t="shared" si="76"/>
        <v>0</v>
      </c>
      <c r="AN762" s="905">
        <f>INDEX(G762:R762,1,MATCH(Parametres!$B$3,G$1:R$1,0))*IF(OR(F762="L",F762="S",F762="I"),-1,1)</f>
        <v>0</v>
      </c>
      <c r="AO762" s="487" t="str">
        <f>+VLOOKUP($AJ762,Data_Validation!$A:$D,1,0)</f>
        <v>G47800</v>
      </c>
      <c r="AP762" s="487">
        <f>+VLOOKUP($AJ762,Data_Validation!$A:$D,3,0)</f>
        <v>0</v>
      </c>
      <c r="AQ762" s="487">
        <f>+VLOOKUP($AJ762,Data_Validation!$A:$D,4,0)</f>
        <v>0</v>
      </c>
      <c r="AR762" s="487" t="s">
        <v>299</v>
      </c>
      <c r="AS762" s="487">
        <f>+VLOOKUP($AJ762,Data_Validation!$A:$E,5,0)</f>
        <v>0</v>
      </c>
      <c r="AT762" s="904" t="str">
        <f t="shared" si="77"/>
        <v>G47800</v>
      </c>
      <c r="AU762" s="488" t="str">
        <f t="shared" si="78"/>
        <v>VTE -PCE CARR.CLIENT.CAM.</v>
      </c>
      <c r="AV762" s="899">
        <f>IFERROR(INDEX(V762:AG762,1,MATCH(Parametres!$B$3,V$1:AG$1,0)-1)*IF(OR(C762="L",C762="S",C762="I"),-1,1),"")</f>
        <v>0</v>
      </c>
      <c r="AW762" s="899">
        <f t="shared" si="79"/>
        <v>0</v>
      </c>
      <c r="AX762" s="899">
        <f>INDEX(V762:AG762,1,MATCH(Parametres!$B$3,V$1:AG$1,0))*IF(OR(C762="L",C762="S",C762="I"),-1,1)</f>
        <v>0</v>
      </c>
      <c r="AY762" s="487" t="s">
        <v>337</v>
      </c>
      <c r="AZ762" s="487">
        <f>+VLOOKUP($AJ762,Data_Validation!$A:$E,5,0)</f>
        <v>0</v>
      </c>
    </row>
    <row r="763" spans="1:52" ht="15" customHeight="1">
      <c r="A763" s="706" t="s">
        <v>1148</v>
      </c>
      <c r="B763" s="706">
        <v>2026</v>
      </c>
      <c r="C763" s="706" t="s">
        <v>2534</v>
      </c>
      <c r="D763" s="706" t="s">
        <v>2535</v>
      </c>
      <c r="E763" s="706" t="s">
        <v>1151</v>
      </c>
      <c r="F763" s="706" t="s">
        <v>1149</v>
      </c>
      <c r="G763" s="706">
        <v>0</v>
      </c>
      <c r="H763" s="706">
        <v>0</v>
      </c>
      <c r="I763" s="706">
        <v>0</v>
      </c>
      <c r="J763" s="706">
        <v>0</v>
      </c>
      <c r="K763" s="706">
        <v>0</v>
      </c>
      <c r="L763" s="706">
        <v>0</v>
      </c>
      <c r="M763" s="706">
        <v>0</v>
      </c>
      <c r="N763" s="706">
        <v>0</v>
      </c>
      <c r="O763" s="706">
        <v>0</v>
      </c>
      <c r="P763" s="706">
        <v>0</v>
      </c>
      <c r="Q763" s="706">
        <v>0</v>
      </c>
      <c r="R763" s="706">
        <v>0</v>
      </c>
      <c r="S763" s="706">
        <v>0</v>
      </c>
      <c r="T763" s="706">
        <v>0</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905" t="str">
        <f t="shared" si="74"/>
        <v>G47840</v>
      </c>
      <c r="AK763" s="905" t="str">
        <f t="shared" si="75"/>
        <v>VTES-PCE GOODW.CAM MOYEN</v>
      </c>
      <c r="AL763" s="905">
        <f>IFERROR(INDEX(G763:R763,1,MATCH(Parametres!$B$3,G$1:R$1,0)-1)*IF(OR(F763="L",F763="S",F763="I"),-1,1),"")</f>
        <v>0</v>
      </c>
      <c r="AM763" s="905">
        <f t="shared" si="76"/>
        <v>0</v>
      </c>
      <c r="AN763" s="905">
        <f>INDEX(G763:R763,1,MATCH(Parametres!$B$3,G$1:R$1,0))*IF(OR(F763="L",F763="S",F763="I"),-1,1)</f>
        <v>0</v>
      </c>
      <c r="AO763" s="487" t="str">
        <f>+VLOOKUP($AJ763,Data_Validation!$A:$D,1,0)</f>
        <v>G47840</v>
      </c>
      <c r="AP763" s="487">
        <f>+VLOOKUP($AJ763,Data_Validation!$A:$D,3,0)</f>
        <v>0</v>
      </c>
      <c r="AQ763" s="487">
        <f>+VLOOKUP($AJ763,Data_Validation!$A:$D,4,0)</f>
        <v>0</v>
      </c>
      <c r="AR763" s="487" t="s">
        <v>299</v>
      </c>
      <c r="AS763" s="487">
        <f>+VLOOKUP($AJ763,Data_Validation!$A:$E,5,0)</f>
        <v>0</v>
      </c>
      <c r="AT763" s="904" t="str">
        <f t="shared" si="77"/>
        <v>G47840</v>
      </c>
      <c r="AU763" s="488" t="str">
        <f t="shared" si="78"/>
        <v>VTES-PCE GOODW.CAM MOYEN</v>
      </c>
      <c r="AV763" s="899">
        <f>IFERROR(INDEX(V763:AG763,1,MATCH(Parametres!$B$3,V$1:AG$1,0)-1)*IF(OR(C763="L",C763="S",C763="I"),-1,1),"")</f>
        <v>0</v>
      </c>
      <c r="AW763" s="899">
        <f t="shared" si="79"/>
        <v>0</v>
      </c>
      <c r="AX763" s="899">
        <f>INDEX(V763:AG763,1,MATCH(Parametres!$B$3,V$1:AG$1,0))*IF(OR(C763="L",C763="S",C763="I"),-1,1)</f>
        <v>0</v>
      </c>
      <c r="AY763" s="487" t="s">
        <v>337</v>
      </c>
      <c r="AZ763" s="487">
        <f>+VLOOKUP($AJ763,Data_Validation!$A:$E,5,0)</f>
        <v>0</v>
      </c>
    </row>
    <row r="764" spans="1:52" ht="15" customHeight="1">
      <c r="A764" s="706" t="s">
        <v>1148</v>
      </c>
      <c r="B764" s="706">
        <v>2026</v>
      </c>
      <c r="C764" s="706" t="s">
        <v>2536</v>
      </c>
      <c r="D764" s="706" t="s">
        <v>3377</v>
      </c>
      <c r="E764" s="706" t="s">
        <v>1151</v>
      </c>
      <c r="F764" s="706" t="s">
        <v>1149</v>
      </c>
      <c r="G764" s="706">
        <v>22035.39</v>
      </c>
      <c r="H764" s="706">
        <v>51692.06</v>
      </c>
      <c r="I764" s="706">
        <v>74713.48</v>
      </c>
      <c r="J764" s="706">
        <v>118736.54</v>
      </c>
      <c r="K764" s="706">
        <v>128979.54</v>
      </c>
      <c r="L764" s="706">
        <v>139535.45000000001</v>
      </c>
      <c r="M764" s="706">
        <v>149579.29</v>
      </c>
      <c r="N764" s="706">
        <v>159325.34</v>
      </c>
      <c r="O764" s="706">
        <v>168577.16</v>
      </c>
      <c r="P764" s="706">
        <v>0</v>
      </c>
      <c r="Q764" s="706">
        <v>0</v>
      </c>
      <c r="R764" s="706">
        <v>0</v>
      </c>
      <c r="S764" s="706">
        <v>19915.669999999998</v>
      </c>
      <c r="T764" s="706">
        <v>19915.669999999998</v>
      </c>
      <c r="U764" s="706">
        <v>0</v>
      </c>
      <c r="V764" s="706">
        <v>48</v>
      </c>
      <c r="W764" s="706">
        <v>106</v>
      </c>
      <c r="X764" s="706">
        <v>170</v>
      </c>
      <c r="Y764" s="706">
        <v>245</v>
      </c>
      <c r="Z764" s="706">
        <v>272</v>
      </c>
      <c r="AA764" s="706">
        <v>297</v>
      </c>
      <c r="AB764" s="706">
        <v>314</v>
      </c>
      <c r="AC764" s="706">
        <v>333</v>
      </c>
      <c r="AD764" s="706">
        <v>355</v>
      </c>
      <c r="AE764" s="706">
        <v>0</v>
      </c>
      <c r="AF764" s="706">
        <v>0</v>
      </c>
      <c r="AG764" s="706">
        <v>0</v>
      </c>
      <c r="AH764" s="706">
        <v>42</v>
      </c>
      <c r="AI764" s="706">
        <v>42</v>
      </c>
      <c r="AJ764" s="905" t="str">
        <f t="shared" si="74"/>
        <v>G47900</v>
      </c>
      <c r="AK764" s="905" t="str">
        <f t="shared" si="75"/>
        <v>VTES -PEINTURE CARROSS.</v>
      </c>
      <c r="AL764" s="905">
        <f>IFERROR(INDEX(G764:R764,1,MATCH(Parametres!$B$3,G$1:R$1,0)-1)*IF(OR(F764="L",F764="S",F764="I"),-1,1),"")</f>
        <v>-149579.29</v>
      </c>
      <c r="AM764" s="905">
        <f t="shared" si="76"/>
        <v>-9746.0499999999884</v>
      </c>
      <c r="AN764" s="905">
        <f>INDEX(G764:R764,1,MATCH(Parametres!$B$3,G$1:R$1,0))*IF(OR(F764="L",F764="S",F764="I"),-1,1)</f>
        <v>-159325.34</v>
      </c>
      <c r="AO764" s="487" t="str">
        <f>+VLOOKUP($AJ764,Data_Validation!$A:$D,1,0)</f>
        <v>G47900</v>
      </c>
      <c r="AP764" s="487" t="str">
        <f>+VLOOKUP($AJ764,Data_Validation!$A:$D,3,0)</f>
        <v>Carrosserie</v>
      </c>
      <c r="AQ764" s="487" t="str">
        <f>+VLOOKUP($AJ764,Data_Validation!$A:$D,4,0)</f>
        <v>Carrosserie Clients</v>
      </c>
      <c r="AR764" s="487" t="s">
        <v>299</v>
      </c>
      <c r="AS764" s="487" t="str">
        <f>+VLOOKUP($AJ764,Data_Validation!$A:$E,5,0)</f>
        <v>Oui</v>
      </c>
      <c r="AT764" s="904" t="str">
        <f t="shared" si="77"/>
        <v>G47900</v>
      </c>
      <c r="AU764" s="488" t="str">
        <f t="shared" si="78"/>
        <v>VTES -PEINTURE CARROSS.</v>
      </c>
      <c r="AV764" s="899">
        <f>IFERROR(INDEX(V764:AG764,1,MATCH(Parametres!$B$3,V$1:AG$1,0)-1)*IF(OR(C764="L",C764="S",C764="I"),-1,1),"")</f>
        <v>314</v>
      </c>
      <c r="AW764" s="899">
        <f t="shared" si="79"/>
        <v>19</v>
      </c>
      <c r="AX764" s="899">
        <f>INDEX(V764:AG764,1,MATCH(Parametres!$B$3,V$1:AG$1,0))*IF(OR(C764="L",C764="S",C764="I"),-1,1)</f>
        <v>333</v>
      </c>
      <c r="AY764" s="487" t="s">
        <v>337</v>
      </c>
      <c r="AZ764" s="487" t="str">
        <f>+VLOOKUP($AJ764,Data_Validation!$A:$E,5,0)</f>
        <v>Oui</v>
      </c>
    </row>
    <row r="765" spans="1:52" ht="15" customHeight="1">
      <c r="A765" s="706" t="s">
        <v>1148</v>
      </c>
      <c r="B765" s="706">
        <v>2026</v>
      </c>
      <c r="C765" s="706" t="s">
        <v>2538</v>
      </c>
      <c r="D765" s="706" t="s">
        <v>3378</v>
      </c>
      <c r="E765" s="706" t="s">
        <v>1151</v>
      </c>
      <c r="F765" s="706" t="s">
        <v>1149</v>
      </c>
      <c r="G765" s="706">
        <v>0</v>
      </c>
      <c r="H765" s="706">
        <v>0</v>
      </c>
      <c r="I765" s="706">
        <v>0</v>
      </c>
      <c r="J765" s="706">
        <v>0</v>
      </c>
      <c r="K765" s="706">
        <v>337.04</v>
      </c>
      <c r="L765" s="706">
        <v>1138.58</v>
      </c>
      <c r="M765" s="706">
        <v>1857.02</v>
      </c>
      <c r="N765" s="706">
        <v>3592.59</v>
      </c>
      <c r="O765" s="706">
        <v>4552.91</v>
      </c>
      <c r="P765" s="706">
        <v>0</v>
      </c>
      <c r="Q765" s="706">
        <v>0</v>
      </c>
      <c r="R765" s="706">
        <v>0</v>
      </c>
      <c r="S765" s="706">
        <v>449.07</v>
      </c>
      <c r="T765" s="706">
        <v>449.07</v>
      </c>
      <c r="U765" s="706">
        <v>0</v>
      </c>
      <c r="V765" s="706">
        <v>0</v>
      </c>
      <c r="W765" s="706">
        <v>0</v>
      </c>
      <c r="X765" s="706">
        <v>0</v>
      </c>
      <c r="Y765" s="706">
        <v>0</v>
      </c>
      <c r="Z765" s="706">
        <v>2</v>
      </c>
      <c r="AA765" s="706">
        <v>7</v>
      </c>
      <c r="AB765" s="706">
        <v>11</v>
      </c>
      <c r="AC765" s="706">
        <v>17</v>
      </c>
      <c r="AD765" s="706">
        <v>25</v>
      </c>
      <c r="AE765" s="706">
        <v>0</v>
      </c>
      <c r="AF765" s="706">
        <v>0</v>
      </c>
      <c r="AG765" s="706">
        <v>0</v>
      </c>
      <c r="AH765" s="706">
        <v>2</v>
      </c>
      <c r="AI765" s="706">
        <v>2</v>
      </c>
      <c r="AJ765" s="905" t="str">
        <f t="shared" si="74"/>
        <v>G47903</v>
      </c>
      <c r="AK765" s="905" t="str">
        <f t="shared" si="75"/>
        <v>VTES -PEINT. INTERN-BODY</v>
      </c>
      <c r="AL765" s="905">
        <f>IFERROR(INDEX(G765:R765,1,MATCH(Parametres!$B$3,G$1:R$1,0)-1)*IF(OR(F765="L",F765="S",F765="I"),-1,1),"")</f>
        <v>-1857.02</v>
      </c>
      <c r="AM765" s="905">
        <f t="shared" si="76"/>
        <v>-1735.5700000000002</v>
      </c>
      <c r="AN765" s="905">
        <f>INDEX(G765:R765,1,MATCH(Parametres!$B$3,G$1:R$1,0))*IF(OR(F765="L",F765="S",F765="I"),-1,1)</f>
        <v>-3592.59</v>
      </c>
      <c r="AO765" s="487" t="str">
        <f>+VLOOKUP($AJ765,Data_Validation!$A:$D,1,0)</f>
        <v>G47903</v>
      </c>
      <c r="AP765" s="487" t="str">
        <f>+VLOOKUP($AJ765,Data_Validation!$A:$D,3,0)</f>
        <v>Carrosserie</v>
      </c>
      <c r="AQ765" s="487" t="str">
        <f>+VLOOKUP($AJ765,Data_Validation!$A:$D,4,0)</f>
        <v>Carrosserie Interne</v>
      </c>
      <c r="AR765" s="487" t="s">
        <v>299</v>
      </c>
      <c r="AS765" s="487" t="str">
        <f>+VLOOKUP($AJ765,Data_Validation!$A:$E,5,0)</f>
        <v>Oui</v>
      </c>
      <c r="AT765" s="904" t="str">
        <f t="shared" si="77"/>
        <v>G47903</v>
      </c>
      <c r="AU765" s="488" t="str">
        <f t="shared" si="78"/>
        <v>VTES -PEINT. INTERN-BODY</v>
      </c>
      <c r="AV765" s="899">
        <f>IFERROR(INDEX(V765:AG765,1,MATCH(Parametres!$B$3,V$1:AG$1,0)-1)*IF(OR(C765="L",C765="S",C765="I"),-1,1),"")</f>
        <v>11</v>
      </c>
      <c r="AW765" s="899">
        <f t="shared" si="79"/>
        <v>6</v>
      </c>
      <c r="AX765" s="899">
        <f>INDEX(V765:AG765,1,MATCH(Parametres!$B$3,V$1:AG$1,0))*IF(OR(C765="L",C765="S",C765="I"),-1,1)</f>
        <v>17</v>
      </c>
      <c r="AY765" s="487" t="s">
        <v>337</v>
      </c>
      <c r="AZ765" s="487" t="str">
        <f>+VLOOKUP($AJ765,Data_Validation!$A:$E,5,0)</f>
        <v>Oui</v>
      </c>
    </row>
    <row r="766" spans="1:52" ht="15" customHeight="1">
      <c r="A766" s="706" t="s">
        <v>1148</v>
      </c>
      <c r="B766" s="706">
        <v>2026</v>
      </c>
      <c r="C766" s="706" t="s">
        <v>2540</v>
      </c>
      <c r="D766" s="706" t="s">
        <v>3379</v>
      </c>
      <c r="E766" s="706" t="s">
        <v>1151</v>
      </c>
      <c r="F766" s="706" t="s">
        <v>1149</v>
      </c>
      <c r="G766" s="706">
        <v>0</v>
      </c>
      <c r="H766" s="706">
        <v>0</v>
      </c>
      <c r="I766" s="706">
        <v>0</v>
      </c>
      <c r="J766" s="706">
        <v>0</v>
      </c>
      <c r="K766" s="706">
        <v>8325.6200000000008</v>
      </c>
      <c r="L766" s="706">
        <v>18909.43</v>
      </c>
      <c r="M766" s="706">
        <v>25496.63</v>
      </c>
      <c r="N766" s="706">
        <v>31833.25</v>
      </c>
      <c r="O766" s="706">
        <v>35214.879999999997</v>
      </c>
      <c r="P766" s="706">
        <v>0</v>
      </c>
      <c r="Q766" s="706">
        <v>0</v>
      </c>
      <c r="R766" s="706">
        <v>0</v>
      </c>
      <c r="S766" s="706">
        <v>3979.16</v>
      </c>
      <c r="T766" s="706">
        <v>3979.16</v>
      </c>
      <c r="U766" s="706">
        <v>0</v>
      </c>
      <c r="V766" s="706">
        <v>0</v>
      </c>
      <c r="W766" s="706">
        <v>0</v>
      </c>
      <c r="X766" s="706">
        <v>0</v>
      </c>
      <c r="Y766" s="706">
        <v>0</v>
      </c>
      <c r="Z766" s="706">
        <v>18</v>
      </c>
      <c r="AA766" s="706">
        <v>40</v>
      </c>
      <c r="AB766" s="706">
        <v>57</v>
      </c>
      <c r="AC766" s="706">
        <v>71</v>
      </c>
      <c r="AD766" s="706">
        <v>82</v>
      </c>
      <c r="AE766" s="706">
        <v>0</v>
      </c>
      <c r="AF766" s="706">
        <v>0</v>
      </c>
      <c r="AG766" s="706">
        <v>0</v>
      </c>
      <c r="AH766" s="706">
        <v>9</v>
      </c>
      <c r="AI766" s="706">
        <v>9</v>
      </c>
      <c r="AJ766" s="905" t="str">
        <f t="shared" si="74"/>
        <v>G47905</v>
      </c>
      <c r="AK766" s="905" t="str">
        <f t="shared" si="75"/>
        <v>VTES -PEINT CONC-BODY</v>
      </c>
      <c r="AL766" s="905">
        <f>IFERROR(INDEX(G766:R766,1,MATCH(Parametres!$B$3,G$1:R$1,0)-1)*IF(OR(F766="L",F766="S",F766="I"),-1,1),"")</f>
        <v>-25496.63</v>
      </c>
      <c r="AM766" s="905">
        <f t="shared" si="76"/>
        <v>-6336.619999999999</v>
      </c>
      <c r="AN766" s="905">
        <f>INDEX(G766:R766,1,MATCH(Parametres!$B$3,G$1:R$1,0))*IF(OR(F766="L",F766="S",F766="I"),-1,1)</f>
        <v>-31833.25</v>
      </c>
      <c r="AO766" s="487" t="str">
        <f>+VLOOKUP($AJ766,Data_Validation!$A:$D,1,0)</f>
        <v>G47905</v>
      </c>
      <c r="AP766" s="487" t="str">
        <f>+VLOOKUP($AJ766,Data_Validation!$A:$D,3,0)</f>
        <v>Carrosserie</v>
      </c>
      <c r="AQ766" s="487" t="str">
        <f>+VLOOKUP($AJ766,Data_Validation!$A:$D,4,0)</f>
        <v>Carrosserie Concessions</v>
      </c>
      <c r="AR766" s="487" t="s">
        <v>299</v>
      </c>
      <c r="AS766" s="487" t="str">
        <f>+VLOOKUP($AJ766,Data_Validation!$A:$E,5,0)</f>
        <v>Oui</v>
      </c>
      <c r="AT766" s="904" t="str">
        <f t="shared" si="77"/>
        <v>G47905</v>
      </c>
      <c r="AU766" s="488" t="str">
        <f t="shared" si="78"/>
        <v>VTES -PEINT CONC-BODY</v>
      </c>
      <c r="AV766" s="899">
        <f>IFERROR(INDEX(V766:AG766,1,MATCH(Parametres!$B$3,V$1:AG$1,0)-1)*IF(OR(C766="L",C766="S",C766="I"),-1,1),"")</f>
        <v>57</v>
      </c>
      <c r="AW766" s="899">
        <f t="shared" si="79"/>
        <v>14</v>
      </c>
      <c r="AX766" s="899">
        <f>INDEX(V766:AG766,1,MATCH(Parametres!$B$3,V$1:AG$1,0))*IF(OR(C766="L",C766="S",C766="I"),-1,1)</f>
        <v>71</v>
      </c>
      <c r="AY766" s="487" t="s">
        <v>337</v>
      </c>
      <c r="AZ766" s="487" t="str">
        <f>+VLOOKUP($AJ766,Data_Validation!$A:$E,5,0)</f>
        <v>Oui</v>
      </c>
    </row>
    <row r="767" spans="1:52" ht="15" customHeight="1">
      <c r="A767" s="706" t="s">
        <v>1148</v>
      </c>
      <c r="B767" s="706">
        <v>2026</v>
      </c>
      <c r="C767" s="706" t="s">
        <v>2542</v>
      </c>
      <c r="D767" s="706" t="s">
        <v>3380</v>
      </c>
      <c r="E767" s="706" t="s">
        <v>1151</v>
      </c>
      <c r="F767" s="706" t="s">
        <v>1149</v>
      </c>
      <c r="G767" s="706">
        <v>0</v>
      </c>
      <c r="H767" s="706">
        <v>0</v>
      </c>
      <c r="I767" s="706">
        <v>0</v>
      </c>
      <c r="J767" s="706">
        <v>0</v>
      </c>
      <c r="K767" s="706">
        <v>2666.08</v>
      </c>
      <c r="L767" s="706">
        <v>9429.58</v>
      </c>
      <c r="M767" s="706">
        <v>13724.29</v>
      </c>
      <c r="N767" s="706">
        <v>17889.93</v>
      </c>
      <c r="O767" s="706">
        <v>23676.33</v>
      </c>
      <c r="P767" s="706">
        <v>0</v>
      </c>
      <c r="Q767" s="706">
        <v>0</v>
      </c>
      <c r="R767" s="706">
        <v>0</v>
      </c>
      <c r="S767" s="706">
        <v>2236.2399999999998</v>
      </c>
      <c r="T767" s="706">
        <v>2236.2399999999998</v>
      </c>
      <c r="U767" s="706">
        <v>0</v>
      </c>
      <c r="V767" s="706">
        <v>0</v>
      </c>
      <c r="W767" s="706">
        <v>0</v>
      </c>
      <c r="X767" s="706">
        <v>0</v>
      </c>
      <c r="Y767" s="706">
        <v>0</v>
      </c>
      <c r="Z767" s="706">
        <v>12</v>
      </c>
      <c r="AA767" s="706">
        <v>42</v>
      </c>
      <c r="AB767" s="706">
        <v>67</v>
      </c>
      <c r="AC767" s="706">
        <v>88</v>
      </c>
      <c r="AD767" s="706">
        <v>118</v>
      </c>
      <c r="AE767" s="706">
        <v>0</v>
      </c>
      <c r="AF767" s="706">
        <v>0</v>
      </c>
      <c r="AG767" s="706">
        <v>0</v>
      </c>
      <c r="AH767" s="706">
        <v>11</v>
      </c>
      <c r="AI767" s="706">
        <v>11</v>
      </c>
      <c r="AJ767" s="905" t="str">
        <f t="shared" si="74"/>
        <v>G47910</v>
      </c>
      <c r="AK767" s="905" t="str">
        <f t="shared" si="75"/>
        <v>VTES -M-ATELIER CLT-BODY</v>
      </c>
      <c r="AL767" s="905">
        <f>IFERROR(INDEX(G767:R767,1,MATCH(Parametres!$B$3,G$1:R$1,0)-1)*IF(OR(F767="L",F767="S",F767="I"),-1,1),"")</f>
        <v>-13724.29</v>
      </c>
      <c r="AM767" s="905">
        <f t="shared" si="76"/>
        <v>-4165.6399999999994</v>
      </c>
      <c r="AN767" s="905">
        <f>INDEX(G767:R767,1,MATCH(Parametres!$B$3,G$1:R$1,0))*IF(OR(F767="L",F767="S",F767="I"),-1,1)</f>
        <v>-17889.93</v>
      </c>
      <c r="AO767" s="487" t="str">
        <f>+VLOOKUP($AJ767,Data_Validation!$A:$D,1,0)</f>
        <v>G47910</v>
      </c>
      <c r="AP767" s="487" t="str">
        <f>+VLOOKUP($AJ767,Data_Validation!$A:$D,3,0)</f>
        <v>Carrosserie</v>
      </c>
      <c r="AQ767" s="487" t="str">
        <f>+VLOOKUP($AJ767,Data_Validation!$A:$D,4,0)</f>
        <v>Carrosserie Clients</v>
      </c>
      <c r="AR767" s="487" t="s">
        <v>299</v>
      </c>
      <c r="AS767" s="487" t="str">
        <f>+VLOOKUP($AJ767,Data_Validation!$A:$E,5,0)</f>
        <v>Oui</v>
      </c>
      <c r="AT767" s="904" t="str">
        <f t="shared" si="77"/>
        <v>G47910</v>
      </c>
      <c r="AU767" s="488" t="str">
        <f t="shared" si="78"/>
        <v>VTES -M-ATELIER CLT-BODY</v>
      </c>
      <c r="AV767" s="899">
        <f>IFERROR(INDEX(V767:AG767,1,MATCH(Parametres!$B$3,V$1:AG$1,0)-1)*IF(OR(C767="L",C767="S",C767="I"),-1,1),"")</f>
        <v>67</v>
      </c>
      <c r="AW767" s="899">
        <f t="shared" si="79"/>
        <v>21</v>
      </c>
      <c r="AX767" s="899">
        <f>INDEX(V767:AG767,1,MATCH(Parametres!$B$3,V$1:AG$1,0))*IF(OR(C767="L",C767="S",C767="I"),-1,1)</f>
        <v>88</v>
      </c>
      <c r="AY767" s="487" t="s">
        <v>337</v>
      </c>
      <c r="AZ767" s="487" t="str">
        <f>+VLOOKUP($AJ767,Data_Validation!$A:$E,5,0)</f>
        <v>Oui</v>
      </c>
    </row>
    <row r="768" spans="1:52" ht="15" customHeight="1">
      <c r="A768" s="706" t="s">
        <v>1148</v>
      </c>
      <c r="B768" s="706">
        <v>2026</v>
      </c>
      <c r="C768" s="706" t="s">
        <v>2544</v>
      </c>
      <c r="D768" s="706" t="s">
        <v>3381</v>
      </c>
      <c r="E768" s="706" t="s">
        <v>1151</v>
      </c>
      <c r="F768" s="706" t="s">
        <v>1149</v>
      </c>
      <c r="G768" s="706">
        <v>0</v>
      </c>
      <c r="H768" s="706">
        <v>0</v>
      </c>
      <c r="I768" s="706">
        <v>0</v>
      </c>
      <c r="J768" s="706">
        <v>0</v>
      </c>
      <c r="K768" s="706">
        <v>180.84</v>
      </c>
      <c r="L768" s="706">
        <v>510.43</v>
      </c>
      <c r="M768" s="706">
        <v>744.91</v>
      </c>
      <c r="N768" s="706">
        <v>1529.1</v>
      </c>
      <c r="O768" s="706">
        <v>1962.46</v>
      </c>
      <c r="P768" s="706">
        <v>0</v>
      </c>
      <c r="Q768" s="706">
        <v>0</v>
      </c>
      <c r="R768" s="706">
        <v>0</v>
      </c>
      <c r="S768" s="706">
        <v>191.14</v>
      </c>
      <c r="T768" s="706">
        <v>191.14</v>
      </c>
      <c r="U768" s="706">
        <v>0</v>
      </c>
      <c r="V768" s="706">
        <v>0</v>
      </c>
      <c r="W768" s="706">
        <v>0</v>
      </c>
      <c r="X768" s="706">
        <v>0</v>
      </c>
      <c r="Y768" s="706">
        <v>0</v>
      </c>
      <c r="Z768" s="706">
        <v>2</v>
      </c>
      <c r="AA768" s="706">
        <v>6</v>
      </c>
      <c r="AB768" s="706">
        <v>9</v>
      </c>
      <c r="AC768" s="706">
        <v>14</v>
      </c>
      <c r="AD768" s="706">
        <v>22</v>
      </c>
      <c r="AE768" s="706">
        <v>0</v>
      </c>
      <c r="AF768" s="706">
        <v>0</v>
      </c>
      <c r="AG768" s="706">
        <v>0</v>
      </c>
      <c r="AH768" s="706">
        <v>2</v>
      </c>
      <c r="AI768" s="706">
        <v>2</v>
      </c>
      <c r="AJ768" s="905" t="str">
        <f t="shared" si="74"/>
        <v>G47913</v>
      </c>
      <c r="AK768" s="905" t="str">
        <f t="shared" si="75"/>
        <v>VTES -M. ATEL.INTERN-BODY</v>
      </c>
      <c r="AL768" s="905">
        <f>IFERROR(INDEX(G768:R768,1,MATCH(Parametres!$B$3,G$1:R$1,0)-1)*IF(OR(F768="L",F768="S",F768="I"),-1,1),"")</f>
        <v>-744.91</v>
      </c>
      <c r="AM768" s="905">
        <f t="shared" si="76"/>
        <v>-784.18999999999994</v>
      </c>
      <c r="AN768" s="905">
        <f>INDEX(G768:R768,1,MATCH(Parametres!$B$3,G$1:R$1,0))*IF(OR(F768="L",F768="S",F768="I"),-1,1)</f>
        <v>-1529.1</v>
      </c>
      <c r="AO768" s="487" t="str">
        <f>+VLOOKUP($AJ768,Data_Validation!$A:$D,1,0)</f>
        <v>G47913</v>
      </c>
      <c r="AP768" s="487" t="str">
        <f>+VLOOKUP($AJ768,Data_Validation!$A:$D,3,0)</f>
        <v>Carrosserie</v>
      </c>
      <c r="AQ768" s="487" t="str">
        <f>+VLOOKUP($AJ768,Data_Validation!$A:$D,4,0)</f>
        <v>Carrosserie Interne</v>
      </c>
      <c r="AR768" s="487" t="s">
        <v>299</v>
      </c>
      <c r="AS768" s="487" t="str">
        <f>+VLOOKUP($AJ768,Data_Validation!$A:$E,5,0)</f>
        <v>Oui</v>
      </c>
      <c r="AT768" s="904" t="str">
        <f t="shared" si="77"/>
        <v>G47913</v>
      </c>
      <c r="AU768" s="488" t="str">
        <f t="shared" si="78"/>
        <v>VTES -M. ATEL.INTERN-BODY</v>
      </c>
      <c r="AV768" s="899">
        <f>IFERROR(INDEX(V768:AG768,1,MATCH(Parametres!$B$3,V$1:AG$1,0)-1)*IF(OR(C768="L",C768="S",C768="I"),-1,1),"")</f>
        <v>9</v>
      </c>
      <c r="AW768" s="899">
        <f t="shared" si="79"/>
        <v>5</v>
      </c>
      <c r="AX768" s="899">
        <f>INDEX(V768:AG768,1,MATCH(Parametres!$B$3,V$1:AG$1,0))*IF(OR(C768="L",C768="S",C768="I"),-1,1)</f>
        <v>14</v>
      </c>
      <c r="AY768" s="487" t="s">
        <v>337</v>
      </c>
      <c r="AZ768" s="487" t="str">
        <f>+VLOOKUP($AJ768,Data_Validation!$A:$E,5,0)</f>
        <v>Oui</v>
      </c>
    </row>
    <row r="769" spans="1:52" ht="15" customHeight="1">
      <c r="A769" s="706" t="s">
        <v>1148</v>
      </c>
      <c r="B769" s="706">
        <v>2026</v>
      </c>
      <c r="C769" s="706" t="s">
        <v>2546</v>
      </c>
      <c r="D769" s="706" t="s">
        <v>3382</v>
      </c>
      <c r="E769" s="706" t="s">
        <v>1151</v>
      </c>
      <c r="F769" s="706" t="s">
        <v>1149</v>
      </c>
      <c r="G769" s="706">
        <v>0</v>
      </c>
      <c r="H769" s="706">
        <v>0</v>
      </c>
      <c r="I769" s="706">
        <v>0</v>
      </c>
      <c r="J769" s="706">
        <v>0</v>
      </c>
      <c r="K769" s="706">
        <v>1133.0999999999999</v>
      </c>
      <c r="L769" s="706">
        <v>5151.83</v>
      </c>
      <c r="M769" s="706">
        <v>7518.17</v>
      </c>
      <c r="N769" s="706">
        <v>10303.77</v>
      </c>
      <c r="O769" s="706">
        <v>11819.25</v>
      </c>
      <c r="P769" s="706">
        <v>0</v>
      </c>
      <c r="Q769" s="706">
        <v>0</v>
      </c>
      <c r="R769" s="706">
        <v>0</v>
      </c>
      <c r="S769" s="706">
        <v>1287.97</v>
      </c>
      <c r="T769" s="706">
        <v>1287.97</v>
      </c>
      <c r="U769" s="706">
        <v>0</v>
      </c>
      <c r="V769" s="706">
        <v>0</v>
      </c>
      <c r="W769" s="706">
        <v>0</v>
      </c>
      <c r="X769" s="706">
        <v>0</v>
      </c>
      <c r="Y769" s="706">
        <v>0</v>
      </c>
      <c r="Z769" s="706">
        <v>12</v>
      </c>
      <c r="AA769" s="706">
        <v>32</v>
      </c>
      <c r="AB769" s="706">
        <v>49</v>
      </c>
      <c r="AC769" s="706">
        <v>62</v>
      </c>
      <c r="AD769" s="706">
        <v>72</v>
      </c>
      <c r="AE769" s="706">
        <v>0</v>
      </c>
      <c r="AF769" s="706">
        <v>0</v>
      </c>
      <c r="AG769" s="706">
        <v>0</v>
      </c>
      <c r="AH769" s="706">
        <v>8</v>
      </c>
      <c r="AI769" s="706">
        <v>8</v>
      </c>
      <c r="AJ769" s="905" t="str">
        <f t="shared" si="74"/>
        <v>G47915</v>
      </c>
      <c r="AK769" s="905" t="str">
        <f t="shared" si="75"/>
        <v>VTES -M.A CONCES. BODY</v>
      </c>
      <c r="AL769" s="905">
        <f>IFERROR(INDEX(G769:R769,1,MATCH(Parametres!$B$3,G$1:R$1,0)-1)*IF(OR(F769="L",F769="S",F769="I"),-1,1),"")</f>
        <v>-7518.17</v>
      </c>
      <c r="AM769" s="905">
        <f t="shared" si="76"/>
        <v>-2785.6000000000004</v>
      </c>
      <c r="AN769" s="905">
        <f>INDEX(G769:R769,1,MATCH(Parametres!$B$3,G$1:R$1,0))*IF(OR(F769="L",F769="S",F769="I"),-1,1)</f>
        <v>-10303.77</v>
      </c>
      <c r="AO769" s="487" t="str">
        <f>+VLOOKUP($AJ769,Data_Validation!$A:$D,1,0)</f>
        <v>G47915</v>
      </c>
      <c r="AP769" s="487" t="str">
        <f>+VLOOKUP($AJ769,Data_Validation!$A:$D,3,0)</f>
        <v>Carrosserie</v>
      </c>
      <c r="AQ769" s="487" t="str">
        <f>+VLOOKUP($AJ769,Data_Validation!$A:$D,4,0)</f>
        <v>Carrosserie Concessions</v>
      </c>
      <c r="AR769" s="487" t="s">
        <v>299</v>
      </c>
      <c r="AS769" s="487" t="str">
        <f>+VLOOKUP($AJ769,Data_Validation!$A:$E,5,0)</f>
        <v>Oui</v>
      </c>
      <c r="AT769" s="904" t="str">
        <f t="shared" si="77"/>
        <v>G47915</v>
      </c>
      <c r="AU769" s="488" t="str">
        <f t="shared" si="78"/>
        <v>VTES -M.A CONCES. BODY</v>
      </c>
      <c r="AV769" s="899">
        <f>IFERROR(INDEX(V769:AG769,1,MATCH(Parametres!$B$3,V$1:AG$1,0)-1)*IF(OR(C769="L",C769="S",C769="I"),-1,1),"")</f>
        <v>49</v>
      </c>
      <c r="AW769" s="899">
        <f t="shared" si="79"/>
        <v>13</v>
      </c>
      <c r="AX769" s="899">
        <f>INDEX(V769:AG769,1,MATCH(Parametres!$B$3,V$1:AG$1,0))*IF(OR(C769="L",C769="S",C769="I"),-1,1)</f>
        <v>62</v>
      </c>
      <c r="AY769" s="487" t="s">
        <v>337</v>
      </c>
      <c r="AZ769" s="487" t="str">
        <f>+VLOOKUP($AJ769,Data_Validation!$A:$E,5,0)</f>
        <v>Oui</v>
      </c>
    </row>
    <row r="770" spans="1:52" ht="15" customHeight="1">
      <c r="A770" s="706" t="s">
        <v>1148</v>
      </c>
      <c r="B770" s="706">
        <v>2026</v>
      </c>
      <c r="C770" s="706" t="s">
        <v>2548</v>
      </c>
      <c r="D770" s="706" t="s">
        <v>2549</v>
      </c>
      <c r="E770" s="706" t="s">
        <v>1151</v>
      </c>
      <c r="F770" s="706" t="s">
        <v>1149</v>
      </c>
      <c r="G770" s="706">
        <v>55197.67</v>
      </c>
      <c r="H770" s="706">
        <v>107368.4</v>
      </c>
      <c r="I770" s="706">
        <v>183959.93</v>
      </c>
      <c r="J770" s="706">
        <v>242239.2</v>
      </c>
      <c r="K770" s="706">
        <v>269829.43</v>
      </c>
      <c r="L770" s="706">
        <v>360086.9</v>
      </c>
      <c r="M770" s="706">
        <v>413980.82</v>
      </c>
      <c r="N770" s="706">
        <v>500886.21</v>
      </c>
      <c r="O770" s="706">
        <v>524313.80000000005</v>
      </c>
      <c r="P770" s="706">
        <v>0</v>
      </c>
      <c r="Q770" s="706">
        <v>0</v>
      </c>
      <c r="R770" s="706">
        <v>0</v>
      </c>
      <c r="S770" s="706">
        <v>62610.78</v>
      </c>
      <c r="T770" s="706">
        <v>62610.78</v>
      </c>
      <c r="U770" s="706">
        <v>0</v>
      </c>
      <c r="V770" s="706">
        <v>202</v>
      </c>
      <c r="W770" s="706">
        <v>387</v>
      </c>
      <c r="X770" s="706">
        <v>642</v>
      </c>
      <c r="Y770" s="706">
        <v>833</v>
      </c>
      <c r="Z770" s="706">
        <v>992</v>
      </c>
      <c r="AA770" s="706">
        <v>1258</v>
      </c>
      <c r="AB770" s="706">
        <v>1410</v>
      </c>
      <c r="AC770" s="706">
        <v>1611</v>
      </c>
      <c r="AD770" s="706">
        <v>1694</v>
      </c>
      <c r="AE770" s="706">
        <v>0</v>
      </c>
      <c r="AF770" s="706">
        <v>0</v>
      </c>
      <c r="AG770" s="706">
        <v>0</v>
      </c>
      <c r="AH770" s="706">
        <v>201</v>
      </c>
      <c r="AI770" s="706">
        <v>201</v>
      </c>
      <c r="AJ770" s="905" t="str">
        <f t="shared" si="74"/>
        <v>G48000</v>
      </c>
      <c r="AK770" s="905" t="str">
        <f t="shared" si="75"/>
        <v>VTES-PIECES GARANTIES</v>
      </c>
      <c r="AL770" s="905">
        <f>IFERROR(INDEX(G770:R770,1,MATCH(Parametres!$B$3,G$1:R$1,0)-1)*IF(OR(F770="L",F770="S",F770="I"),-1,1),"")</f>
        <v>-413980.82</v>
      </c>
      <c r="AM770" s="905">
        <f t="shared" si="76"/>
        <v>-86905.390000000014</v>
      </c>
      <c r="AN770" s="905">
        <f>INDEX(G770:R770,1,MATCH(Parametres!$B$3,G$1:R$1,0))*IF(OR(F770="L",F770="S",F770="I"),-1,1)</f>
        <v>-500886.21</v>
      </c>
      <c r="AO770" s="487" t="str">
        <f>+VLOOKUP($AJ770,Data_Validation!$A:$D,1,0)</f>
        <v>G48000</v>
      </c>
      <c r="AP770" s="487" t="str">
        <f>+VLOOKUP($AJ770,Data_Validation!$A:$D,3,0)</f>
        <v>Pièces</v>
      </c>
      <c r="AQ770" s="487" t="str">
        <f>+VLOOKUP($AJ770,Data_Validation!$A:$D,4,0)</f>
        <v>P/A Garantie</v>
      </c>
      <c r="AR770" s="487" t="s">
        <v>299</v>
      </c>
      <c r="AS770" s="487" t="str">
        <f>+VLOOKUP($AJ770,Data_Validation!$A:$E,5,0)</f>
        <v>Oui</v>
      </c>
      <c r="AT770" s="904" t="str">
        <f t="shared" si="77"/>
        <v>G48000</v>
      </c>
      <c r="AU770" s="488" t="str">
        <f t="shared" si="78"/>
        <v>VTES-PIECES GARANTIES</v>
      </c>
      <c r="AV770" s="899">
        <f>IFERROR(INDEX(V770:AG770,1,MATCH(Parametres!$B$3,V$1:AG$1,0)-1)*IF(OR(C770="L",C770="S",C770="I"),-1,1),"")</f>
        <v>1410</v>
      </c>
      <c r="AW770" s="899">
        <f t="shared" si="79"/>
        <v>201</v>
      </c>
      <c r="AX770" s="899">
        <f>INDEX(V770:AG770,1,MATCH(Parametres!$B$3,V$1:AG$1,0))*IF(OR(C770="L",C770="S",C770="I"),-1,1)</f>
        <v>1611</v>
      </c>
      <c r="AY770" s="487" t="s">
        <v>337</v>
      </c>
      <c r="AZ770" s="487" t="str">
        <f>+VLOOKUP($AJ770,Data_Validation!$A:$E,5,0)</f>
        <v>Oui</v>
      </c>
    </row>
    <row r="771" spans="1:52" ht="15" customHeight="1">
      <c r="A771" s="706" t="s">
        <v>1148</v>
      </c>
      <c r="B771" s="706">
        <v>2026</v>
      </c>
      <c r="C771" s="706" t="s">
        <v>2550</v>
      </c>
      <c r="D771" s="706" t="s">
        <v>2551</v>
      </c>
      <c r="E771" s="706" t="s">
        <v>1151</v>
      </c>
      <c r="F771" s="706" t="s">
        <v>1149</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905" t="str">
        <f t="shared" si="74"/>
        <v>G48020</v>
      </c>
      <c r="AK771" s="905" t="str">
        <f t="shared" si="75"/>
        <v>VTES-PCE RECLAM.CAM MOYEN</v>
      </c>
      <c r="AL771" s="905">
        <f>IFERROR(INDEX(G771:R771,1,MATCH(Parametres!$B$3,G$1:R$1,0)-1)*IF(OR(F771="L",F771="S",F771="I"),-1,1),"")</f>
        <v>0</v>
      </c>
      <c r="AM771" s="905">
        <f t="shared" si="76"/>
        <v>0</v>
      </c>
      <c r="AN771" s="905">
        <f>INDEX(G771:R771,1,MATCH(Parametres!$B$3,G$1:R$1,0))*IF(OR(F771="L",F771="S",F771="I"),-1,1)</f>
        <v>0</v>
      </c>
      <c r="AO771" s="487" t="str">
        <f>+VLOOKUP($AJ771,Data_Validation!$A:$D,1,0)</f>
        <v>G48020</v>
      </c>
      <c r="AP771" s="487" t="str">
        <f>+VLOOKUP($AJ771,Data_Validation!$A:$D,3,0)</f>
        <v>Pièces</v>
      </c>
      <c r="AQ771" s="487" t="str">
        <f>+VLOOKUP($AJ771,Data_Validation!$A:$D,4,0)</f>
        <v>P/A Garantie</v>
      </c>
      <c r="AR771" s="487" t="s">
        <v>299</v>
      </c>
      <c r="AS771" s="487" t="str">
        <f>+VLOOKUP($AJ771,Data_Validation!$A:$E,5,0)</f>
        <v>Oui</v>
      </c>
      <c r="AT771" s="904" t="str">
        <f t="shared" si="77"/>
        <v>G48020</v>
      </c>
      <c r="AU771" s="488" t="str">
        <f t="shared" si="78"/>
        <v>VTES-PCE RECLAM.CAM MOYEN</v>
      </c>
      <c r="AV771" s="899">
        <f>IFERROR(INDEX(V771:AG771,1,MATCH(Parametres!$B$3,V$1:AG$1,0)-1)*IF(OR(C771="L",C771="S",C771="I"),-1,1),"")</f>
        <v>0</v>
      </c>
      <c r="AW771" s="899">
        <f t="shared" si="79"/>
        <v>0</v>
      </c>
      <c r="AX771" s="899">
        <f>INDEX(V771:AG771,1,MATCH(Parametres!$B$3,V$1:AG$1,0))*IF(OR(C771="L",C771="S",C771="I"),-1,1)</f>
        <v>0</v>
      </c>
      <c r="AY771" s="487" t="s">
        <v>337</v>
      </c>
      <c r="AZ771" s="487" t="str">
        <f>+VLOOKUP($AJ771,Data_Validation!$A:$E,5,0)</f>
        <v>Oui</v>
      </c>
    </row>
    <row r="772" spans="1:52" ht="15" customHeight="1">
      <c r="A772" s="706" t="s">
        <v>1148</v>
      </c>
      <c r="B772" s="706">
        <v>2026</v>
      </c>
      <c r="C772" s="706" t="s">
        <v>2552</v>
      </c>
      <c r="D772" s="706" t="s">
        <v>2553</v>
      </c>
      <c r="E772" s="706" t="s">
        <v>1151</v>
      </c>
      <c r="F772" s="706" t="s">
        <v>1149</v>
      </c>
      <c r="G772" s="706">
        <v>45959.51</v>
      </c>
      <c r="H772" s="706">
        <v>105251.2</v>
      </c>
      <c r="I772" s="706">
        <v>165218.51999999999</v>
      </c>
      <c r="J772" s="706">
        <v>233121.15</v>
      </c>
      <c r="K772" s="706">
        <v>275045.87</v>
      </c>
      <c r="L772" s="706">
        <v>322913.62</v>
      </c>
      <c r="M772" s="706">
        <v>365310.89</v>
      </c>
      <c r="N772" s="706">
        <v>402264.33</v>
      </c>
      <c r="O772" s="706">
        <v>424159.47</v>
      </c>
      <c r="P772" s="706">
        <v>0</v>
      </c>
      <c r="Q772" s="706">
        <v>0</v>
      </c>
      <c r="R772" s="706">
        <v>0</v>
      </c>
      <c r="S772" s="706">
        <v>50283.040000000001</v>
      </c>
      <c r="T772" s="706">
        <v>50283.040000000001</v>
      </c>
      <c r="U772" s="706">
        <v>0</v>
      </c>
      <c r="V772" s="706">
        <v>170</v>
      </c>
      <c r="W772" s="706">
        <v>328</v>
      </c>
      <c r="X772" s="706">
        <v>544</v>
      </c>
      <c r="Y772" s="706">
        <v>750</v>
      </c>
      <c r="Z772" s="706">
        <v>898</v>
      </c>
      <c r="AA772" s="706">
        <v>1083</v>
      </c>
      <c r="AB772" s="706">
        <v>1239</v>
      </c>
      <c r="AC772" s="706">
        <v>1398</v>
      </c>
      <c r="AD772" s="706">
        <v>1483</v>
      </c>
      <c r="AE772" s="706">
        <v>0</v>
      </c>
      <c r="AF772" s="706">
        <v>0</v>
      </c>
      <c r="AG772" s="706">
        <v>0</v>
      </c>
      <c r="AH772" s="706">
        <v>175</v>
      </c>
      <c r="AI772" s="706">
        <v>175</v>
      </c>
      <c r="AJ772" s="905" t="str">
        <f t="shared" si="74"/>
        <v>G48100</v>
      </c>
      <c r="AK772" s="905" t="str">
        <f t="shared" si="75"/>
        <v>VTES-PIECES INTERNE</v>
      </c>
      <c r="AL772" s="905">
        <f>IFERROR(INDEX(G772:R772,1,MATCH(Parametres!$B$3,G$1:R$1,0)-1)*IF(OR(F772="L",F772="S",F772="I"),-1,1),"")</f>
        <v>-365310.89</v>
      </c>
      <c r="AM772" s="905">
        <f t="shared" si="76"/>
        <v>-36953.440000000002</v>
      </c>
      <c r="AN772" s="905">
        <f>INDEX(G772:R772,1,MATCH(Parametres!$B$3,G$1:R$1,0))*IF(OR(F772="L",F772="S",F772="I"),-1,1)</f>
        <v>-402264.33</v>
      </c>
      <c r="AO772" s="487" t="str">
        <f>+VLOOKUP($AJ772,Data_Validation!$A:$D,1,0)</f>
        <v>G48100</v>
      </c>
      <c r="AP772" s="487" t="str">
        <f>+VLOOKUP($AJ772,Data_Validation!$A:$D,3,0)</f>
        <v>Pièces</v>
      </c>
      <c r="AQ772" s="487" t="str">
        <f>+VLOOKUP($AJ772,Data_Validation!$A:$D,4,0)</f>
        <v>Ventes Internes</v>
      </c>
      <c r="AR772" s="487" t="s">
        <v>299</v>
      </c>
      <c r="AS772" s="487" t="str">
        <f>+VLOOKUP($AJ772,Data_Validation!$A:$E,5,0)</f>
        <v>Oui</v>
      </c>
      <c r="AT772" s="904" t="str">
        <f t="shared" si="77"/>
        <v>G48100</v>
      </c>
      <c r="AU772" s="488" t="str">
        <f t="shared" si="78"/>
        <v>VTES-PIECES INTERNE</v>
      </c>
      <c r="AV772" s="899">
        <f>IFERROR(INDEX(V772:AG772,1,MATCH(Parametres!$B$3,V$1:AG$1,0)-1)*IF(OR(C772="L",C772="S",C772="I"),-1,1),"")</f>
        <v>1239</v>
      </c>
      <c r="AW772" s="899">
        <f t="shared" si="79"/>
        <v>159</v>
      </c>
      <c r="AX772" s="899">
        <f>INDEX(V772:AG772,1,MATCH(Parametres!$B$3,V$1:AG$1,0))*IF(OR(C772="L",C772="S",C772="I"),-1,1)</f>
        <v>1398</v>
      </c>
      <c r="AY772" s="487" t="s">
        <v>337</v>
      </c>
      <c r="AZ772" s="487" t="str">
        <f>+VLOOKUP($AJ772,Data_Validation!$A:$E,5,0)</f>
        <v>Oui</v>
      </c>
    </row>
    <row r="773" spans="1:52" ht="15" customHeight="1">
      <c r="A773" s="706" t="s">
        <v>1148</v>
      </c>
      <c r="B773" s="706">
        <v>2026</v>
      </c>
      <c r="C773" s="706" t="s">
        <v>2554</v>
      </c>
      <c r="D773" s="706" t="s">
        <v>2555</v>
      </c>
      <c r="E773" s="706" t="s">
        <v>1151</v>
      </c>
      <c r="F773" s="706" t="s">
        <v>1149</v>
      </c>
      <c r="G773" s="706">
        <v>0</v>
      </c>
      <c r="H773" s="706">
        <v>0</v>
      </c>
      <c r="I773" s="706">
        <v>0</v>
      </c>
      <c r="J773" s="706">
        <v>0</v>
      </c>
      <c r="K773" s="706">
        <v>0</v>
      </c>
      <c r="L773" s="706">
        <v>0</v>
      </c>
      <c r="M773" s="706">
        <v>0</v>
      </c>
      <c r="N773" s="706">
        <v>0</v>
      </c>
      <c r="O773" s="706">
        <v>0</v>
      </c>
      <c r="P773" s="706">
        <v>0</v>
      </c>
      <c r="Q773" s="706">
        <v>0</v>
      </c>
      <c r="R773" s="706">
        <v>0</v>
      </c>
      <c r="S773" s="706">
        <v>0</v>
      </c>
      <c r="T773" s="706">
        <v>0</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905" t="str">
        <f t="shared" si="74"/>
        <v>G48120</v>
      </c>
      <c r="AK773" s="905" t="str">
        <f t="shared" si="75"/>
        <v>VTES-PCE INTERN CAM MOYEN</v>
      </c>
      <c r="AL773" s="905">
        <f>IFERROR(INDEX(G773:R773,1,MATCH(Parametres!$B$3,G$1:R$1,0)-1)*IF(OR(F773="L",F773="S",F773="I"),-1,1),"")</f>
        <v>0</v>
      </c>
      <c r="AM773" s="905">
        <f t="shared" si="76"/>
        <v>0</v>
      </c>
      <c r="AN773" s="905">
        <f>INDEX(G773:R773,1,MATCH(Parametres!$B$3,G$1:R$1,0))*IF(OR(F773="L",F773="S",F773="I"),-1,1)</f>
        <v>0</v>
      </c>
      <c r="AO773" s="487" t="str">
        <f>+VLOOKUP($AJ773,Data_Validation!$A:$D,1,0)</f>
        <v>G48120</v>
      </c>
      <c r="AP773" s="487" t="str">
        <f>+VLOOKUP($AJ773,Data_Validation!$A:$D,3,0)</f>
        <v>Pièces</v>
      </c>
      <c r="AQ773" s="487" t="str">
        <f>+VLOOKUP($AJ773,Data_Validation!$A:$D,4,0)</f>
        <v>Ventes Internes</v>
      </c>
      <c r="AR773" s="487" t="s">
        <v>299</v>
      </c>
      <c r="AS773" s="487" t="str">
        <f>+VLOOKUP($AJ773,Data_Validation!$A:$E,5,0)</f>
        <v>Oui</v>
      </c>
      <c r="AT773" s="904" t="str">
        <f t="shared" si="77"/>
        <v>G48120</v>
      </c>
      <c r="AU773" s="488" t="str">
        <f t="shared" si="78"/>
        <v>VTES-PCE INTERN CAM MOYEN</v>
      </c>
      <c r="AV773" s="899">
        <f>IFERROR(INDEX(V773:AG773,1,MATCH(Parametres!$B$3,V$1:AG$1,0)-1)*IF(OR(C773="L",C773="S",C773="I"),-1,1),"")</f>
        <v>0</v>
      </c>
      <c r="AW773" s="899">
        <f t="shared" si="79"/>
        <v>0</v>
      </c>
      <c r="AX773" s="899">
        <f>INDEX(V773:AG773,1,MATCH(Parametres!$B$3,V$1:AG$1,0))*IF(OR(C773="L",C773="S",C773="I"),-1,1)</f>
        <v>0</v>
      </c>
      <c r="AY773" s="487" t="s">
        <v>337</v>
      </c>
      <c r="AZ773" s="487" t="str">
        <f>+VLOOKUP($AJ773,Data_Validation!$A:$E,5,0)</f>
        <v>Oui</v>
      </c>
    </row>
    <row r="774" spans="1:52" ht="15" customHeight="1">
      <c r="A774" s="706" t="s">
        <v>1148</v>
      </c>
      <c r="B774" s="706">
        <v>2026</v>
      </c>
      <c r="C774" s="706" t="s">
        <v>2556</v>
      </c>
      <c r="D774" s="706" t="s">
        <v>2557</v>
      </c>
      <c r="E774" s="706" t="s">
        <v>1151</v>
      </c>
      <c r="F774" s="706" t="s">
        <v>1149</v>
      </c>
      <c r="G774" s="706">
        <v>28409.34</v>
      </c>
      <c r="H774" s="706">
        <v>49297.1</v>
      </c>
      <c r="I774" s="706">
        <v>91732.95</v>
      </c>
      <c r="J774" s="706">
        <v>130796.36</v>
      </c>
      <c r="K774" s="706">
        <v>168162.88</v>
      </c>
      <c r="L774" s="706">
        <v>218773.9</v>
      </c>
      <c r="M774" s="706">
        <v>272745.53999999998</v>
      </c>
      <c r="N774" s="706">
        <v>304187.03000000003</v>
      </c>
      <c r="O774" s="706">
        <v>322617.43</v>
      </c>
      <c r="P774" s="706">
        <v>0</v>
      </c>
      <c r="Q774" s="706">
        <v>0</v>
      </c>
      <c r="R774" s="706">
        <v>0</v>
      </c>
      <c r="S774" s="706">
        <v>38023.379999999997</v>
      </c>
      <c r="T774" s="706">
        <v>38023.379999999997</v>
      </c>
      <c r="U774" s="706">
        <v>0</v>
      </c>
      <c r="V774" s="706">
        <v>134</v>
      </c>
      <c r="W774" s="706">
        <v>265</v>
      </c>
      <c r="X774" s="706">
        <v>477</v>
      </c>
      <c r="Y774" s="706">
        <v>673</v>
      </c>
      <c r="Z774" s="706">
        <v>858</v>
      </c>
      <c r="AA774" s="706">
        <v>1080</v>
      </c>
      <c r="AB774" s="706">
        <v>1291</v>
      </c>
      <c r="AC774" s="706">
        <v>1485</v>
      </c>
      <c r="AD774" s="706">
        <v>1604</v>
      </c>
      <c r="AE774" s="706">
        <v>0</v>
      </c>
      <c r="AF774" s="706">
        <v>0</v>
      </c>
      <c r="AG774" s="706">
        <v>0</v>
      </c>
      <c r="AH774" s="706">
        <v>186</v>
      </c>
      <c r="AI774" s="706">
        <v>186</v>
      </c>
      <c r="AJ774" s="905" t="str">
        <f t="shared" si="74"/>
        <v>G48200</v>
      </c>
      <c r="AK774" s="905" t="str">
        <f t="shared" si="75"/>
        <v>VTES-PIECES AU DETAIL</v>
      </c>
      <c r="AL774" s="905">
        <f>IFERROR(INDEX(G774:R774,1,MATCH(Parametres!$B$3,G$1:R$1,0)-1)*IF(OR(F774="L",F774="S",F774="I"),-1,1),"")</f>
        <v>-272745.53999999998</v>
      </c>
      <c r="AM774" s="905">
        <f t="shared" si="76"/>
        <v>-31441.490000000049</v>
      </c>
      <c r="AN774" s="905">
        <f>INDEX(G774:R774,1,MATCH(Parametres!$B$3,G$1:R$1,0))*IF(OR(F774="L",F774="S",F774="I"),-1,1)</f>
        <v>-304187.03000000003</v>
      </c>
      <c r="AO774" s="487" t="str">
        <f>+VLOOKUP($AJ774,Data_Validation!$A:$D,1,0)</f>
        <v>G48200</v>
      </c>
      <c r="AP774" s="487" t="str">
        <f>+VLOOKUP($AJ774,Data_Validation!$A:$D,3,0)</f>
        <v>Pièces</v>
      </c>
      <c r="AQ774" s="487" t="str">
        <f>+VLOOKUP($AJ774,Data_Validation!$A:$D,4,0)</f>
        <v>Ventes Détails</v>
      </c>
      <c r="AR774" s="487" t="s">
        <v>299</v>
      </c>
      <c r="AS774" s="487" t="str">
        <f>+VLOOKUP($AJ774,Data_Validation!$A:$E,5,0)</f>
        <v>Oui</v>
      </c>
      <c r="AT774" s="904" t="str">
        <f t="shared" si="77"/>
        <v>G48200</v>
      </c>
      <c r="AU774" s="488" t="str">
        <f t="shared" si="78"/>
        <v>VTES-PIECES AU DETAIL</v>
      </c>
      <c r="AV774" s="899">
        <f>IFERROR(INDEX(V774:AG774,1,MATCH(Parametres!$B$3,V$1:AG$1,0)-1)*IF(OR(C774="L",C774="S",C774="I"),-1,1),"")</f>
        <v>1291</v>
      </c>
      <c r="AW774" s="899">
        <f t="shared" si="79"/>
        <v>194</v>
      </c>
      <c r="AX774" s="899">
        <f>INDEX(V774:AG774,1,MATCH(Parametres!$B$3,V$1:AG$1,0))*IF(OR(C774="L",C774="S",C774="I"),-1,1)</f>
        <v>1485</v>
      </c>
      <c r="AY774" s="487" t="s">
        <v>337</v>
      </c>
      <c r="AZ774" s="487" t="str">
        <f>+VLOOKUP($AJ774,Data_Validation!$A:$E,5,0)</f>
        <v>Oui</v>
      </c>
    </row>
    <row r="775" spans="1:52" ht="15" customHeight="1">
      <c r="A775" s="706" t="s">
        <v>1148</v>
      </c>
      <c r="B775" s="706">
        <v>2026</v>
      </c>
      <c r="C775" s="706" t="s">
        <v>2558</v>
      </c>
      <c r="D775" s="706" t="s">
        <v>2559</v>
      </c>
      <c r="E775" s="706" t="s">
        <v>1151</v>
      </c>
      <c r="F775" s="706" t="s">
        <v>1149</v>
      </c>
      <c r="G775" s="706">
        <v>177580.69</v>
      </c>
      <c r="H775" s="706">
        <v>320434.94</v>
      </c>
      <c r="I775" s="706">
        <v>444997.62</v>
      </c>
      <c r="J775" s="706">
        <v>542722.81000000006</v>
      </c>
      <c r="K775" s="706">
        <v>669745.9</v>
      </c>
      <c r="L775" s="706">
        <v>794379.49</v>
      </c>
      <c r="M775" s="706">
        <v>932468.11</v>
      </c>
      <c r="N775" s="706">
        <v>1048595.52</v>
      </c>
      <c r="O775" s="706">
        <v>1163728.92</v>
      </c>
      <c r="P775" s="706">
        <v>0</v>
      </c>
      <c r="Q775" s="706">
        <v>0</v>
      </c>
      <c r="R775" s="706">
        <v>0</v>
      </c>
      <c r="S775" s="706">
        <v>131074.44</v>
      </c>
      <c r="T775" s="706">
        <v>131074.44</v>
      </c>
      <c r="U775" s="706">
        <v>0</v>
      </c>
      <c r="V775" s="706">
        <v>410</v>
      </c>
      <c r="W775" s="706">
        <v>772</v>
      </c>
      <c r="X775" s="706">
        <v>1157</v>
      </c>
      <c r="Y775" s="706">
        <v>1447</v>
      </c>
      <c r="Z775" s="706">
        <v>1762</v>
      </c>
      <c r="AA775" s="706">
        <v>2090</v>
      </c>
      <c r="AB775" s="706">
        <v>2411</v>
      </c>
      <c r="AC775" s="706">
        <v>2709</v>
      </c>
      <c r="AD775" s="706">
        <v>2983</v>
      </c>
      <c r="AE775" s="706">
        <v>0</v>
      </c>
      <c r="AF775" s="706">
        <v>0</v>
      </c>
      <c r="AG775" s="706">
        <v>0</v>
      </c>
      <c r="AH775" s="706">
        <v>339</v>
      </c>
      <c r="AI775" s="706">
        <v>339</v>
      </c>
      <c r="AJ775" s="905" t="str">
        <f t="shared" si="74"/>
        <v>G48300</v>
      </c>
      <c r="AK775" s="905" t="str">
        <f t="shared" si="75"/>
        <v>VTES-PIECES EN GROS</v>
      </c>
      <c r="AL775" s="905">
        <f>IFERROR(INDEX(G775:R775,1,MATCH(Parametres!$B$3,G$1:R$1,0)-1)*IF(OR(F775="L",F775="S",F775="I"),-1,1),"")</f>
        <v>-932468.11</v>
      </c>
      <c r="AM775" s="905">
        <f t="shared" si="76"/>
        <v>-116127.41000000003</v>
      </c>
      <c r="AN775" s="905">
        <f>INDEX(G775:R775,1,MATCH(Parametres!$B$3,G$1:R$1,0))*IF(OR(F775="L",F775="S",F775="I"),-1,1)</f>
        <v>-1048595.52</v>
      </c>
      <c r="AO775" s="487" t="str">
        <f>+VLOOKUP($AJ775,Data_Validation!$A:$D,1,0)</f>
        <v>G48300</v>
      </c>
      <c r="AP775" s="487" t="str">
        <f>+VLOOKUP($AJ775,Data_Validation!$A:$D,3,0)</f>
        <v>Pièces</v>
      </c>
      <c r="AQ775" s="487" t="str">
        <f>+VLOOKUP($AJ775,Data_Validation!$A:$D,4,0)</f>
        <v>Ventes de Gros</v>
      </c>
      <c r="AR775" s="487" t="s">
        <v>299</v>
      </c>
      <c r="AS775" s="487" t="str">
        <f>+VLOOKUP($AJ775,Data_Validation!$A:$E,5,0)</f>
        <v>Oui</v>
      </c>
      <c r="AT775" s="904" t="str">
        <f t="shared" si="77"/>
        <v>G48300</v>
      </c>
      <c r="AU775" s="488" t="str">
        <f t="shared" si="78"/>
        <v>VTES-PIECES EN GROS</v>
      </c>
      <c r="AV775" s="899">
        <f>IFERROR(INDEX(V775:AG775,1,MATCH(Parametres!$B$3,V$1:AG$1,0)-1)*IF(OR(C775="L",C775="S",C775="I"),-1,1),"")</f>
        <v>2411</v>
      </c>
      <c r="AW775" s="899">
        <f t="shared" si="79"/>
        <v>298</v>
      </c>
      <c r="AX775" s="899">
        <f>INDEX(V775:AG775,1,MATCH(Parametres!$B$3,V$1:AG$1,0))*IF(OR(C775="L",C775="S",C775="I"),-1,1)</f>
        <v>2709</v>
      </c>
      <c r="AY775" s="487" t="s">
        <v>337</v>
      </c>
      <c r="AZ775" s="487" t="str">
        <f>+VLOOKUP($AJ775,Data_Validation!$A:$E,5,0)</f>
        <v>Oui</v>
      </c>
    </row>
    <row r="776" spans="1:52" ht="15" customHeight="1">
      <c r="A776" s="706" t="s">
        <v>1148</v>
      </c>
      <c r="B776" s="706">
        <v>2026</v>
      </c>
      <c r="C776" s="706" t="s">
        <v>2560</v>
      </c>
      <c r="D776" s="706" t="s">
        <v>2561</v>
      </c>
      <c r="E776" s="706" t="s">
        <v>333</v>
      </c>
      <c r="F776" s="706" t="s">
        <v>1149</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905" t="str">
        <f t="shared" si="74"/>
        <v>G48700</v>
      </c>
      <c r="AK776" s="905" t="str">
        <f t="shared" si="75"/>
        <v>*ESCOMPTES DE VOLUME</v>
      </c>
      <c r="AL776" s="905">
        <f>IFERROR(INDEX(G776:R776,1,MATCH(Parametres!$B$3,G$1:R$1,0)-1)*IF(OR(F776="L",F776="S",F776="I"),-1,1),"")</f>
        <v>0</v>
      </c>
      <c r="AM776" s="905">
        <f t="shared" si="76"/>
        <v>0</v>
      </c>
      <c r="AN776" s="905">
        <f>INDEX(G776:R776,1,MATCH(Parametres!$B$3,G$1:R$1,0))*IF(OR(F776="L",F776="S",F776="I"),-1,1)</f>
        <v>0</v>
      </c>
      <c r="AO776" s="487" t="str">
        <f>+VLOOKUP($AJ776,Data_Validation!$A:$D,1,0)</f>
        <v>G48700</v>
      </c>
      <c r="AP776" s="487">
        <f>+VLOOKUP($AJ776,Data_Validation!$A:$D,3,0)</f>
        <v>0</v>
      </c>
      <c r="AQ776" s="487">
        <f>+VLOOKUP($AJ776,Data_Validation!$A:$D,4,0)</f>
        <v>0</v>
      </c>
      <c r="AR776" s="487" t="s">
        <v>299</v>
      </c>
      <c r="AS776" s="487">
        <f>+VLOOKUP($AJ776,Data_Validation!$A:$E,5,0)</f>
        <v>0</v>
      </c>
      <c r="AT776" s="904" t="str">
        <f t="shared" si="77"/>
        <v>G48700</v>
      </c>
      <c r="AU776" s="488" t="str">
        <f t="shared" si="78"/>
        <v>*ESCOMPTES DE VOLUME</v>
      </c>
      <c r="AV776" s="899">
        <f>IFERROR(INDEX(V776:AG776,1,MATCH(Parametres!$B$3,V$1:AG$1,0)-1)*IF(OR(C776="L",C776="S",C776="I"),-1,1),"")</f>
        <v>0</v>
      </c>
      <c r="AW776" s="899">
        <f t="shared" si="79"/>
        <v>0</v>
      </c>
      <c r="AX776" s="899">
        <f>INDEX(V776:AG776,1,MATCH(Parametres!$B$3,V$1:AG$1,0))*IF(OR(C776="L",C776="S",C776="I"),-1,1)</f>
        <v>0</v>
      </c>
      <c r="AY776" s="487" t="s">
        <v>337</v>
      </c>
      <c r="AZ776" s="487">
        <f>+VLOOKUP($AJ776,Data_Validation!$A:$E,5,0)</f>
        <v>0</v>
      </c>
    </row>
    <row r="777" spans="1:52" ht="15" customHeight="1">
      <c r="A777" s="706" t="s">
        <v>1148</v>
      </c>
      <c r="B777" s="706">
        <v>2026</v>
      </c>
      <c r="C777" s="706" t="s">
        <v>2562</v>
      </c>
      <c r="D777" s="706" t="s">
        <v>2563</v>
      </c>
      <c r="E777" s="706" t="s">
        <v>333</v>
      </c>
      <c r="F777" s="706" t="s">
        <v>1149</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905" t="str">
        <f t="shared" si="74"/>
        <v>G48800</v>
      </c>
      <c r="AK777" s="905" t="str">
        <f t="shared" si="75"/>
        <v>*RECTIFIC.STOCK PIECES</v>
      </c>
      <c r="AL777" s="905">
        <f>IFERROR(INDEX(G777:R777,1,MATCH(Parametres!$B$3,G$1:R$1,0)-1)*IF(OR(F777="L",F777="S",F777="I"),-1,1),"")</f>
        <v>0</v>
      </c>
      <c r="AM777" s="905">
        <f t="shared" si="76"/>
        <v>0</v>
      </c>
      <c r="AN777" s="905">
        <f>INDEX(G777:R777,1,MATCH(Parametres!$B$3,G$1:R$1,0))*IF(OR(F777="L",F777="S",F777="I"),-1,1)</f>
        <v>0</v>
      </c>
      <c r="AO777" s="487" t="str">
        <f>+VLOOKUP($AJ777,Data_Validation!$A:$D,1,0)</f>
        <v>G48800</v>
      </c>
      <c r="AP777" s="487">
        <f>+VLOOKUP($AJ777,Data_Validation!$A:$D,3,0)</f>
        <v>0</v>
      </c>
      <c r="AQ777" s="487">
        <f>+VLOOKUP($AJ777,Data_Validation!$A:$D,4,0)</f>
        <v>0</v>
      </c>
      <c r="AR777" s="487" t="s">
        <v>299</v>
      </c>
      <c r="AS777" s="487">
        <f>+VLOOKUP($AJ777,Data_Validation!$A:$E,5,0)</f>
        <v>0</v>
      </c>
      <c r="AT777" s="904" t="str">
        <f t="shared" si="77"/>
        <v>G48800</v>
      </c>
      <c r="AU777" s="488" t="str">
        <f t="shared" si="78"/>
        <v>*RECTIFIC.STOCK PIECES</v>
      </c>
      <c r="AV777" s="899">
        <f>IFERROR(INDEX(V777:AG777,1,MATCH(Parametres!$B$3,V$1:AG$1,0)-1)*IF(OR(C777="L",C777="S",C777="I"),-1,1),"")</f>
        <v>0</v>
      </c>
      <c r="AW777" s="899">
        <f t="shared" si="79"/>
        <v>0</v>
      </c>
      <c r="AX777" s="899">
        <f>INDEX(V777:AG777,1,MATCH(Parametres!$B$3,V$1:AG$1,0))*IF(OR(C777="L",C777="S",C777="I"),-1,1)</f>
        <v>0</v>
      </c>
      <c r="AY777" s="487" t="s">
        <v>337</v>
      </c>
      <c r="AZ777" s="487">
        <f>+VLOOKUP($AJ777,Data_Validation!$A:$E,5,0)</f>
        <v>0</v>
      </c>
    </row>
    <row r="778" spans="1:52" ht="15" customHeight="1">
      <c r="A778" s="706" t="s">
        <v>1148</v>
      </c>
      <c r="B778" s="706">
        <v>2026</v>
      </c>
      <c r="C778" s="706" t="s">
        <v>2564</v>
      </c>
      <c r="D778" s="706" t="s">
        <v>2565</v>
      </c>
      <c r="E778" s="706" t="s">
        <v>1151</v>
      </c>
      <c r="F778" s="706" t="s">
        <v>1149</v>
      </c>
      <c r="G778" s="706">
        <v>40036.18</v>
      </c>
      <c r="H778" s="706">
        <v>70738.16</v>
      </c>
      <c r="I778" s="706">
        <v>87648.34</v>
      </c>
      <c r="J778" s="706">
        <v>113298.18</v>
      </c>
      <c r="K778" s="706">
        <v>128407.36</v>
      </c>
      <c r="L778" s="706">
        <v>147040.26999999999</v>
      </c>
      <c r="M778" s="706">
        <v>159645.31</v>
      </c>
      <c r="N778" s="706">
        <v>178315.33</v>
      </c>
      <c r="O778" s="706">
        <v>196741.13</v>
      </c>
      <c r="P778" s="706">
        <v>0</v>
      </c>
      <c r="Q778" s="706">
        <v>0</v>
      </c>
      <c r="R778" s="706">
        <v>0</v>
      </c>
      <c r="S778" s="706">
        <v>22289.42</v>
      </c>
      <c r="T778" s="706">
        <v>22289.42</v>
      </c>
      <c r="U778" s="706">
        <v>0</v>
      </c>
      <c r="V778" s="706">
        <v>39</v>
      </c>
      <c r="W778" s="706">
        <v>72</v>
      </c>
      <c r="X778" s="706">
        <v>86</v>
      </c>
      <c r="Y778" s="706">
        <v>115</v>
      </c>
      <c r="Z778" s="706">
        <v>132</v>
      </c>
      <c r="AA778" s="706">
        <v>152</v>
      </c>
      <c r="AB778" s="706">
        <v>167</v>
      </c>
      <c r="AC778" s="706">
        <v>191</v>
      </c>
      <c r="AD778" s="706">
        <v>212</v>
      </c>
      <c r="AE778" s="706">
        <v>0</v>
      </c>
      <c r="AF778" s="706">
        <v>0</v>
      </c>
      <c r="AG778" s="706">
        <v>0</v>
      </c>
      <c r="AH778" s="706">
        <v>24</v>
      </c>
      <c r="AI778" s="706">
        <v>24</v>
      </c>
      <c r="AJ778" s="905" t="str">
        <f t="shared" si="74"/>
        <v>G49000</v>
      </c>
      <c r="AK778" s="905" t="str">
        <f t="shared" si="75"/>
        <v>VTES-DE PNEUS</v>
      </c>
      <c r="AL778" s="905">
        <f>IFERROR(INDEX(G778:R778,1,MATCH(Parametres!$B$3,G$1:R$1,0)-1)*IF(OR(F778="L",F778="S",F778="I"),-1,1),"")</f>
        <v>-159645.31</v>
      </c>
      <c r="AM778" s="905">
        <f t="shared" si="76"/>
        <v>-18670.01999999999</v>
      </c>
      <c r="AN778" s="905">
        <f>INDEX(G778:R778,1,MATCH(Parametres!$B$3,G$1:R$1,0))*IF(OR(F778="L",F778="S",F778="I"),-1,1)</f>
        <v>-178315.33</v>
      </c>
      <c r="AO778" s="487" t="str">
        <f>+VLOOKUP($AJ778,Data_Validation!$A:$D,1,0)</f>
        <v>G49000</v>
      </c>
      <c r="AP778" s="487" t="str">
        <f>+VLOOKUP($AJ778,Data_Validation!$A:$D,3,0)</f>
        <v>Pièces</v>
      </c>
      <c r="AQ778" s="487" t="str">
        <f>+VLOOKUP($AJ778,Data_Validation!$A:$D,4,0)</f>
        <v>Ventes Pneus</v>
      </c>
      <c r="AR778" s="487" t="s">
        <v>299</v>
      </c>
      <c r="AS778" s="487" t="str">
        <f>+VLOOKUP($AJ778,Data_Validation!$A:$E,5,0)</f>
        <v>Oui</v>
      </c>
      <c r="AT778" s="904" t="str">
        <f t="shared" si="77"/>
        <v>G49000</v>
      </c>
      <c r="AU778" s="488" t="str">
        <f t="shared" si="78"/>
        <v>VTES-DE PNEUS</v>
      </c>
      <c r="AV778" s="899">
        <f>IFERROR(INDEX(V778:AG778,1,MATCH(Parametres!$B$3,V$1:AG$1,0)-1)*IF(OR(C778="L",C778="S",C778="I"),-1,1),"")</f>
        <v>167</v>
      </c>
      <c r="AW778" s="899">
        <f t="shared" si="79"/>
        <v>24</v>
      </c>
      <c r="AX778" s="899">
        <f>INDEX(V778:AG778,1,MATCH(Parametres!$B$3,V$1:AG$1,0))*IF(OR(C778="L",C778="S",C778="I"),-1,1)</f>
        <v>191</v>
      </c>
      <c r="AY778" s="487" t="s">
        <v>337</v>
      </c>
      <c r="AZ778" s="487" t="str">
        <f>+VLOOKUP($AJ778,Data_Validation!$A:$E,5,0)</f>
        <v>Oui</v>
      </c>
    </row>
    <row r="779" spans="1:52" ht="15" customHeight="1">
      <c r="A779" s="706" t="s">
        <v>1148</v>
      </c>
      <c r="B779" s="706">
        <v>2026</v>
      </c>
      <c r="C779" s="706" t="s">
        <v>2566</v>
      </c>
      <c r="D779" s="706" t="s">
        <v>2567</v>
      </c>
      <c r="E779" s="706" t="s">
        <v>1151</v>
      </c>
      <c r="F779" s="706" t="s">
        <v>1149</v>
      </c>
      <c r="G779" s="706">
        <v>9627.3799999999992</v>
      </c>
      <c r="H779" s="706">
        <v>19499.64</v>
      </c>
      <c r="I779" s="706">
        <v>32785.910000000003</v>
      </c>
      <c r="J779" s="706">
        <v>44242.82</v>
      </c>
      <c r="K779" s="706">
        <v>55841.85</v>
      </c>
      <c r="L779" s="706">
        <v>70711.05</v>
      </c>
      <c r="M779" s="706">
        <v>83376.42</v>
      </c>
      <c r="N779" s="706">
        <v>96955.11</v>
      </c>
      <c r="O779" s="706">
        <v>105057.92</v>
      </c>
      <c r="P779" s="706">
        <v>0</v>
      </c>
      <c r="Q779" s="706">
        <v>0</v>
      </c>
      <c r="R779" s="706">
        <v>0</v>
      </c>
      <c r="S779" s="706">
        <v>12119.39</v>
      </c>
      <c r="T779" s="706">
        <v>12119.39</v>
      </c>
      <c r="U779" s="706">
        <v>0</v>
      </c>
      <c r="V779" s="706">
        <v>140</v>
      </c>
      <c r="W779" s="706">
        <v>273</v>
      </c>
      <c r="X779" s="706">
        <v>453</v>
      </c>
      <c r="Y779" s="706">
        <v>656</v>
      </c>
      <c r="Z779" s="706">
        <v>845</v>
      </c>
      <c r="AA779" s="706">
        <v>1067</v>
      </c>
      <c r="AB779" s="706">
        <v>1243</v>
      </c>
      <c r="AC779" s="706">
        <v>1440</v>
      </c>
      <c r="AD779" s="706">
        <v>1557</v>
      </c>
      <c r="AE779" s="706">
        <v>0</v>
      </c>
      <c r="AF779" s="706">
        <v>0</v>
      </c>
      <c r="AG779" s="706">
        <v>0</v>
      </c>
      <c r="AH779" s="706">
        <v>180</v>
      </c>
      <c r="AI779" s="706">
        <v>180</v>
      </c>
      <c r="AJ779" s="905" t="str">
        <f t="shared" si="74"/>
        <v>G49100</v>
      </c>
      <c r="AK779" s="905" t="str">
        <f t="shared" si="75"/>
        <v>VTES-HUILES &amp; GRAISSE</v>
      </c>
      <c r="AL779" s="905">
        <f>IFERROR(INDEX(G779:R779,1,MATCH(Parametres!$B$3,G$1:R$1,0)-1)*IF(OR(F779="L",F779="S",F779="I"),-1,1),"")</f>
        <v>-83376.42</v>
      </c>
      <c r="AM779" s="905">
        <f t="shared" si="76"/>
        <v>-13578.690000000002</v>
      </c>
      <c r="AN779" s="905">
        <f>INDEX(G779:R779,1,MATCH(Parametres!$B$3,G$1:R$1,0))*IF(OR(F779="L",F779="S",F779="I"),-1,1)</f>
        <v>-96955.11</v>
      </c>
      <c r="AO779" s="487" t="str">
        <f>+VLOOKUP($AJ779,Data_Validation!$A:$D,1,0)</f>
        <v>G49100</v>
      </c>
      <c r="AP779" s="487" t="str">
        <f>+VLOOKUP($AJ779,Data_Validation!$A:$D,3,0)</f>
        <v>Pièces</v>
      </c>
      <c r="AQ779" s="487" t="str">
        <f>+VLOOKUP($AJ779,Data_Validation!$A:$D,4,0)</f>
        <v>Huiles et Graisse</v>
      </c>
      <c r="AR779" s="487" t="s">
        <v>299</v>
      </c>
      <c r="AS779" s="487" t="str">
        <f>+VLOOKUP($AJ779,Data_Validation!$A:$E,5,0)</f>
        <v>Oui</v>
      </c>
      <c r="AT779" s="904" t="str">
        <f t="shared" si="77"/>
        <v>G49100</v>
      </c>
      <c r="AU779" s="488" t="str">
        <f t="shared" si="78"/>
        <v>VTES-HUILES &amp; GRAISSE</v>
      </c>
      <c r="AV779" s="899">
        <f>IFERROR(INDEX(V779:AG779,1,MATCH(Parametres!$B$3,V$1:AG$1,0)-1)*IF(OR(C779="L",C779="S",C779="I"),-1,1),"")</f>
        <v>1243</v>
      </c>
      <c r="AW779" s="899">
        <f t="shared" si="79"/>
        <v>197</v>
      </c>
      <c r="AX779" s="899">
        <f>INDEX(V779:AG779,1,MATCH(Parametres!$B$3,V$1:AG$1,0))*IF(OR(C779="L",C779="S",C779="I"),-1,1)</f>
        <v>1440</v>
      </c>
      <c r="AY779" s="487" t="s">
        <v>337</v>
      </c>
      <c r="AZ779" s="487" t="str">
        <f>+VLOOKUP($AJ779,Data_Validation!$A:$E,5,0)</f>
        <v>Oui</v>
      </c>
    </row>
    <row r="780" spans="1:52" ht="15" customHeight="1">
      <c r="A780" s="706" t="s">
        <v>1148</v>
      </c>
      <c r="B780" s="706">
        <v>2026</v>
      </c>
      <c r="C780" s="706" t="s">
        <v>2568</v>
      </c>
      <c r="D780" s="706" t="s">
        <v>2569</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G50210</v>
      </c>
      <c r="AK780" s="905" t="str">
        <f t="shared" si="75"/>
        <v>REVENUS LOCATION SERVICE</v>
      </c>
      <c r="AL780" s="905">
        <f>IFERROR(INDEX(G780:R780,1,MATCH(Parametres!$B$3,G$1:R$1,0)-1)*IF(OR(F780="L",F780="S",F780="I"),-1,1),"")</f>
        <v>0</v>
      </c>
      <c r="AM780" s="905">
        <f t="shared" si="76"/>
        <v>0</v>
      </c>
      <c r="AN780" s="905">
        <f>INDEX(G780:R780,1,MATCH(Parametres!$B$3,G$1:R$1,0))*IF(OR(F780="L",F780="S",F780="I"),-1,1)</f>
        <v>0</v>
      </c>
      <c r="AO780" s="487" t="str">
        <f>+VLOOKUP($AJ780,Data_Validation!$A:$D,1,0)</f>
        <v>G50210</v>
      </c>
      <c r="AP780" s="487" t="str">
        <f>+VLOOKUP($AJ780,Data_Validation!$A:$D,3,0)</f>
        <v>Service</v>
      </c>
      <c r="AQ780" s="487" t="str">
        <f>+VLOOKUP($AJ780,Data_Validation!$A:$D,4,0)</f>
        <v>Frais véhicules de cie</v>
      </c>
      <c r="AR780" s="487" t="s">
        <v>299</v>
      </c>
      <c r="AS780" s="487">
        <f>+VLOOKUP($AJ780,Data_Validation!$A:$E,5,0)</f>
        <v>0</v>
      </c>
      <c r="AT780" s="904" t="str">
        <f t="shared" si="77"/>
        <v>G50210</v>
      </c>
      <c r="AU780" s="488" t="str">
        <f t="shared" si="78"/>
        <v>REVENUS LOCATION SERVICE</v>
      </c>
      <c r="AV780" s="899">
        <f>IFERROR(INDEX(V780:AG780,1,MATCH(Parametres!$B$3,V$1:AG$1,0)-1)*IF(OR(C780="L",C780="S",C780="I"),-1,1),"")</f>
        <v>0</v>
      </c>
      <c r="AW780" s="899">
        <f t="shared" si="79"/>
        <v>0</v>
      </c>
      <c r="AX780" s="899">
        <f>INDEX(V780:AG780,1,MATCH(Parametres!$B$3,V$1:AG$1,0))*IF(OR(C780="L",C780="S",C780="I"),-1,1)</f>
        <v>0</v>
      </c>
      <c r="AY780" s="487" t="s">
        <v>337</v>
      </c>
      <c r="AZ780" s="487">
        <f>+VLOOKUP($AJ780,Data_Validation!$A:$E,5,0)</f>
        <v>0</v>
      </c>
    </row>
    <row r="781" spans="1:52" ht="15" customHeight="1">
      <c r="A781" s="706" t="s">
        <v>1148</v>
      </c>
      <c r="B781" s="706">
        <v>2026</v>
      </c>
      <c r="C781" s="706" t="s">
        <v>2570</v>
      </c>
      <c r="D781" s="706" t="s">
        <v>2571</v>
      </c>
      <c r="E781" s="706" t="s">
        <v>333</v>
      </c>
      <c r="F781" s="706" t="s">
        <v>1150</v>
      </c>
      <c r="G781" s="706">
        <v>0</v>
      </c>
      <c r="H781" s="706">
        <v>-3076.58</v>
      </c>
      <c r="I781" s="706">
        <v>-3310.58</v>
      </c>
      <c r="J781" s="706">
        <v>-4666.43</v>
      </c>
      <c r="K781" s="706">
        <v>-5040.79</v>
      </c>
      <c r="L781" s="706">
        <v>-5092.79</v>
      </c>
      <c r="M781" s="706">
        <v>-5092.79</v>
      </c>
      <c r="N781" s="706">
        <v>-7877.55</v>
      </c>
      <c r="O781" s="706">
        <v>-8605.5499999999993</v>
      </c>
      <c r="P781" s="706">
        <v>0</v>
      </c>
      <c r="Q781" s="706">
        <v>0</v>
      </c>
      <c r="R781" s="706">
        <v>0</v>
      </c>
      <c r="S781" s="706">
        <v>-984.69</v>
      </c>
      <c r="T781" s="706">
        <v>-984.69</v>
      </c>
      <c r="U781" s="706">
        <v>0</v>
      </c>
      <c r="V781" s="706">
        <v>0</v>
      </c>
      <c r="W781" s="706">
        <v>-4</v>
      </c>
      <c r="X781" s="706">
        <v>-5</v>
      </c>
      <c r="Y781" s="706">
        <v>-6</v>
      </c>
      <c r="Z781" s="706">
        <v>-7</v>
      </c>
      <c r="AA781" s="706">
        <v>-8</v>
      </c>
      <c r="AB781" s="706">
        <v>-8</v>
      </c>
      <c r="AC781" s="706">
        <v>-10</v>
      </c>
      <c r="AD781" s="706">
        <v>-12</v>
      </c>
      <c r="AE781" s="706">
        <v>0</v>
      </c>
      <c r="AF781" s="706">
        <v>0</v>
      </c>
      <c r="AG781" s="706">
        <v>0</v>
      </c>
      <c r="AH781" s="706">
        <v>-1</v>
      </c>
      <c r="AI781" s="706">
        <v>-1</v>
      </c>
      <c r="AJ781" s="905" t="str">
        <f t="shared" si="74"/>
        <v>G50220</v>
      </c>
      <c r="AK781" s="905" t="str">
        <f t="shared" si="75"/>
        <v>REVENUS LOCATION BODY</v>
      </c>
      <c r="AL781" s="905">
        <f>IFERROR(INDEX(G781:R781,1,MATCH(Parametres!$B$3,G$1:R$1,0)-1)*IF(OR(F781="L",F781="S",F781="I"),-1,1),"")</f>
        <v>5092.79</v>
      </c>
      <c r="AM781" s="905">
        <f t="shared" si="76"/>
        <v>2784.76</v>
      </c>
      <c r="AN781" s="905">
        <f>INDEX(G781:R781,1,MATCH(Parametres!$B$3,G$1:R$1,0))*IF(OR(F781="L",F781="S",F781="I"),-1,1)</f>
        <v>7877.55</v>
      </c>
      <c r="AO781" s="487" t="str">
        <f>+VLOOKUP($AJ781,Data_Validation!$A:$D,1,0)</f>
        <v>G50220</v>
      </c>
      <c r="AP781" s="487" t="str">
        <f>+VLOOKUP($AJ781,Data_Validation!$A:$D,3,0)</f>
        <v>Carrosserie</v>
      </c>
      <c r="AQ781" s="487" t="str">
        <f>+VLOOKUP($AJ781,Data_Validation!$A:$D,4,0)</f>
        <v>Frais véhicules de cie</v>
      </c>
      <c r="AR781" s="487" t="s">
        <v>299</v>
      </c>
      <c r="AS781" s="487">
        <f>+VLOOKUP($AJ781,Data_Validation!$A:$E,5,0)</f>
        <v>0</v>
      </c>
      <c r="AT781" s="904" t="str">
        <f t="shared" si="77"/>
        <v>G50220</v>
      </c>
      <c r="AU781" s="488" t="str">
        <f t="shared" si="78"/>
        <v>REVENUS LOCATION BODY</v>
      </c>
      <c r="AV781" s="899">
        <f>IFERROR(INDEX(V781:AG781,1,MATCH(Parametres!$B$3,V$1:AG$1,0)-1)*IF(OR(C781="L",C781="S",C781="I"),-1,1),"")</f>
        <v>-8</v>
      </c>
      <c r="AW781" s="899">
        <f t="shared" si="79"/>
        <v>-2</v>
      </c>
      <c r="AX781" s="899">
        <f>INDEX(V781:AG781,1,MATCH(Parametres!$B$3,V$1:AG$1,0))*IF(OR(C781="L",C781="S",C781="I"),-1,1)</f>
        <v>-10</v>
      </c>
      <c r="AY781" s="487" t="s">
        <v>337</v>
      </c>
      <c r="AZ781" s="487">
        <f>+VLOOKUP($AJ781,Data_Validation!$A:$E,5,0)</f>
        <v>0</v>
      </c>
    </row>
    <row r="782" spans="1:52" ht="15" customHeight="1">
      <c r="A782" s="706" t="s">
        <v>1148</v>
      </c>
      <c r="B782" s="706">
        <v>2026</v>
      </c>
      <c r="C782" s="706" t="s">
        <v>2572</v>
      </c>
      <c r="D782" s="706" t="s">
        <v>2573</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G511</v>
      </c>
      <c r="AK782" s="905" t="str">
        <f t="shared" si="75"/>
        <v>PMNT PER. LOC.BAIL-SIMPLE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G511</v>
      </c>
      <c r="AU782" s="488" t="str">
        <f t="shared" si="78"/>
        <v>PMNT PER. LOC.BAIL-SIMPLE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customHeight="1">
      <c r="A783" s="706" t="s">
        <v>1148</v>
      </c>
      <c r="B783" s="706">
        <v>2026</v>
      </c>
      <c r="C783" s="706" t="s">
        <v>2574</v>
      </c>
      <c r="D783" s="706" t="s">
        <v>2575</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G512</v>
      </c>
      <c r="AK783" s="905" t="str">
        <f t="shared" si="75"/>
        <v>REVENU ENTRETIEN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G512</v>
      </c>
      <c r="AU783" s="488" t="str">
        <f t="shared" si="78"/>
        <v>REVENU ENTRETIEN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customHeight="1">
      <c r="A784" s="706" t="s">
        <v>1148</v>
      </c>
      <c r="B784" s="706">
        <v>2026</v>
      </c>
      <c r="C784" s="706" t="s">
        <v>2576</v>
      </c>
      <c r="D784" s="706" t="s">
        <v>2577</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G513</v>
      </c>
      <c r="AK784" s="905" t="str">
        <f t="shared" si="75"/>
        <v>REV.PARTIEL MOIS  -SIMPLE</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G513</v>
      </c>
      <c r="AU784" s="488" t="str">
        <f t="shared" si="78"/>
        <v>REV.PARTIEL MOIS  -SIMPLE</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customHeight="1">
      <c r="A785" s="706" t="s">
        <v>1148</v>
      </c>
      <c r="B785" s="706">
        <v>2026</v>
      </c>
      <c r="C785" s="706" t="s">
        <v>2578</v>
      </c>
      <c r="D785" s="706" t="s">
        <v>2579</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G514</v>
      </c>
      <c r="AK785" s="905" t="str">
        <f t="shared" si="75"/>
        <v>FRAIS PMNT TARDIF -SIMPLE</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G514</v>
      </c>
      <c r="AU785" s="488" t="str">
        <f t="shared" si="78"/>
        <v>FRAIS PMNT TARDIF -SIMPLE</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customHeight="1">
      <c r="A786" s="706" t="s">
        <v>1148</v>
      </c>
      <c r="B786" s="706">
        <v>2026</v>
      </c>
      <c r="C786" s="706" t="s">
        <v>2580</v>
      </c>
      <c r="D786" s="706" t="s">
        <v>2581</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G516</v>
      </c>
      <c r="AK786" s="905" t="str">
        <f t="shared" si="75"/>
        <v>FRAIS ADMINIST.   -SIMPLE</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G516</v>
      </c>
      <c r="AU786" s="488" t="str">
        <f t="shared" si="78"/>
        <v>FRAIS ADMINIST.   -SIMPLE</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customHeight="1">
      <c r="A787" s="706" t="s">
        <v>1148</v>
      </c>
      <c r="B787" s="706">
        <v>2026</v>
      </c>
      <c r="C787" s="706" t="s">
        <v>2582</v>
      </c>
      <c r="D787" s="706" t="s">
        <v>2583</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G517</v>
      </c>
      <c r="AK787" s="905" t="str">
        <f t="shared" si="75"/>
        <v>AUTRES REV.LOCAT. -SIMPLE</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G517</v>
      </c>
      <c r="AU787" s="488" t="str">
        <f t="shared" si="78"/>
        <v>AUTRES REV.LOCAT. -SIMPLE</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customHeight="1">
      <c r="A788" s="706" t="s">
        <v>1148</v>
      </c>
      <c r="B788" s="706">
        <v>2026</v>
      </c>
      <c r="C788" s="706" t="s">
        <v>2584</v>
      </c>
      <c r="D788" s="706" t="s">
        <v>2585</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G521</v>
      </c>
      <c r="AK788" s="905" t="str">
        <f t="shared" si="75"/>
        <v>PMNT PER. LOC.BAIL-ALEATO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G521</v>
      </c>
      <c r="AU788" s="488" t="str">
        <f t="shared" si="78"/>
        <v>PMNT PER. LOC.BAIL-ALEATO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customHeight="1">
      <c r="A789" s="706" t="s">
        <v>1148</v>
      </c>
      <c r="B789" s="706">
        <v>2026</v>
      </c>
      <c r="C789" s="706" t="s">
        <v>2586</v>
      </c>
      <c r="D789" s="706" t="s">
        <v>2587</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G522</v>
      </c>
      <c r="AK789" s="905" t="str">
        <f t="shared" si="75"/>
        <v>REVENU ENTRETIEN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G522</v>
      </c>
      <c r="AU789" s="488" t="str">
        <f t="shared" si="78"/>
        <v>REVENU ENTRETIEN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customHeight="1">
      <c r="A790" s="706" t="s">
        <v>1148</v>
      </c>
      <c r="B790" s="706">
        <v>2026</v>
      </c>
      <c r="C790" s="706" t="s">
        <v>2588</v>
      </c>
      <c r="D790" s="706" t="s">
        <v>2589</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G523</v>
      </c>
      <c r="AK790" s="905" t="str">
        <f t="shared" si="75"/>
        <v>REV.PARTIEL MOIS  -ALEATO</v>
      </c>
      <c r="AL790" s="905">
        <f>IFERROR(INDEX(G790:R790,1,MATCH(Parametres!$B$3,G$1:R$1,0)-1)*IF(OR(F790="L",F790="S",F790="I"),-1,1),"")</f>
        <v>0</v>
      </c>
      <c r="AM790" s="905">
        <f t="shared" si="76"/>
        <v>0</v>
      </c>
      <c r="AN790" s="905">
        <f>INDEX(G790:R790,1,MATCH(Parametres!$B$3,G$1:R$1,0))*IF(OR(F790="L",F790="S",F790="I"),-1,1)</f>
        <v>0</v>
      </c>
      <c r="AO790" s="487" t="e">
        <f>+VLOOKUP($AJ790,Data_Validation!$A:$D,1,0)</f>
        <v>#N/A</v>
      </c>
      <c r="AP790" s="487" t="e">
        <f>+VLOOKUP($AJ790,Data_Validation!$A:$D,3,0)</f>
        <v>#N/A</v>
      </c>
      <c r="AQ790" s="487" t="e">
        <f>+VLOOKUP($AJ790,Data_Validation!$A:$D,4,0)</f>
        <v>#N/A</v>
      </c>
      <c r="AR790" s="487" t="s">
        <v>299</v>
      </c>
      <c r="AS790" s="487" t="e">
        <f>+VLOOKUP($AJ790,Data_Validation!$A:$E,5,0)</f>
        <v>#N/A</v>
      </c>
      <c r="AT790" s="904" t="str">
        <f t="shared" si="77"/>
        <v>G523</v>
      </c>
      <c r="AU790" s="488" t="str">
        <f t="shared" si="78"/>
        <v>REV.PARTIEL MOIS  -ALEATO</v>
      </c>
      <c r="AV790" s="899">
        <f>IFERROR(INDEX(V790:AG790,1,MATCH(Parametres!$B$3,V$1:AG$1,0)-1)*IF(OR(C790="L",C790="S",C790="I"),-1,1),"")</f>
        <v>0</v>
      </c>
      <c r="AW790" s="899">
        <f t="shared" si="79"/>
        <v>0</v>
      </c>
      <c r="AX790" s="899">
        <f>INDEX(V790:AG790,1,MATCH(Parametres!$B$3,V$1:AG$1,0))*IF(OR(C790="L",C790="S",C790="I"),-1,1)</f>
        <v>0</v>
      </c>
      <c r="AY790" s="487" t="s">
        <v>337</v>
      </c>
      <c r="AZ790" s="487" t="e">
        <f>+VLOOKUP($AJ790,Data_Validation!$A:$E,5,0)</f>
        <v>#N/A</v>
      </c>
    </row>
    <row r="791" spans="1:52" ht="15" customHeight="1">
      <c r="A791" s="706" t="s">
        <v>1148</v>
      </c>
      <c r="B791" s="706">
        <v>2026</v>
      </c>
      <c r="C791" s="706" t="s">
        <v>2590</v>
      </c>
      <c r="D791" s="706" t="s">
        <v>2591</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G524</v>
      </c>
      <c r="AK791" s="905" t="str">
        <f t="shared" si="75"/>
        <v>FRAIS PMNT TARDIF -ALEATO</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G524</v>
      </c>
      <c r="AU791" s="488" t="str">
        <f t="shared" si="78"/>
        <v>FRAIS PMNT TARDIF -ALEATO</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customHeight="1">
      <c r="A792" s="706" t="s">
        <v>1148</v>
      </c>
      <c r="B792" s="706">
        <v>2026</v>
      </c>
      <c r="C792" s="706" t="s">
        <v>2592</v>
      </c>
      <c r="D792" s="706" t="s">
        <v>2593</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G526</v>
      </c>
      <c r="AK792" s="905" t="str">
        <f t="shared" ref="AK792:AK855" si="81">D792</f>
        <v>FRAIS ADMINIST.   -ALEATO</v>
      </c>
      <c r="AL792" s="905">
        <f>IFERROR(INDEX(G792:R792,1,MATCH(Parametres!$B$3,G$1:R$1,0)-1)*IF(OR(F792="L",F792="S",F792="I"),-1,1),"")</f>
        <v>0</v>
      </c>
      <c r="AM792" s="905">
        <f t="shared" ref="AM792:AM855" si="82">AN792-AL792</f>
        <v>0</v>
      </c>
      <c r="AN792" s="905">
        <f>INDEX(G792:R792,1,MATCH(Parametres!$B$3,G$1:R$1,0))*IF(OR(F792="L",F792="S",F792="I"),-1,1)</f>
        <v>0</v>
      </c>
      <c r="AO792" s="487" t="e">
        <f>+VLOOKUP($AJ792,Data_Validation!$A:$D,1,0)</f>
        <v>#N/A</v>
      </c>
      <c r="AP792" s="487" t="e">
        <f>+VLOOKUP($AJ792,Data_Validation!$A:$D,3,0)</f>
        <v>#N/A</v>
      </c>
      <c r="AQ792" s="487" t="e">
        <f>+VLOOKUP($AJ792,Data_Validation!$A:$D,4,0)</f>
        <v>#N/A</v>
      </c>
      <c r="AR792" s="487" t="s">
        <v>299</v>
      </c>
      <c r="AS792" s="487" t="e">
        <f>+VLOOKUP($AJ792,Data_Validation!$A:$E,5,0)</f>
        <v>#N/A</v>
      </c>
      <c r="AT792" s="904" t="str">
        <f t="shared" ref="AT792:AT855" si="83">C792</f>
        <v>G526</v>
      </c>
      <c r="AU792" s="488" t="str">
        <f t="shared" ref="AU792:AU855" si="84">D792</f>
        <v>FRAIS ADMINIST.   -ALEATO</v>
      </c>
      <c r="AV792" s="899">
        <f>IFERROR(INDEX(V792:AG792,1,MATCH(Parametres!$B$3,V$1:AG$1,0)-1)*IF(OR(C792="L",C792="S",C792="I"),-1,1),"")</f>
        <v>0</v>
      </c>
      <c r="AW792" s="899">
        <f t="shared" ref="AW792:AW855" si="85">AX792-AV792</f>
        <v>0</v>
      </c>
      <c r="AX792" s="899">
        <f>INDEX(V792:AG792,1,MATCH(Parametres!$B$3,V$1:AG$1,0))*IF(OR(C792="L",C792="S",C792="I"),-1,1)</f>
        <v>0</v>
      </c>
      <c r="AY792" s="487" t="s">
        <v>337</v>
      </c>
      <c r="AZ792" s="487" t="e">
        <f>+VLOOKUP($AJ792,Data_Validation!$A:$E,5,0)</f>
        <v>#N/A</v>
      </c>
    </row>
    <row r="793" spans="1:52" ht="15" customHeight="1">
      <c r="A793" s="706" t="s">
        <v>1148</v>
      </c>
      <c r="B793" s="706">
        <v>2026</v>
      </c>
      <c r="C793" s="706" t="s">
        <v>2594</v>
      </c>
      <c r="D793" s="706" t="s">
        <v>2595</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G527</v>
      </c>
      <c r="AK793" s="905" t="str">
        <f t="shared" si="81"/>
        <v>AUTRES REV.LOCAT. -ALEATO</v>
      </c>
      <c r="AL793" s="905">
        <f>IFERROR(INDEX(G793:R793,1,MATCH(Parametres!$B$3,G$1:R$1,0)-1)*IF(OR(F793="L",F793="S",F793="I"),-1,1),"")</f>
        <v>0</v>
      </c>
      <c r="AM793" s="905">
        <f t="shared" si="82"/>
        <v>0</v>
      </c>
      <c r="AN793" s="905">
        <f>INDEX(G793:R793,1,MATCH(Parametres!$B$3,G$1:R$1,0))*IF(OR(F793="L",F793="S",F793="I"),-1,1)</f>
        <v>0</v>
      </c>
      <c r="AO793" s="487" t="e">
        <f>+VLOOKUP($AJ793,Data_Validation!$A:$D,1,0)</f>
        <v>#N/A</v>
      </c>
      <c r="AP793" s="487" t="e">
        <f>+VLOOKUP($AJ793,Data_Validation!$A:$D,3,0)</f>
        <v>#N/A</v>
      </c>
      <c r="AQ793" s="487" t="e">
        <f>+VLOOKUP($AJ793,Data_Validation!$A:$D,4,0)</f>
        <v>#N/A</v>
      </c>
      <c r="AR793" s="487" t="s">
        <v>299</v>
      </c>
      <c r="AS793" s="487" t="e">
        <f>+VLOOKUP($AJ793,Data_Validation!$A:$E,5,0)</f>
        <v>#N/A</v>
      </c>
      <c r="AT793" s="904" t="str">
        <f t="shared" si="83"/>
        <v>G527</v>
      </c>
      <c r="AU793" s="488" t="str">
        <f t="shared" si="84"/>
        <v>AUTRES REV.LOCAT. -ALEATO</v>
      </c>
      <c r="AV793" s="899">
        <f>IFERROR(INDEX(V793:AG793,1,MATCH(Parametres!$B$3,V$1:AG$1,0)-1)*IF(OR(C793="L",C793="S",C793="I"),-1,1),"")</f>
        <v>0</v>
      </c>
      <c r="AW793" s="899">
        <f t="shared" si="85"/>
        <v>0</v>
      </c>
      <c r="AX793" s="899">
        <f>INDEX(V793:AG793,1,MATCH(Parametres!$B$3,V$1:AG$1,0))*IF(OR(C793="L",C793="S",C793="I"),-1,1)</f>
        <v>0</v>
      </c>
      <c r="AY793" s="487" t="s">
        <v>337</v>
      </c>
      <c r="AZ793" s="487" t="e">
        <f>+VLOOKUP($AJ793,Data_Validation!$A:$E,5,0)</f>
        <v>#N/A</v>
      </c>
    </row>
    <row r="794" spans="1:52" ht="15" customHeight="1">
      <c r="A794" s="706" t="s">
        <v>1148</v>
      </c>
      <c r="B794" s="706">
        <v>2026</v>
      </c>
      <c r="C794" s="706" t="s">
        <v>2596</v>
      </c>
      <c r="D794" s="706" t="s">
        <v>2597</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G53000</v>
      </c>
      <c r="AK794" s="905" t="str">
        <f t="shared" si="81"/>
        <v>PRIX VTE VEHICULES CEDES</v>
      </c>
      <c r="AL794" s="905">
        <f>IFERROR(INDEX(G794:R794,1,MATCH(Parametres!$B$3,G$1:R$1,0)-1)*IF(OR(F794="L",F794="S",F794="I"),-1,1),"")</f>
        <v>0</v>
      </c>
      <c r="AM794" s="905">
        <f t="shared" si="82"/>
        <v>0</v>
      </c>
      <c r="AN794" s="905">
        <f>INDEX(G794:R794,1,MATCH(Parametres!$B$3,G$1:R$1,0))*IF(OR(F794="L",F794="S",F794="I"),-1,1)</f>
        <v>0</v>
      </c>
      <c r="AO794" s="487" t="str">
        <f>+VLOOKUP($AJ794,Data_Validation!$A:$D,1,0)</f>
        <v>G53000</v>
      </c>
      <c r="AP794" s="487">
        <f>+VLOOKUP($AJ794,Data_Validation!$A:$D,3,0)</f>
        <v>0</v>
      </c>
      <c r="AQ794" s="487">
        <f>+VLOOKUP($AJ794,Data_Validation!$A:$D,4,0)</f>
        <v>0</v>
      </c>
      <c r="AR794" s="487" t="s">
        <v>299</v>
      </c>
      <c r="AS794" s="487">
        <f>+VLOOKUP($AJ794,Data_Validation!$A:$E,5,0)</f>
        <v>0</v>
      </c>
      <c r="AT794" s="904" t="str">
        <f t="shared" si="83"/>
        <v>G53000</v>
      </c>
      <c r="AU794" s="488" t="str">
        <f t="shared" si="84"/>
        <v>PRIX VTE VEHICULES CEDES</v>
      </c>
      <c r="AV794" s="899">
        <f>IFERROR(INDEX(V794:AG794,1,MATCH(Parametres!$B$3,V$1:AG$1,0)-1)*IF(OR(C794="L",C794="S",C794="I"),-1,1),"")</f>
        <v>0</v>
      </c>
      <c r="AW794" s="899">
        <f t="shared" si="85"/>
        <v>0</v>
      </c>
      <c r="AX794" s="899">
        <f>INDEX(V794:AG794,1,MATCH(Parametres!$B$3,V$1:AG$1,0))*IF(OR(C794="L",C794="S",C794="I"),-1,1)</f>
        <v>0</v>
      </c>
      <c r="AY794" s="487" t="s">
        <v>337</v>
      </c>
      <c r="AZ794" s="487">
        <f>+VLOOKUP($AJ794,Data_Validation!$A:$E,5,0)</f>
        <v>0</v>
      </c>
    </row>
    <row r="795" spans="1:52" ht="15" customHeight="1">
      <c r="A795" s="706" t="s">
        <v>1148</v>
      </c>
      <c r="B795" s="706">
        <v>2026</v>
      </c>
      <c r="C795" s="706" t="s">
        <v>2598</v>
      </c>
      <c r="D795" s="706" t="s">
        <v>2599</v>
      </c>
      <c r="E795" s="706" t="s">
        <v>333</v>
      </c>
      <c r="F795" s="706" t="s">
        <v>1150</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G534</v>
      </c>
      <c r="AK795" s="905" t="str">
        <f t="shared" si="81"/>
        <v>FRAIS PMNT TARDIF    -C/T</v>
      </c>
      <c r="AL795" s="905">
        <f>IFERROR(INDEX(G795:R795,1,MATCH(Parametres!$B$3,G$1:R$1,0)-1)*IF(OR(F795="L",F795="S",F795="I"),-1,1),"")</f>
        <v>0</v>
      </c>
      <c r="AM795" s="905">
        <f t="shared" si="82"/>
        <v>0</v>
      </c>
      <c r="AN795" s="905">
        <f>INDEX(G795:R795,1,MATCH(Parametres!$B$3,G$1:R$1,0))*IF(OR(F795="L",F795="S",F795="I"),-1,1)</f>
        <v>0</v>
      </c>
      <c r="AO795" s="487" t="e">
        <f>+VLOOKUP($AJ795,Data_Validation!$A:$D,1,0)</f>
        <v>#N/A</v>
      </c>
      <c r="AP795" s="487" t="e">
        <f>+VLOOKUP($AJ795,Data_Validation!$A:$D,3,0)</f>
        <v>#N/A</v>
      </c>
      <c r="AQ795" s="487" t="e">
        <f>+VLOOKUP($AJ795,Data_Validation!$A:$D,4,0)</f>
        <v>#N/A</v>
      </c>
      <c r="AR795" s="487" t="s">
        <v>299</v>
      </c>
      <c r="AS795" s="487" t="e">
        <f>+VLOOKUP($AJ795,Data_Validation!$A:$E,5,0)</f>
        <v>#N/A</v>
      </c>
      <c r="AT795" s="904" t="str">
        <f t="shared" si="83"/>
        <v>G534</v>
      </c>
      <c r="AU795" s="488" t="str">
        <f t="shared" si="84"/>
        <v>FRAIS PMNT TARDIF    -C/T</v>
      </c>
      <c r="AV795" s="899">
        <f>IFERROR(INDEX(V795:AG795,1,MATCH(Parametres!$B$3,V$1:AG$1,0)-1)*IF(OR(C795="L",C795="S",C795="I"),-1,1),"")</f>
        <v>0</v>
      </c>
      <c r="AW795" s="899">
        <f t="shared" si="85"/>
        <v>0</v>
      </c>
      <c r="AX795" s="899">
        <f>INDEX(V795:AG795,1,MATCH(Parametres!$B$3,V$1:AG$1,0))*IF(OR(C795="L",C795="S",C795="I"),-1,1)</f>
        <v>0</v>
      </c>
      <c r="AY795" s="487" t="s">
        <v>337</v>
      </c>
      <c r="AZ795" s="487" t="e">
        <f>+VLOOKUP($AJ795,Data_Validation!$A:$E,5,0)</f>
        <v>#N/A</v>
      </c>
    </row>
    <row r="796" spans="1:52" ht="15" customHeight="1">
      <c r="A796" s="706" t="s">
        <v>1148</v>
      </c>
      <c r="B796" s="706">
        <v>2026</v>
      </c>
      <c r="C796" s="706" t="s">
        <v>2600</v>
      </c>
      <c r="D796" s="706" t="s">
        <v>2601</v>
      </c>
      <c r="E796" s="706" t="s">
        <v>333</v>
      </c>
      <c r="F796" s="706" t="s">
        <v>1150</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G535</v>
      </c>
      <c r="AK796" s="905" t="str">
        <f t="shared" si="81"/>
        <v>REV.LOCATION C/T     -C/T</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G535</v>
      </c>
      <c r="AU796" s="488" t="str">
        <f t="shared" si="84"/>
        <v>REV.LOCATION C/T     -C/T</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customHeight="1">
      <c r="A797" s="706" t="s">
        <v>1148</v>
      </c>
      <c r="B797" s="706">
        <v>2026</v>
      </c>
      <c r="C797" s="706" t="s">
        <v>2602</v>
      </c>
      <c r="D797" s="706" t="s">
        <v>2603</v>
      </c>
      <c r="E797" s="706" t="s">
        <v>333</v>
      </c>
      <c r="F797" s="706" t="s">
        <v>1150</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G53500</v>
      </c>
      <c r="AK797" s="905" t="str">
        <f t="shared" si="81"/>
        <v>REVENUS LOCATION C/TERME</v>
      </c>
      <c r="AL797" s="905">
        <f>IFERROR(INDEX(G797:R797,1,MATCH(Parametres!$B$3,G$1:R$1,0)-1)*IF(OR(F797="L",F797="S",F797="I"),-1,1),"")</f>
        <v>0</v>
      </c>
      <c r="AM797" s="905">
        <f t="shared" si="82"/>
        <v>0</v>
      </c>
      <c r="AN797" s="905">
        <f>INDEX(G797:R797,1,MATCH(Parametres!$B$3,G$1:R$1,0))*IF(OR(F797="L",F797="S",F797="I"),-1,1)</f>
        <v>0</v>
      </c>
      <c r="AO797" s="487" t="str">
        <f>+VLOOKUP($AJ797,Data_Validation!$A:$D,1,0)</f>
        <v>G53500</v>
      </c>
      <c r="AP797" s="487">
        <f>+VLOOKUP($AJ797,Data_Validation!$A:$D,3,0)</f>
        <v>0</v>
      </c>
      <c r="AQ797" s="487">
        <f>+VLOOKUP($AJ797,Data_Validation!$A:$D,4,0)</f>
        <v>0</v>
      </c>
      <c r="AR797" s="487" t="s">
        <v>299</v>
      </c>
      <c r="AS797" s="487">
        <f>+VLOOKUP($AJ797,Data_Validation!$A:$E,5,0)</f>
        <v>0</v>
      </c>
      <c r="AT797" s="904" t="str">
        <f t="shared" si="83"/>
        <v>G53500</v>
      </c>
      <c r="AU797" s="488" t="str">
        <f t="shared" si="84"/>
        <v>REVENUS LOCATION C/TERME</v>
      </c>
      <c r="AV797" s="899">
        <f>IFERROR(INDEX(V797:AG797,1,MATCH(Parametres!$B$3,V$1:AG$1,0)-1)*IF(OR(C797="L",C797="S",C797="I"),-1,1),"")</f>
        <v>0</v>
      </c>
      <c r="AW797" s="899">
        <f t="shared" si="85"/>
        <v>0</v>
      </c>
      <c r="AX797" s="899">
        <f>INDEX(V797:AG797,1,MATCH(Parametres!$B$3,V$1:AG$1,0))*IF(OR(C797="L",C797="S",C797="I"),-1,1)</f>
        <v>0</v>
      </c>
      <c r="AY797" s="487" t="s">
        <v>337</v>
      </c>
      <c r="AZ797" s="487">
        <f>+VLOOKUP($AJ797,Data_Validation!$A:$E,5,0)</f>
        <v>0</v>
      </c>
    </row>
    <row r="798" spans="1:52" ht="15" customHeight="1">
      <c r="A798" s="706" t="s">
        <v>1148</v>
      </c>
      <c r="B798" s="706">
        <v>2026</v>
      </c>
      <c r="C798" s="706" t="s">
        <v>2604</v>
      </c>
      <c r="D798" s="706" t="s">
        <v>2605</v>
      </c>
      <c r="E798" s="706" t="s">
        <v>333</v>
      </c>
      <c r="F798" s="706" t="s">
        <v>1150</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G536</v>
      </c>
      <c r="AK798" s="905" t="str">
        <f t="shared" si="81"/>
        <v>FRAIS ADMINIST.      -C/T</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G536</v>
      </c>
      <c r="AU798" s="488" t="str">
        <f t="shared" si="84"/>
        <v>FRAIS ADMINIST.      -C/T</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customHeight="1">
      <c r="A799" s="706" t="s">
        <v>1148</v>
      </c>
      <c r="B799" s="706">
        <v>2026</v>
      </c>
      <c r="C799" s="706" t="s">
        <v>2606</v>
      </c>
      <c r="D799" s="706" t="s">
        <v>2607</v>
      </c>
      <c r="E799" s="706" t="s">
        <v>333</v>
      </c>
      <c r="F799" s="706" t="s">
        <v>1149</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G541</v>
      </c>
      <c r="AK799" s="905" t="str">
        <f t="shared" si="81"/>
        <v>COMM.ENCAISSE/ASS LOC C&amp;L</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G541</v>
      </c>
      <c r="AU799" s="488" t="str">
        <f t="shared" si="84"/>
        <v>COMM.ENCAISSE/ASS LOC C&amp;L</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customHeight="1">
      <c r="A800" s="706" t="s">
        <v>1148</v>
      </c>
      <c r="B800" s="706">
        <v>2026</v>
      </c>
      <c r="C800" s="706" t="s">
        <v>2608</v>
      </c>
      <c r="D800" s="706" t="s">
        <v>2609</v>
      </c>
      <c r="E800" s="706" t="s">
        <v>333</v>
      </c>
      <c r="F800" s="706" t="s">
        <v>1152</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G541C</v>
      </c>
      <c r="AK800" s="905" t="str">
        <f t="shared" si="81"/>
        <v>*COMM.ENCAISSE/ASS.LOC</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G541C</v>
      </c>
      <c r="AU800" s="488" t="str">
        <f t="shared" si="84"/>
        <v>*COMM.ENCAISSE/ASS.LOC</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customHeight="1">
      <c r="A801" s="706" t="s">
        <v>1148</v>
      </c>
      <c r="B801" s="706">
        <v>2026</v>
      </c>
      <c r="C801" s="706" t="s">
        <v>2610</v>
      </c>
      <c r="D801" s="706" t="s">
        <v>2611</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G542</v>
      </c>
      <c r="AK801" s="905" t="str">
        <f t="shared" si="81"/>
        <v>ACCESSOIRES LOC C&amp;L TERME</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G542</v>
      </c>
      <c r="AU801" s="488" t="str">
        <f t="shared" si="84"/>
        <v>ACCESSOIRES LOC C&amp;L TERME</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customHeight="1">
      <c r="A802" s="706" t="s">
        <v>1148</v>
      </c>
      <c r="B802" s="706">
        <v>2026</v>
      </c>
      <c r="C802" s="706" t="s">
        <v>2612</v>
      </c>
      <c r="D802" s="706" t="s">
        <v>2611</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G542C</v>
      </c>
      <c r="AK802" s="905" t="str">
        <f t="shared" si="81"/>
        <v>ACCESSOIRES LOC C&amp;L TERME</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G542C</v>
      </c>
      <c r="AU802" s="488" t="str">
        <f t="shared" si="84"/>
        <v>ACCESSOIRES LOC C&amp;L TERME</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customHeight="1">
      <c r="A803" s="706" t="s">
        <v>1148</v>
      </c>
      <c r="B803" s="706">
        <v>2026</v>
      </c>
      <c r="C803" s="706" t="s">
        <v>2613</v>
      </c>
      <c r="D803" s="706" t="s">
        <v>2614</v>
      </c>
      <c r="E803" s="706" t="s">
        <v>333</v>
      </c>
      <c r="F803" s="706" t="s">
        <v>1149</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G543</v>
      </c>
      <c r="AK803" s="905" t="str">
        <f t="shared" si="81"/>
        <v>PLAN PROT.GM LOC C&amp;L TERM</v>
      </c>
      <c r="AL803" s="905">
        <f>IFERROR(INDEX(G803:R803,1,MATCH(Parametres!$B$3,G$1:R$1,0)-1)*IF(OR(F803="L",F803="S",F803="I"),-1,1),"")</f>
        <v>0</v>
      </c>
      <c r="AM803" s="905">
        <f t="shared" si="82"/>
        <v>0</v>
      </c>
      <c r="AN803" s="905">
        <f>INDEX(G803:R803,1,MATCH(Parametres!$B$3,G$1:R$1,0))*IF(OR(F803="L",F803="S",F803="I"),-1,1)</f>
        <v>0</v>
      </c>
      <c r="AO803" s="487" t="e">
        <f>+VLOOKUP($AJ803,Data_Validation!$A:$D,1,0)</f>
        <v>#N/A</v>
      </c>
      <c r="AP803" s="487" t="e">
        <f>+VLOOKUP($AJ803,Data_Validation!$A:$D,3,0)</f>
        <v>#N/A</v>
      </c>
      <c r="AQ803" s="487" t="e">
        <f>+VLOOKUP($AJ803,Data_Validation!$A:$D,4,0)</f>
        <v>#N/A</v>
      </c>
      <c r="AR803" s="487" t="s">
        <v>299</v>
      </c>
      <c r="AS803" s="487" t="e">
        <f>+VLOOKUP($AJ803,Data_Validation!$A:$E,5,0)</f>
        <v>#N/A</v>
      </c>
      <c r="AT803" s="904" t="str">
        <f t="shared" si="83"/>
        <v>G543</v>
      </c>
      <c r="AU803" s="488" t="str">
        <f t="shared" si="84"/>
        <v>PLAN PROT.GM LOC C&amp;L TERM</v>
      </c>
      <c r="AV803" s="899">
        <f>IFERROR(INDEX(V803:AG803,1,MATCH(Parametres!$B$3,V$1:AG$1,0)-1)*IF(OR(C803="L",C803="S",C803="I"),-1,1),"")</f>
        <v>0</v>
      </c>
      <c r="AW803" s="899">
        <f t="shared" si="85"/>
        <v>0</v>
      </c>
      <c r="AX803" s="899">
        <f>INDEX(V803:AG803,1,MATCH(Parametres!$B$3,V$1:AG$1,0))*IF(OR(C803="L",C803="S",C803="I"),-1,1)</f>
        <v>0</v>
      </c>
      <c r="AY803" s="487" t="s">
        <v>337</v>
      </c>
      <c r="AZ803" s="487" t="e">
        <f>+VLOOKUP($AJ803,Data_Validation!$A:$E,5,0)</f>
        <v>#N/A</v>
      </c>
    </row>
    <row r="804" spans="1:52" ht="15" customHeight="1">
      <c r="A804" s="706" t="s">
        <v>1148</v>
      </c>
      <c r="B804" s="706">
        <v>2026</v>
      </c>
      <c r="C804" s="706" t="s">
        <v>2615</v>
      </c>
      <c r="D804" s="706" t="s">
        <v>2614</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G543C</v>
      </c>
      <c r="AK804" s="905" t="str">
        <f t="shared" si="81"/>
        <v>PLAN PROT.GM LOC C&amp;L TERM</v>
      </c>
      <c r="AL804" s="905">
        <f>IFERROR(INDEX(G804:R804,1,MATCH(Parametres!$B$3,G$1:R$1,0)-1)*IF(OR(F804="L",F804="S",F804="I"),-1,1),"")</f>
        <v>0</v>
      </c>
      <c r="AM804" s="905">
        <f t="shared" si="82"/>
        <v>0</v>
      </c>
      <c r="AN804" s="905">
        <f>INDEX(G804:R804,1,MATCH(Parametres!$B$3,G$1:R$1,0))*IF(OR(F804="L",F804="S",F804="I"),-1,1)</f>
        <v>0</v>
      </c>
      <c r="AO804" s="487" t="e">
        <f>+VLOOKUP($AJ804,Data_Validation!$A:$D,1,0)</f>
        <v>#N/A</v>
      </c>
      <c r="AP804" s="487" t="e">
        <f>+VLOOKUP($AJ804,Data_Validation!$A:$D,3,0)</f>
        <v>#N/A</v>
      </c>
      <c r="AQ804" s="487" t="e">
        <f>+VLOOKUP($AJ804,Data_Validation!$A:$D,4,0)</f>
        <v>#N/A</v>
      </c>
      <c r="AR804" s="487" t="s">
        <v>299</v>
      </c>
      <c r="AS804" s="487" t="e">
        <f>+VLOOKUP($AJ804,Data_Validation!$A:$E,5,0)</f>
        <v>#N/A</v>
      </c>
      <c r="AT804" s="904" t="str">
        <f t="shared" si="83"/>
        <v>G543C</v>
      </c>
      <c r="AU804" s="488" t="str">
        <f t="shared" si="84"/>
        <v>PLAN PROT.GM LOC C&amp;L TERM</v>
      </c>
      <c r="AV804" s="899">
        <f>IFERROR(INDEX(V804:AG804,1,MATCH(Parametres!$B$3,V$1:AG$1,0)-1)*IF(OR(C804="L",C804="S",C804="I"),-1,1),"")</f>
        <v>0</v>
      </c>
      <c r="AW804" s="899">
        <f t="shared" si="85"/>
        <v>0</v>
      </c>
      <c r="AX804" s="899">
        <f>INDEX(V804:AG804,1,MATCH(Parametres!$B$3,V$1:AG$1,0))*IF(OR(C804="L",C804="S",C804="I"),-1,1)</f>
        <v>0</v>
      </c>
      <c r="AY804" s="487" t="s">
        <v>337</v>
      </c>
      <c r="AZ804" s="487" t="e">
        <f>+VLOOKUP($AJ804,Data_Validation!$A:$E,5,0)</f>
        <v>#N/A</v>
      </c>
    </row>
    <row r="805" spans="1:52" ht="15" customHeight="1">
      <c r="A805" s="706" t="s">
        <v>1148</v>
      </c>
      <c r="B805" s="706">
        <v>2026</v>
      </c>
      <c r="C805" s="706" t="s">
        <v>2616</v>
      </c>
      <c r="D805" s="706" t="s">
        <v>2617</v>
      </c>
      <c r="E805" s="706" t="s">
        <v>333</v>
      </c>
      <c r="F805" s="706" t="s">
        <v>1149</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G544</v>
      </c>
      <c r="AK805" s="905" t="str">
        <f t="shared" si="81"/>
        <v>AUTRES PLAN PROT. LOC C&amp;L</v>
      </c>
      <c r="AL805" s="905">
        <f>IFERROR(INDEX(G805:R805,1,MATCH(Parametres!$B$3,G$1:R$1,0)-1)*IF(OR(F805="L",F805="S",F805="I"),-1,1),"")</f>
        <v>0</v>
      </c>
      <c r="AM805" s="905">
        <f t="shared" si="82"/>
        <v>0</v>
      </c>
      <c r="AN805" s="905">
        <f>INDEX(G805:R805,1,MATCH(Parametres!$B$3,G$1:R$1,0))*IF(OR(F805="L",F805="S",F805="I"),-1,1)</f>
        <v>0</v>
      </c>
      <c r="AO805" s="487" t="e">
        <f>+VLOOKUP($AJ805,Data_Validation!$A:$D,1,0)</f>
        <v>#N/A</v>
      </c>
      <c r="AP805" s="487" t="e">
        <f>+VLOOKUP($AJ805,Data_Validation!$A:$D,3,0)</f>
        <v>#N/A</v>
      </c>
      <c r="AQ805" s="487" t="e">
        <f>+VLOOKUP($AJ805,Data_Validation!$A:$D,4,0)</f>
        <v>#N/A</v>
      </c>
      <c r="AR805" s="487" t="s">
        <v>299</v>
      </c>
      <c r="AS805" s="487" t="e">
        <f>+VLOOKUP($AJ805,Data_Validation!$A:$E,5,0)</f>
        <v>#N/A</v>
      </c>
      <c r="AT805" s="904" t="str">
        <f t="shared" si="83"/>
        <v>G544</v>
      </c>
      <c r="AU805" s="488" t="str">
        <f t="shared" si="84"/>
        <v>AUTRES PLAN PROT. LOC C&amp;L</v>
      </c>
      <c r="AV805" s="899">
        <f>IFERROR(INDEX(V805:AG805,1,MATCH(Parametres!$B$3,V$1:AG$1,0)-1)*IF(OR(C805="L",C805="S",C805="I"),-1,1),"")</f>
        <v>0</v>
      </c>
      <c r="AW805" s="899">
        <f t="shared" si="85"/>
        <v>0</v>
      </c>
      <c r="AX805" s="899">
        <f>INDEX(V805:AG805,1,MATCH(Parametres!$B$3,V$1:AG$1,0))*IF(OR(C805="L",C805="S",C805="I"),-1,1)</f>
        <v>0</v>
      </c>
      <c r="AY805" s="487" t="s">
        <v>337</v>
      </c>
      <c r="AZ805" s="487" t="e">
        <f>+VLOOKUP($AJ805,Data_Validation!$A:$E,5,0)</f>
        <v>#N/A</v>
      </c>
    </row>
    <row r="806" spans="1:52" ht="15" customHeight="1">
      <c r="A806" s="706" t="s">
        <v>1148</v>
      </c>
      <c r="B806" s="706">
        <v>2026</v>
      </c>
      <c r="C806" s="706" t="s">
        <v>2618</v>
      </c>
      <c r="D806" s="706" t="s">
        <v>2619</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G544C</v>
      </c>
      <c r="AK806" s="905" t="str">
        <f t="shared" si="81"/>
        <v>AUTRES PLAN PROT.LOC C&amp;L</v>
      </c>
      <c r="AL806" s="905">
        <f>IFERROR(INDEX(G806:R806,1,MATCH(Parametres!$B$3,G$1:R$1,0)-1)*IF(OR(F806="L",F806="S",F806="I"),-1,1),"")</f>
        <v>0</v>
      </c>
      <c r="AM806" s="905">
        <f t="shared" si="82"/>
        <v>0</v>
      </c>
      <c r="AN806" s="905">
        <f>INDEX(G806:R806,1,MATCH(Parametres!$B$3,G$1:R$1,0))*IF(OR(F806="L",F806="S",F806="I"),-1,1)</f>
        <v>0</v>
      </c>
      <c r="AO806" s="487" t="e">
        <f>+VLOOKUP($AJ806,Data_Validation!$A:$D,1,0)</f>
        <v>#N/A</v>
      </c>
      <c r="AP806" s="487" t="e">
        <f>+VLOOKUP($AJ806,Data_Validation!$A:$D,3,0)</f>
        <v>#N/A</v>
      </c>
      <c r="AQ806" s="487" t="e">
        <f>+VLOOKUP($AJ806,Data_Validation!$A:$D,4,0)</f>
        <v>#N/A</v>
      </c>
      <c r="AR806" s="487" t="s">
        <v>299</v>
      </c>
      <c r="AS806" s="487" t="e">
        <f>+VLOOKUP($AJ806,Data_Validation!$A:$E,5,0)</f>
        <v>#N/A</v>
      </c>
      <c r="AT806" s="904" t="str">
        <f t="shared" si="83"/>
        <v>G544C</v>
      </c>
      <c r="AU806" s="488" t="str">
        <f t="shared" si="84"/>
        <v>AUTRES PLAN PROT.LOC C&amp;L</v>
      </c>
      <c r="AV806" s="899">
        <f>IFERROR(INDEX(V806:AG806,1,MATCH(Parametres!$B$3,V$1:AG$1,0)-1)*IF(OR(C806="L",C806="S",C806="I"),-1,1),"")</f>
        <v>0</v>
      </c>
      <c r="AW806" s="899">
        <f t="shared" si="85"/>
        <v>0</v>
      </c>
      <c r="AX806" s="899">
        <f>INDEX(V806:AG806,1,MATCH(Parametres!$B$3,V$1:AG$1,0))*IF(OR(C806="L",C806="S",C806="I"),-1,1)</f>
        <v>0</v>
      </c>
      <c r="AY806" s="487" t="s">
        <v>337</v>
      </c>
      <c r="AZ806" s="487" t="e">
        <f>+VLOOKUP($AJ806,Data_Validation!$A:$E,5,0)</f>
        <v>#N/A</v>
      </c>
    </row>
    <row r="807" spans="1:52" ht="15" customHeight="1">
      <c r="A807" s="706" t="s">
        <v>1148</v>
      </c>
      <c r="B807" s="706">
        <v>2026</v>
      </c>
      <c r="C807" s="706" t="s">
        <v>2620</v>
      </c>
      <c r="D807" s="706" t="s">
        <v>2621</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G60000</v>
      </c>
      <c r="AK807" s="905" t="str">
        <f t="shared" si="81"/>
        <v>COUT- VOLT</v>
      </c>
      <c r="AL807" s="905">
        <f>IFERROR(INDEX(G807:R807,1,MATCH(Parametres!$B$3,G$1:R$1,0)-1)*IF(OR(F807="L",F807="S",F807="I"),-1,1),"")</f>
        <v>0</v>
      </c>
      <c r="AM807" s="905">
        <f t="shared" si="82"/>
        <v>0</v>
      </c>
      <c r="AN807" s="905">
        <f>INDEX(G807:R807,1,MATCH(Parametres!$B$3,G$1:R$1,0))*IF(OR(F807="L",F807="S",F807="I"),-1,1)</f>
        <v>0</v>
      </c>
      <c r="AO807" s="487" t="str">
        <f>+VLOOKUP($AJ807,Data_Validation!$A:$D,1,0)</f>
        <v>G60000</v>
      </c>
      <c r="AP807" s="487" t="str">
        <f>+VLOOKUP($AJ807,Data_Validation!$A:$D,3,0)</f>
        <v>Véhicules neufs</v>
      </c>
      <c r="AQ807" s="487" t="str">
        <f>+VLOOKUP($AJ807,Data_Validation!$A:$D,4,0)</f>
        <v>Autos détail</v>
      </c>
      <c r="AR807" s="487" t="s">
        <v>299</v>
      </c>
      <c r="AS807" s="487">
        <f>+VLOOKUP($AJ807,Data_Validation!$A:$E,5,0)</f>
        <v>0</v>
      </c>
      <c r="AT807" s="904" t="str">
        <f t="shared" si="83"/>
        <v>G60000</v>
      </c>
      <c r="AU807" s="488" t="str">
        <f t="shared" si="84"/>
        <v>COUT- VOLT</v>
      </c>
      <c r="AV807" s="899">
        <f>IFERROR(INDEX(V807:AG807,1,MATCH(Parametres!$B$3,V$1:AG$1,0)-1)*IF(OR(C807="L",C807="S",C807="I"),-1,1),"")</f>
        <v>0</v>
      </c>
      <c r="AW807" s="899">
        <f t="shared" si="85"/>
        <v>0</v>
      </c>
      <c r="AX807" s="899">
        <f>INDEX(V807:AG807,1,MATCH(Parametres!$B$3,V$1:AG$1,0))*IF(OR(C807="L",C807="S",C807="I"),-1,1)</f>
        <v>0</v>
      </c>
      <c r="AY807" s="487" t="s">
        <v>337</v>
      </c>
      <c r="AZ807" s="487">
        <f>+VLOOKUP($AJ807,Data_Validation!$A:$E,5,0)</f>
        <v>0</v>
      </c>
    </row>
    <row r="808" spans="1:52" ht="15" customHeight="1">
      <c r="A808" s="706" t="s">
        <v>1148</v>
      </c>
      <c r="B808" s="706">
        <v>2026</v>
      </c>
      <c r="C808" s="706" t="s">
        <v>2622</v>
      </c>
      <c r="D808" s="706" t="s">
        <v>2623</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G60004</v>
      </c>
      <c r="AK808" s="905" t="str">
        <f t="shared" si="81"/>
        <v>COUTANT BUICK REGAL</v>
      </c>
      <c r="AL808" s="905">
        <f>IFERROR(INDEX(G808:R808,1,MATCH(Parametres!$B$3,G$1:R$1,0)-1)*IF(OR(F808="L",F808="S",F808="I"),-1,1),"")</f>
        <v>0</v>
      </c>
      <c r="AM808" s="905">
        <f t="shared" si="82"/>
        <v>0</v>
      </c>
      <c r="AN808" s="905">
        <f>INDEX(G808:R808,1,MATCH(Parametres!$B$3,G$1:R$1,0))*IF(OR(F808="L",F808="S",F808="I"),-1,1)</f>
        <v>0</v>
      </c>
      <c r="AO808" s="487" t="str">
        <f>+VLOOKUP($AJ808,Data_Validation!$A:$D,1,0)</f>
        <v>G60004</v>
      </c>
      <c r="AP808" s="487" t="str">
        <f>+VLOOKUP($AJ808,Data_Validation!$A:$D,3,0)</f>
        <v>Véhicules neufs</v>
      </c>
      <c r="AQ808" s="487" t="str">
        <f>+VLOOKUP($AJ808,Data_Validation!$A:$D,4,0)</f>
        <v>Autos détail</v>
      </c>
      <c r="AR808" s="487" t="s">
        <v>299</v>
      </c>
      <c r="AS808" s="487">
        <f>+VLOOKUP($AJ808,Data_Validation!$A:$E,5,0)</f>
        <v>0</v>
      </c>
      <c r="AT808" s="904" t="str">
        <f t="shared" si="83"/>
        <v>G60004</v>
      </c>
      <c r="AU808" s="488" t="str">
        <f t="shared" si="84"/>
        <v>COUTANT BUICK REGAL</v>
      </c>
      <c r="AV808" s="899">
        <f>IFERROR(INDEX(V808:AG808,1,MATCH(Parametres!$B$3,V$1:AG$1,0)-1)*IF(OR(C808="L",C808="S",C808="I"),-1,1),"")</f>
        <v>0</v>
      </c>
      <c r="AW808" s="899">
        <f t="shared" si="85"/>
        <v>0</v>
      </c>
      <c r="AX808" s="899">
        <f>INDEX(V808:AG808,1,MATCH(Parametres!$B$3,V$1:AG$1,0))*IF(OR(C808="L",C808="S",C808="I"),-1,1)</f>
        <v>0</v>
      </c>
      <c r="AY808" s="487" t="s">
        <v>337</v>
      </c>
      <c r="AZ808" s="487">
        <f>+VLOOKUP($AJ808,Data_Validation!$A:$E,5,0)</f>
        <v>0</v>
      </c>
    </row>
    <row r="809" spans="1:52" ht="15" customHeight="1">
      <c r="A809" s="706" t="s">
        <v>1148</v>
      </c>
      <c r="B809" s="706">
        <v>2026</v>
      </c>
      <c r="C809" s="706" t="s">
        <v>2624</v>
      </c>
      <c r="D809" s="706" t="s">
        <v>2625</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G60100</v>
      </c>
      <c r="AK809" s="905" t="str">
        <f t="shared" si="81"/>
        <v>COUTANT MALIBU</v>
      </c>
      <c r="AL809" s="905">
        <f>IFERROR(INDEX(G809:R809,1,MATCH(Parametres!$B$3,G$1:R$1,0)-1)*IF(OR(F809="L",F809="S",F809="I"),-1,1),"")</f>
        <v>0</v>
      </c>
      <c r="AM809" s="905">
        <f t="shared" si="82"/>
        <v>0</v>
      </c>
      <c r="AN809" s="905">
        <f>INDEX(G809:R809,1,MATCH(Parametres!$B$3,G$1:R$1,0))*IF(OR(F809="L",F809="S",F809="I"),-1,1)</f>
        <v>0</v>
      </c>
      <c r="AO809" s="487" t="str">
        <f>+VLOOKUP($AJ809,Data_Validation!$A:$D,1,0)</f>
        <v>G60100</v>
      </c>
      <c r="AP809" s="487" t="str">
        <f>+VLOOKUP($AJ809,Data_Validation!$A:$D,3,0)</f>
        <v>Véhicules neufs</v>
      </c>
      <c r="AQ809" s="487" t="str">
        <f>+VLOOKUP($AJ809,Data_Validation!$A:$D,4,0)</f>
        <v>Autos détail</v>
      </c>
      <c r="AR809" s="487" t="s">
        <v>299</v>
      </c>
      <c r="AS809" s="487">
        <f>+VLOOKUP($AJ809,Data_Validation!$A:$E,5,0)</f>
        <v>0</v>
      </c>
      <c r="AT809" s="904" t="str">
        <f t="shared" si="83"/>
        <v>G60100</v>
      </c>
      <c r="AU809" s="488" t="str">
        <f t="shared" si="84"/>
        <v>COUTANT MALIBU</v>
      </c>
      <c r="AV809" s="899">
        <f>IFERROR(INDEX(V809:AG809,1,MATCH(Parametres!$B$3,V$1:AG$1,0)-1)*IF(OR(C809="L",C809="S",C809="I"),-1,1),"")</f>
        <v>0</v>
      </c>
      <c r="AW809" s="899">
        <f t="shared" si="85"/>
        <v>0</v>
      </c>
      <c r="AX809" s="899">
        <f>INDEX(V809:AG809,1,MATCH(Parametres!$B$3,V$1:AG$1,0))*IF(OR(C809="L",C809="S",C809="I"),-1,1)</f>
        <v>0</v>
      </c>
      <c r="AY809" s="487" t="s">
        <v>337</v>
      </c>
      <c r="AZ809" s="487">
        <f>+VLOOKUP($AJ809,Data_Validation!$A:$E,5,0)</f>
        <v>0</v>
      </c>
    </row>
    <row r="810" spans="1:52" ht="15" customHeight="1">
      <c r="A810" s="706" t="s">
        <v>1148</v>
      </c>
      <c r="B810" s="706">
        <v>2026</v>
      </c>
      <c r="C810" s="706" t="s">
        <v>2626</v>
      </c>
      <c r="D810" s="706" t="s">
        <v>2627</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G60101</v>
      </c>
      <c r="AK810" s="905" t="str">
        <f t="shared" si="81"/>
        <v>COUTANT BUICK LACROSSE</v>
      </c>
      <c r="AL810" s="905">
        <f>IFERROR(INDEX(G810:R810,1,MATCH(Parametres!$B$3,G$1:R$1,0)-1)*IF(OR(F810="L",F810="S",F810="I"),-1,1),"")</f>
        <v>0</v>
      </c>
      <c r="AM810" s="905">
        <f t="shared" si="82"/>
        <v>0</v>
      </c>
      <c r="AN810" s="905">
        <f>INDEX(G810:R810,1,MATCH(Parametres!$B$3,G$1:R$1,0))*IF(OR(F810="L",F810="S",F810="I"),-1,1)</f>
        <v>0</v>
      </c>
      <c r="AO810" s="487" t="str">
        <f>+VLOOKUP($AJ810,Data_Validation!$A:$D,1,0)</f>
        <v>G60101</v>
      </c>
      <c r="AP810" s="487" t="str">
        <f>+VLOOKUP($AJ810,Data_Validation!$A:$D,3,0)</f>
        <v>Véhicules neufs</v>
      </c>
      <c r="AQ810" s="487" t="str">
        <f>+VLOOKUP($AJ810,Data_Validation!$A:$D,4,0)</f>
        <v>Autos détail</v>
      </c>
      <c r="AR810" s="487" t="s">
        <v>299</v>
      </c>
      <c r="AS810" s="487">
        <f>+VLOOKUP($AJ810,Data_Validation!$A:$E,5,0)</f>
        <v>0</v>
      </c>
      <c r="AT810" s="904" t="str">
        <f t="shared" si="83"/>
        <v>G60101</v>
      </c>
      <c r="AU810" s="488" t="str">
        <f t="shared" si="84"/>
        <v>COUTANT BUICK LACROSSE</v>
      </c>
      <c r="AV810" s="899">
        <f>IFERROR(INDEX(V810:AG810,1,MATCH(Parametres!$B$3,V$1:AG$1,0)-1)*IF(OR(C810="L",C810="S",C810="I"),-1,1),"")</f>
        <v>0</v>
      </c>
      <c r="AW810" s="899">
        <f t="shared" si="85"/>
        <v>0</v>
      </c>
      <c r="AX810" s="899">
        <f>INDEX(V810:AG810,1,MATCH(Parametres!$B$3,V$1:AG$1,0))*IF(OR(C810="L",C810="S",C810="I"),-1,1)</f>
        <v>0</v>
      </c>
      <c r="AY810" s="487" t="s">
        <v>337</v>
      </c>
      <c r="AZ810" s="487">
        <f>+VLOOKUP($AJ810,Data_Validation!$A:$E,5,0)</f>
        <v>0</v>
      </c>
    </row>
    <row r="811" spans="1:52" ht="15" customHeight="1">
      <c r="A811" s="706" t="s">
        <v>1148</v>
      </c>
      <c r="B811" s="706">
        <v>2026</v>
      </c>
      <c r="C811" s="706" t="s">
        <v>2628</v>
      </c>
      <c r="D811" s="706" t="s">
        <v>2629</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G60120</v>
      </c>
      <c r="AK811" s="905" t="str">
        <f t="shared" si="81"/>
        <v>COUT-MALIBU          -LOC</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G60120</v>
      </c>
      <c r="AU811" s="488" t="str">
        <f t="shared" si="84"/>
        <v>COUT-MALIBU          -LOC</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customHeight="1">
      <c r="A812" s="706" t="s">
        <v>1148</v>
      </c>
      <c r="B812" s="706">
        <v>2026</v>
      </c>
      <c r="C812" s="706" t="s">
        <v>2630</v>
      </c>
      <c r="D812" s="706" t="s">
        <v>2631</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G602</v>
      </c>
      <c r="AK812" s="905" t="str">
        <f t="shared" si="81"/>
        <v>COUT - GMC CANYON</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G602</v>
      </c>
      <c r="AU812" s="488" t="str">
        <f t="shared" si="84"/>
        <v>COUT - GMC CANYON</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customHeight="1">
      <c r="A813" s="706" t="s">
        <v>1148</v>
      </c>
      <c r="B813" s="706">
        <v>2026</v>
      </c>
      <c r="C813" s="706" t="s">
        <v>2632</v>
      </c>
      <c r="D813" s="706" t="s">
        <v>2633</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G60200</v>
      </c>
      <c r="AK813" s="905" t="str">
        <f t="shared" si="81"/>
        <v>COUT-MALIBU MAXX</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G60200</v>
      </c>
      <c r="AU813" s="488" t="str">
        <f t="shared" si="84"/>
        <v>COUT-MALIBU MAXX</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customHeight="1">
      <c r="A814" s="706" t="s">
        <v>1148</v>
      </c>
      <c r="B814" s="706">
        <v>2026</v>
      </c>
      <c r="C814" s="706" t="s">
        <v>2634</v>
      </c>
      <c r="D814" s="706" t="s">
        <v>2635</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G60201</v>
      </c>
      <c r="AK814" s="905" t="str">
        <f t="shared" si="81"/>
        <v>COUT - SONIC</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G60201</v>
      </c>
      <c r="AU814" s="488" t="str">
        <f t="shared" si="84"/>
        <v>COUT - SONIC</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customHeight="1">
      <c r="A815" s="706" t="s">
        <v>1148</v>
      </c>
      <c r="B815" s="706">
        <v>2026</v>
      </c>
      <c r="C815" s="706" t="s">
        <v>2636</v>
      </c>
      <c r="D815" s="706" t="s">
        <v>2637</v>
      </c>
      <c r="E815" s="706" t="s">
        <v>1143</v>
      </c>
      <c r="F815" s="706" t="s">
        <v>1152</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G60204</v>
      </c>
      <c r="AK815" s="905" t="str">
        <f t="shared" si="81"/>
        <v>COUTANT-VERANO</v>
      </c>
      <c r="AL815" s="905">
        <f>IFERROR(INDEX(G815:R815,1,MATCH(Parametres!$B$3,G$1:R$1,0)-1)*IF(OR(F815="L",F815="S",F815="I"),-1,1),"")</f>
        <v>0</v>
      </c>
      <c r="AM815" s="905">
        <f t="shared" si="82"/>
        <v>0</v>
      </c>
      <c r="AN815" s="905">
        <f>INDEX(G815:R815,1,MATCH(Parametres!$B$3,G$1:R$1,0))*IF(OR(F815="L",F815="S",F815="I"),-1,1)</f>
        <v>0</v>
      </c>
      <c r="AO815" s="487" t="str">
        <f>+VLOOKUP($AJ815,Data_Validation!$A:$D,1,0)</f>
        <v>G60204</v>
      </c>
      <c r="AP815" s="487" t="str">
        <f>+VLOOKUP($AJ815,Data_Validation!$A:$D,3,0)</f>
        <v>Véhicules neufs</v>
      </c>
      <c r="AQ815" s="487" t="str">
        <f>+VLOOKUP($AJ815,Data_Validation!$A:$D,4,0)</f>
        <v>Autos détail</v>
      </c>
      <c r="AR815" s="487" t="s">
        <v>299</v>
      </c>
      <c r="AS815" s="487">
        <f>+VLOOKUP($AJ815,Data_Validation!$A:$E,5,0)</f>
        <v>0</v>
      </c>
      <c r="AT815" s="904" t="str">
        <f t="shared" si="83"/>
        <v>G60204</v>
      </c>
      <c r="AU815" s="488" t="str">
        <f t="shared" si="84"/>
        <v>COUTANT-VERANO</v>
      </c>
      <c r="AV815" s="899">
        <f>IFERROR(INDEX(V815:AG815,1,MATCH(Parametres!$B$3,V$1:AG$1,0)-1)*IF(OR(C815="L",C815="S",C815="I"),-1,1),"")</f>
        <v>0</v>
      </c>
      <c r="AW815" s="899">
        <f t="shared" si="85"/>
        <v>0</v>
      </c>
      <c r="AX815" s="899">
        <f>INDEX(V815:AG815,1,MATCH(Parametres!$B$3,V$1:AG$1,0))*IF(OR(C815="L",C815="S",C815="I"),-1,1)</f>
        <v>0</v>
      </c>
      <c r="AY815" s="487" t="s">
        <v>337</v>
      </c>
      <c r="AZ815" s="487">
        <f>+VLOOKUP($AJ815,Data_Validation!$A:$E,5,0)</f>
        <v>0</v>
      </c>
    </row>
    <row r="816" spans="1:52" ht="15" customHeight="1">
      <c r="A816" s="706" t="s">
        <v>1148</v>
      </c>
      <c r="B816" s="706">
        <v>2026</v>
      </c>
      <c r="C816" s="706" t="s">
        <v>2638</v>
      </c>
      <c r="D816" s="706" t="s">
        <v>2639</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G60300</v>
      </c>
      <c r="AK816" s="905" t="str">
        <f t="shared" si="81"/>
        <v>COUT-IMPALA</v>
      </c>
      <c r="AL816" s="905">
        <f>IFERROR(INDEX(G816:R816,1,MATCH(Parametres!$B$3,G$1:R$1,0)-1)*IF(OR(F816="L",F816="S",F816="I"),-1,1),"")</f>
        <v>0</v>
      </c>
      <c r="AM816" s="905">
        <f t="shared" si="82"/>
        <v>0</v>
      </c>
      <c r="AN816" s="905">
        <f>INDEX(G816:R816,1,MATCH(Parametres!$B$3,G$1:R$1,0))*IF(OR(F816="L",F816="S",F816="I"),-1,1)</f>
        <v>0</v>
      </c>
      <c r="AO816" s="487" t="str">
        <f>+VLOOKUP($AJ816,Data_Validation!$A:$D,1,0)</f>
        <v>G60300</v>
      </c>
      <c r="AP816" s="487" t="str">
        <f>+VLOOKUP($AJ816,Data_Validation!$A:$D,3,0)</f>
        <v>Véhicules neufs</v>
      </c>
      <c r="AQ816" s="487" t="str">
        <f>+VLOOKUP($AJ816,Data_Validation!$A:$D,4,0)</f>
        <v>Autos détail</v>
      </c>
      <c r="AR816" s="487" t="s">
        <v>299</v>
      </c>
      <c r="AS816" s="487">
        <f>+VLOOKUP($AJ816,Data_Validation!$A:$E,5,0)</f>
        <v>0</v>
      </c>
      <c r="AT816" s="904" t="str">
        <f t="shared" si="83"/>
        <v>G60300</v>
      </c>
      <c r="AU816" s="488" t="str">
        <f t="shared" si="84"/>
        <v>COUT-IMPALA</v>
      </c>
      <c r="AV816" s="899">
        <f>IFERROR(INDEX(V816:AG816,1,MATCH(Parametres!$B$3,V$1:AG$1,0)-1)*IF(OR(C816="L",C816="S",C816="I"),-1,1),"")</f>
        <v>0</v>
      </c>
      <c r="AW816" s="899">
        <f t="shared" si="85"/>
        <v>0</v>
      </c>
      <c r="AX816" s="899">
        <f>INDEX(V816:AG816,1,MATCH(Parametres!$B$3,V$1:AG$1,0))*IF(OR(C816="L",C816="S",C816="I"),-1,1)</f>
        <v>0</v>
      </c>
      <c r="AY816" s="487" t="s">
        <v>337</v>
      </c>
      <c r="AZ816" s="487">
        <f>+VLOOKUP($AJ816,Data_Validation!$A:$E,5,0)</f>
        <v>0</v>
      </c>
    </row>
    <row r="817" spans="1:52" ht="15" customHeight="1">
      <c r="A817" s="706" t="s">
        <v>1148</v>
      </c>
      <c r="B817" s="706">
        <v>2026</v>
      </c>
      <c r="C817" s="706" t="s">
        <v>2640</v>
      </c>
      <c r="D817" s="706" t="s">
        <v>2641</v>
      </c>
      <c r="E817" s="706" t="s">
        <v>1143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G60320</v>
      </c>
      <c r="AK817" s="905" t="str">
        <f t="shared" si="81"/>
        <v>COUT-IMPALA          -LOC</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G60320</v>
      </c>
      <c r="AU817" s="488" t="str">
        <f t="shared" si="84"/>
        <v>COUT-IMPALA          -LOC</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customHeight="1">
      <c r="A818" s="706" t="s">
        <v>1148</v>
      </c>
      <c r="B818" s="706">
        <v>2026</v>
      </c>
      <c r="C818" s="706" t="s">
        <v>2642</v>
      </c>
      <c r="D818" s="706" t="s">
        <v>2643</v>
      </c>
      <c r="E818" s="706" t="s">
        <v>1143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G60400</v>
      </c>
      <c r="AK818" s="905" t="str">
        <f t="shared" si="81"/>
        <v>COUT- SPARK</v>
      </c>
      <c r="AL818" s="905">
        <f>IFERROR(INDEX(G818:R818,1,MATCH(Parametres!$B$3,G$1:R$1,0)-1)*IF(OR(F818="L",F818="S",F818="I"),-1,1),"")</f>
        <v>0</v>
      </c>
      <c r="AM818" s="905">
        <f t="shared" si="82"/>
        <v>0</v>
      </c>
      <c r="AN818" s="905">
        <f>INDEX(G818:R818,1,MATCH(Parametres!$B$3,G$1:R$1,0))*IF(OR(F818="L",F818="S",F818="I"),-1,1)</f>
        <v>0</v>
      </c>
      <c r="AO818" s="487" t="str">
        <f>+VLOOKUP($AJ818,Data_Validation!$A:$D,1,0)</f>
        <v>G60400</v>
      </c>
      <c r="AP818" s="487" t="str">
        <f>+VLOOKUP($AJ818,Data_Validation!$A:$D,3,0)</f>
        <v>Véhicules neufs</v>
      </c>
      <c r="AQ818" s="487" t="str">
        <f>+VLOOKUP($AJ818,Data_Validation!$A:$D,4,0)</f>
        <v>Autos détail</v>
      </c>
      <c r="AR818" s="487" t="s">
        <v>299</v>
      </c>
      <c r="AS818" s="487">
        <f>+VLOOKUP($AJ818,Data_Validation!$A:$E,5,0)</f>
        <v>0</v>
      </c>
      <c r="AT818" s="904" t="str">
        <f t="shared" si="83"/>
        <v>G60400</v>
      </c>
      <c r="AU818" s="488" t="str">
        <f t="shared" si="84"/>
        <v>COUT- SPARK</v>
      </c>
      <c r="AV818" s="899">
        <f>IFERROR(INDEX(V818:AG818,1,MATCH(Parametres!$B$3,V$1:AG$1,0)-1)*IF(OR(C818="L",C818="S",C818="I"),-1,1),"")</f>
        <v>0</v>
      </c>
      <c r="AW818" s="899">
        <f t="shared" si="85"/>
        <v>0</v>
      </c>
      <c r="AX818" s="899">
        <f>INDEX(V818:AG818,1,MATCH(Parametres!$B$3,V$1:AG$1,0))*IF(OR(C818="L",C818="S",C818="I"),-1,1)</f>
        <v>0</v>
      </c>
      <c r="AY818" s="487" t="s">
        <v>337</v>
      </c>
      <c r="AZ818" s="487">
        <f>+VLOOKUP($AJ818,Data_Validation!$A:$E,5,0)</f>
        <v>0</v>
      </c>
    </row>
    <row r="819" spans="1:52" ht="15" customHeight="1">
      <c r="A819" s="706" t="s">
        <v>1148</v>
      </c>
      <c r="B819" s="706">
        <v>2026</v>
      </c>
      <c r="C819" s="706" t="s">
        <v>2644</v>
      </c>
      <c r="D819" s="706" t="s">
        <v>2645</v>
      </c>
      <c r="E819" s="706" t="s">
        <v>1143</v>
      </c>
      <c r="F819" s="706" t="s">
        <v>1152</v>
      </c>
      <c r="G819" s="706">
        <v>0</v>
      </c>
      <c r="H819" s="706">
        <v>0</v>
      </c>
      <c r="I819" s="706">
        <v>0</v>
      </c>
      <c r="J819" s="706">
        <v>98056.9</v>
      </c>
      <c r="K819" s="706">
        <v>197263.99</v>
      </c>
      <c r="L819" s="706">
        <v>339316.99</v>
      </c>
      <c r="M819" s="706">
        <v>437270.99</v>
      </c>
      <c r="N819" s="706">
        <v>437270.99</v>
      </c>
      <c r="O819" s="706">
        <v>437270.99</v>
      </c>
      <c r="P819" s="706">
        <v>0</v>
      </c>
      <c r="Q819" s="706">
        <v>0</v>
      </c>
      <c r="R819" s="706">
        <v>0</v>
      </c>
      <c r="S819" s="706">
        <v>54658.87</v>
      </c>
      <c r="T819" s="706">
        <v>54658.87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G60500</v>
      </c>
      <c r="AK819" s="905" t="str">
        <f t="shared" si="81"/>
        <v>COUT-CORVETTE</v>
      </c>
      <c r="AL819" s="905">
        <f>IFERROR(INDEX(G819:R819,1,MATCH(Parametres!$B$3,G$1:R$1,0)-1)*IF(OR(F819="L",F819="S",F819="I"),-1,1),"")</f>
        <v>437270.99</v>
      </c>
      <c r="AM819" s="905">
        <f t="shared" si="82"/>
        <v>0</v>
      </c>
      <c r="AN819" s="905">
        <f>INDEX(G819:R819,1,MATCH(Parametres!$B$3,G$1:R$1,0))*IF(OR(F819="L",F819="S",F819="I"),-1,1)</f>
        <v>437270.99</v>
      </c>
      <c r="AO819" s="487" t="str">
        <f>+VLOOKUP($AJ819,Data_Validation!$A:$D,1,0)</f>
        <v>G60500</v>
      </c>
      <c r="AP819" s="487" t="str">
        <f>+VLOOKUP($AJ819,Data_Validation!$A:$D,3,0)</f>
        <v>Véhicules neufs</v>
      </c>
      <c r="AQ819" s="487" t="str">
        <f>+VLOOKUP($AJ819,Data_Validation!$A:$D,4,0)</f>
        <v>Autos détail</v>
      </c>
      <c r="AR819" s="487" t="s">
        <v>299</v>
      </c>
      <c r="AS819" s="487">
        <f>+VLOOKUP($AJ819,Data_Validation!$A:$E,5,0)</f>
        <v>0</v>
      </c>
      <c r="AT819" s="904" t="str">
        <f t="shared" si="83"/>
        <v>G60500</v>
      </c>
      <c r="AU819" s="488" t="str">
        <f t="shared" si="84"/>
        <v>COUT-CORVETTE</v>
      </c>
      <c r="AV819" s="899">
        <f>IFERROR(INDEX(V819:AG819,1,MATCH(Parametres!$B$3,V$1:AG$1,0)-1)*IF(OR(C819="L",C819="S",C819="I"),-1,1),"")</f>
        <v>0</v>
      </c>
      <c r="AW819" s="899">
        <f t="shared" si="85"/>
        <v>0</v>
      </c>
      <c r="AX819" s="899">
        <f>INDEX(V819:AG819,1,MATCH(Parametres!$B$3,V$1:AG$1,0))*IF(OR(C819="L",C819="S",C819="I"),-1,1)</f>
        <v>0</v>
      </c>
      <c r="AY819" s="487" t="s">
        <v>337</v>
      </c>
      <c r="AZ819" s="487">
        <f>+VLOOKUP($AJ819,Data_Validation!$A:$E,5,0)</f>
        <v>0</v>
      </c>
    </row>
    <row r="820" spans="1:52" ht="15" customHeight="1">
      <c r="A820" s="706" t="s">
        <v>1148</v>
      </c>
      <c r="B820" s="706">
        <v>2026</v>
      </c>
      <c r="C820" s="706" t="s">
        <v>2646</v>
      </c>
      <c r="D820" s="706" t="s">
        <v>2647</v>
      </c>
      <c r="E820" s="706" t="s">
        <v>1143</v>
      </c>
      <c r="F820" s="706" t="s">
        <v>1152</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G60600</v>
      </c>
      <c r="AK820" s="905" t="str">
        <f t="shared" si="81"/>
        <v>COUT-AVEO</v>
      </c>
      <c r="AL820" s="905">
        <f>IFERROR(INDEX(G820:R820,1,MATCH(Parametres!$B$3,G$1:R$1,0)-1)*IF(OR(F820="L",F820="S",F820="I"),-1,1),"")</f>
        <v>0</v>
      </c>
      <c r="AM820" s="905">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G60600</v>
      </c>
      <c r="AU820" s="488" t="str">
        <f t="shared" si="84"/>
        <v>COUT-AVEO</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customHeight="1">
      <c r="A821" s="706" t="s">
        <v>1148</v>
      </c>
      <c r="B821" s="706">
        <v>2026</v>
      </c>
      <c r="C821" s="706" t="s">
        <v>2648</v>
      </c>
      <c r="D821" s="706" t="s">
        <v>2649</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G60620</v>
      </c>
      <c r="AK821" s="905" t="str">
        <f t="shared" si="81"/>
        <v>COUT-AVEO            -LOC</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G60620</v>
      </c>
      <c r="AU821" s="488" t="str">
        <f t="shared" si="84"/>
        <v>COUT-AVEO            -LOC</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customHeight="1">
      <c r="A822" s="706" t="s">
        <v>1148</v>
      </c>
      <c r="B822" s="706">
        <v>2026</v>
      </c>
      <c r="C822" s="706" t="s">
        <v>2650</v>
      </c>
      <c r="D822" s="706" t="s">
        <v>2651</v>
      </c>
      <c r="E822" s="706" t="s">
        <v>1143</v>
      </c>
      <c r="F822" s="706" t="s">
        <v>1152</v>
      </c>
      <c r="G822" s="706">
        <v>0</v>
      </c>
      <c r="H822" s="706">
        <v>0</v>
      </c>
      <c r="I822" s="706">
        <v>0</v>
      </c>
      <c r="J822" s="706">
        <v>0</v>
      </c>
      <c r="K822" s="706">
        <v>44805.04</v>
      </c>
      <c r="L822" s="706">
        <v>44805.04</v>
      </c>
      <c r="M822" s="706">
        <v>44805.04</v>
      </c>
      <c r="N822" s="706">
        <v>170312.29</v>
      </c>
      <c r="O822" s="706">
        <v>170312.29</v>
      </c>
      <c r="P822" s="706">
        <v>0</v>
      </c>
      <c r="Q822" s="706">
        <v>0</v>
      </c>
      <c r="R822" s="706">
        <v>0</v>
      </c>
      <c r="S822" s="706">
        <v>21289.040000000001</v>
      </c>
      <c r="T822" s="706">
        <v>21289.040000000001</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G60700</v>
      </c>
      <c r="AK822" s="905" t="str">
        <f t="shared" si="81"/>
        <v>COUT BOLT - EV</v>
      </c>
      <c r="AL822" s="905">
        <f>IFERROR(INDEX(G822:R822,1,MATCH(Parametres!$B$3,G$1:R$1,0)-1)*IF(OR(F822="L",F822="S",F822="I"),-1,1),"")</f>
        <v>44805.04</v>
      </c>
      <c r="AM822" s="905">
        <f t="shared" si="82"/>
        <v>125507.25</v>
      </c>
      <c r="AN822" s="905">
        <f>INDEX(G822:R822,1,MATCH(Parametres!$B$3,G$1:R$1,0))*IF(OR(F822="L",F822="S",F822="I"),-1,1)</f>
        <v>170312.29</v>
      </c>
      <c r="AO822" s="487" t="str">
        <f>+VLOOKUP($AJ822,Data_Validation!$A:$D,1,0)</f>
        <v>G60700</v>
      </c>
      <c r="AP822" s="487" t="str">
        <f>+VLOOKUP($AJ822,Data_Validation!$A:$D,3,0)</f>
        <v>Véhicules neufs</v>
      </c>
      <c r="AQ822" s="487" t="str">
        <f>+VLOOKUP($AJ822,Data_Validation!$A:$D,4,0)</f>
        <v>Camions electriques</v>
      </c>
      <c r="AR822" s="487" t="s">
        <v>299</v>
      </c>
      <c r="AS822" s="487">
        <f>+VLOOKUP($AJ822,Data_Validation!$A:$E,5,0)</f>
        <v>0</v>
      </c>
      <c r="AT822" s="904" t="str">
        <f t="shared" si="83"/>
        <v>G60700</v>
      </c>
      <c r="AU822" s="488" t="str">
        <f t="shared" si="84"/>
        <v>COUT BOLT - EV</v>
      </c>
      <c r="AV822" s="899">
        <f>IFERROR(INDEX(V822:AG822,1,MATCH(Parametres!$B$3,V$1:AG$1,0)-1)*IF(OR(C822="L",C822="S",C822="I"),-1,1),"")</f>
        <v>0</v>
      </c>
      <c r="AW822" s="899">
        <f t="shared" si="85"/>
        <v>0</v>
      </c>
      <c r="AX822" s="899">
        <f>INDEX(V822:AG822,1,MATCH(Parametres!$B$3,V$1:AG$1,0))*IF(OR(C822="L",C822="S",C822="I"),-1,1)</f>
        <v>0</v>
      </c>
      <c r="AY822" s="487" t="s">
        <v>337</v>
      </c>
      <c r="AZ822" s="487">
        <f>+VLOOKUP($AJ822,Data_Validation!$A:$E,5,0)</f>
        <v>0</v>
      </c>
    </row>
    <row r="823" spans="1:52" ht="15" customHeight="1">
      <c r="A823" s="706" t="s">
        <v>1148</v>
      </c>
      <c r="B823" s="706">
        <v>2026</v>
      </c>
      <c r="C823" s="706" t="s">
        <v>2652</v>
      </c>
      <c r="D823" s="706" t="s">
        <v>2653</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G60720</v>
      </c>
      <c r="AK823" s="905" t="str">
        <f t="shared" si="81"/>
        <v>COUT-OPTRA           -LOC</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G60720</v>
      </c>
      <c r="AU823" s="488" t="str">
        <f t="shared" si="84"/>
        <v>COUT-OPTRA           -LOC</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customHeight="1">
      <c r="A824" s="706" t="s">
        <v>1148</v>
      </c>
      <c r="B824" s="706">
        <v>2026</v>
      </c>
      <c r="C824" s="706" t="s">
        <v>2654</v>
      </c>
      <c r="D824" s="706" t="s">
        <v>2655</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G60800</v>
      </c>
      <c r="AK824" s="905" t="str">
        <f t="shared" si="81"/>
        <v>COUT-EPICA</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G60800</v>
      </c>
      <c r="AU824" s="488" t="str">
        <f t="shared" si="84"/>
        <v>COUT-EPICA</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customHeight="1">
      <c r="A825" s="706" t="s">
        <v>1148</v>
      </c>
      <c r="B825" s="706">
        <v>2026</v>
      </c>
      <c r="C825" s="706" t="s">
        <v>2656</v>
      </c>
      <c r="D825" s="706" t="s">
        <v>2657</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G60820</v>
      </c>
      <c r="AK825" s="905" t="str">
        <f t="shared" si="81"/>
        <v>COUT-EPICA           -LOC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G60820</v>
      </c>
      <c r="AU825" s="488" t="str">
        <f t="shared" si="84"/>
        <v>COUT-EPICA           -LOC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customHeight="1">
      <c r="A826" s="706" t="s">
        <v>1148</v>
      </c>
      <c r="B826" s="706">
        <v>2026</v>
      </c>
      <c r="C826" s="706" t="s">
        <v>2658</v>
      </c>
      <c r="D826" s="706" t="s">
        <v>2659</v>
      </c>
      <c r="E826" s="706" t="s">
        <v>1143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G60900</v>
      </c>
      <c r="AK826" s="905" t="str">
        <f t="shared" si="81"/>
        <v>COUT-COBALT</v>
      </c>
      <c r="AL826" s="905">
        <f>IFERROR(INDEX(G826:R826,1,MATCH(Parametres!$B$3,G$1:R$1,0)-1)*IF(OR(F826="L",F826="S",F826="I"),-1,1),"")</f>
        <v>0</v>
      </c>
      <c r="AM826" s="1047">
        <f t="shared" si="82"/>
        <v>0</v>
      </c>
      <c r="AN826" s="905">
        <f>INDEX(G826:R826,1,MATCH(Parametres!$B$3,G$1:R$1,0))*IF(OR(F826="L",F826="S",F826="I"),-1,1)</f>
        <v>0</v>
      </c>
      <c r="AO826" s="487" t="str">
        <f>+VLOOKUP($AJ826,Data_Validation!$A:$D,1,0)</f>
        <v>G60900</v>
      </c>
      <c r="AP826" s="487" t="str">
        <f>+VLOOKUP($AJ826,Data_Validation!$A:$D,3,0)</f>
        <v>Véhicules neufs</v>
      </c>
      <c r="AQ826" s="487" t="str">
        <f>+VLOOKUP($AJ826,Data_Validation!$A:$D,4,0)</f>
        <v>Autos détail</v>
      </c>
      <c r="AR826" s="487" t="s">
        <v>299</v>
      </c>
      <c r="AS826" s="487">
        <f>+VLOOKUP($AJ826,Data_Validation!$A:$E,5,0)</f>
        <v>0</v>
      </c>
      <c r="AT826" s="904" t="str">
        <f t="shared" si="83"/>
        <v>G60900</v>
      </c>
      <c r="AU826" s="488" t="str">
        <f t="shared" si="84"/>
        <v>COUT-COBALT</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customHeight="1">
      <c r="A827" s="706" t="s">
        <v>1148</v>
      </c>
      <c r="B827" s="706">
        <v>2026</v>
      </c>
      <c r="C827" s="706" t="s">
        <v>2660</v>
      </c>
      <c r="D827" s="706" t="s">
        <v>2661</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G60920</v>
      </c>
      <c r="AK827" s="905" t="str">
        <f t="shared" si="81"/>
        <v>COUT-COBALT          -LOC</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G60920</v>
      </c>
      <c r="AU827" s="488" t="str">
        <f t="shared" si="84"/>
        <v>COUT-COBALT          -LOC</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customHeight="1">
      <c r="A828" s="706" t="s">
        <v>1148</v>
      </c>
      <c r="B828" s="706">
        <v>2026</v>
      </c>
      <c r="C828" s="706" t="s">
        <v>2662</v>
      </c>
      <c r="D828" s="706" t="s">
        <v>2663</v>
      </c>
      <c r="E828" s="706" t="s">
        <v>1143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G61000</v>
      </c>
      <c r="AK828" s="905" t="str">
        <f t="shared" si="81"/>
        <v>COUT - CAMARO</v>
      </c>
      <c r="AL828" s="905">
        <f>IFERROR(INDEX(G828:R828,1,MATCH(Parametres!$B$3,G$1:R$1,0)-1)*IF(OR(F828="L",F828="S",F828="I"),-1,1),"")</f>
        <v>0</v>
      </c>
      <c r="AM828" s="905">
        <f t="shared" si="82"/>
        <v>0</v>
      </c>
      <c r="AN828" s="905">
        <f>INDEX(G828:R828,1,MATCH(Parametres!$B$3,G$1:R$1,0))*IF(OR(F828="L",F828="S",F828="I"),-1,1)</f>
        <v>0</v>
      </c>
      <c r="AO828" s="487" t="str">
        <f>+VLOOKUP($AJ828,Data_Validation!$A:$D,1,0)</f>
        <v>G61000</v>
      </c>
      <c r="AP828" s="487" t="str">
        <f>+VLOOKUP($AJ828,Data_Validation!$A:$D,3,0)</f>
        <v>Véhicules neufs</v>
      </c>
      <c r="AQ828" s="487" t="str">
        <f>+VLOOKUP($AJ828,Data_Validation!$A:$D,4,0)</f>
        <v>Autos détail</v>
      </c>
      <c r="AR828" s="487" t="s">
        <v>299</v>
      </c>
      <c r="AS828" s="487">
        <f>+VLOOKUP($AJ828,Data_Validation!$A:$E,5,0)</f>
        <v>0</v>
      </c>
      <c r="AT828" s="904" t="str">
        <f t="shared" si="83"/>
        <v>G61000</v>
      </c>
      <c r="AU828" s="488" t="str">
        <f t="shared" si="84"/>
        <v>COUT - CAMARO</v>
      </c>
      <c r="AV828" s="899">
        <f>IFERROR(INDEX(V828:AG828,1,MATCH(Parametres!$B$3,V$1:AG$1,0)-1)*IF(OR(C828="L",C828="S",C828="I"),-1,1),"")</f>
        <v>0</v>
      </c>
      <c r="AW828" s="899">
        <f t="shared" si="85"/>
        <v>0</v>
      </c>
      <c r="AX828" s="899">
        <f>INDEX(V828:AG828,1,MATCH(Parametres!$B$3,V$1:AG$1,0))*IF(OR(C828="L",C828="S",C828="I"),-1,1)</f>
        <v>0</v>
      </c>
      <c r="AY828" s="487" t="s">
        <v>337</v>
      </c>
      <c r="AZ828" s="487">
        <f>+VLOOKUP($AJ828,Data_Validation!$A:$E,5,0)</f>
        <v>0</v>
      </c>
    </row>
    <row r="829" spans="1:52" ht="15" customHeight="1">
      <c r="A829" s="706" t="s">
        <v>1148</v>
      </c>
      <c r="B829" s="706">
        <v>2026</v>
      </c>
      <c r="C829" s="706" t="s">
        <v>2664</v>
      </c>
      <c r="D829" s="706" t="s">
        <v>2665</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G61100</v>
      </c>
      <c r="AK829" s="905" t="str">
        <f t="shared" si="81"/>
        <v>COUTANT CRUZE</v>
      </c>
      <c r="AL829" s="905">
        <f>IFERROR(INDEX(G829:R829,1,MATCH(Parametres!$B$3,G$1:R$1,0)-1)*IF(OR(F829="L",F829="S",F829="I"),-1,1),"")</f>
        <v>0</v>
      </c>
      <c r="AM829" s="1047">
        <f t="shared" si="82"/>
        <v>0</v>
      </c>
      <c r="AN829" s="905">
        <f>INDEX(G829:R829,1,MATCH(Parametres!$B$3,G$1:R$1,0))*IF(OR(F829="L",F829="S",F829="I"),-1,1)</f>
        <v>0</v>
      </c>
      <c r="AO829" s="487" t="str">
        <f>+VLOOKUP($AJ829,Data_Validation!$A:$D,1,0)</f>
        <v>G61100</v>
      </c>
      <c r="AP829" s="487" t="str">
        <f>+VLOOKUP($AJ829,Data_Validation!$A:$D,3,0)</f>
        <v>Véhicules neufs</v>
      </c>
      <c r="AQ829" s="487" t="str">
        <f>+VLOOKUP($AJ829,Data_Validation!$A:$D,4,0)</f>
        <v>Autos détail</v>
      </c>
      <c r="AR829" s="487" t="s">
        <v>299</v>
      </c>
      <c r="AS829" s="487">
        <f>+VLOOKUP($AJ829,Data_Validation!$A:$E,5,0)</f>
        <v>0</v>
      </c>
      <c r="AT829" s="904" t="str">
        <f t="shared" si="83"/>
        <v>G61100</v>
      </c>
      <c r="AU829" s="488" t="str">
        <f t="shared" si="84"/>
        <v>COUTANT CRUZE</v>
      </c>
      <c r="AV829" s="899">
        <f>IFERROR(INDEX(V829:AG829,1,MATCH(Parametres!$B$3,V$1:AG$1,0)-1)*IF(OR(C829="L",C829="S",C829="I"),-1,1),"")</f>
        <v>0</v>
      </c>
      <c r="AW829" s="899">
        <f t="shared" si="85"/>
        <v>0</v>
      </c>
      <c r="AX829" s="899">
        <f>INDEX(V829:AG829,1,MATCH(Parametres!$B$3,V$1:AG$1,0))*IF(OR(C829="L",C829="S",C829="I"),-1,1)</f>
        <v>0</v>
      </c>
      <c r="AY829" s="487" t="s">
        <v>337</v>
      </c>
      <c r="AZ829" s="487">
        <f>+VLOOKUP($AJ829,Data_Validation!$A:$E,5,0)</f>
        <v>0</v>
      </c>
    </row>
    <row r="830" spans="1:52" ht="15" customHeight="1">
      <c r="A830" s="706" t="s">
        <v>1148</v>
      </c>
      <c r="B830" s="706">
        <v>2026</v>
      </c>
      <c r="C830" s="706" t="s">
        <v>2666</v>
      </c>
      <c r="D830" s="706" t="s">
        <v>2667</v>
      </c>
      <c r="E830" s="706" t="s">
        <v>333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G61600</v>
      </c>
      <c r="AK830" s="905" t="str">
        <f t="shared" si="81"/>
        <v>INDEMNITE MARKETING AUTOS</v>
      </c>
      <c r="AL830" s="905">
        <f>IFERROR(INDEX(G830:R830,1,MATCH(Parametres!$B$3,G$1:R$1,0)-1)*IF(OR(F830="L",F830="S",F830="I"),-1,1),"")</f>
        <v>0</v>
      </c>
      <c r="AM830" s="905">
        <f t="shared" si="82"/>
        <v>0</v>
      </c>
      <c r="AN830" s="905">
        <f>INDEX(G830:R830,1,MATCH(Parametres!$B$3,G$1:R$1,0))*IF(OR(F830="L",F830="S",F830="I"),-1,1)</f>
        <v>0</v>
      </c>
      <c r="AO830" s="487" t="str">
        <f>+VLOOKUP($AJ830,Data_Validation!$A:$D,1,0)</f>
        <v>G61600</v>
      </c>
      <c r="AP830" s="487">
        <f>+VLOOKUP($AJ830,Data_Validation!$A:$D,3,0)</f>
        <v>0</v>
      </c>
      <c r="AQ830" s="487">
        <f>+VLOOKUP($AJ830,Data_Validation!$A:$D,4,0)</f>
        <v>0</v>
      </c>
      <c r="AR830" s="487" t="s">
        <v>299</v>
      </c>
      <c r="AS830" s="487">
        <f>+VLOOKUP($AJ830,Data_Validation!$A:$E,5,0)</f>
        <v>0</v>
      </c>
      <c r="AT830" s="904" t="str">
        <f t="shared" si="83"/>
        <v>G61600</v>
      </c>
      <c r="AU830" s="488" t="str">
        <f t="shared" si="84"/>
        <v>INDEMNITE MARKETING AUTOS</v>
      </c>
      <c r="AV830" s="899">
        <f>IFERROR(INDEX(V830:AG830,1,MATCH(Parametres!$B$3,V$1:AG$1,0)-1)*IF(OR(C830="L",C830="S",C830="I"),-1,1),"")</f>
        <v>0</v>
      </c>
      <c r="AW830" s="899">
        <f t="shared" si="85"/>
        <v>0</v>
      </c>
      <c r="AX830" s="899">
        <f>INDEX(V830:AG830,1,MATCH(Parametres!$B$3,V$1:AG$1,0))*IF(OR(C830="L",C830="S",C830="I"),-1,1)</f>
        <v>0</v>
      </c>
      <c r="AY830" s="487" t="s">
        <v>337</v>
      </c>
      <c r="AZ830" s="487">
        <f>+VLOOKUP($AJ830,Data_Validation!$A:$E,5,0)</f>
        <v>0</v>
      </c>
    </row>
    <row r="831" spans="1:52" ht="15" customHeight="1">
      <c r="A831" s="706" t="s">
        <v>1148</v>
      </c>
      <c r="B831" s="706">
        <v>2026</v>
      </c>
      <c r="C831" s="706" t="s">
        <v>2668</v>
      </c>
      <c r="D831" s="706" t="s">
        <v>2669</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G61700</v>
      </c>
      <c r="AK831" s="905" t="str">
        <f t="shared" si="81"/>
        <v>COUT-AUTRES CHEV AUTOS</v>
      </c>
      <c r="AL831" s="905">
        <f>IFERROR(INDEX(G831:R831,1,MATCH(Parametres!$B$3,G$1:R$1,0)-1)*IF(OR(F831="L",F831="S",F831="I"),-1,1),"")</f>
        <v>0</v>
      </c>
      <c r="AM831" s="1047">
        <f t="shared" si="82"/>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83"/>
        <v>G61700</v>
      </c>
      <c r="AU831" s="488" t="str">
        <f t="shared" si="84"/>
        <v>COUT-AUTRES CHEV AUTOS</v>
      </c>
      <c r="AV831" s="899">
        <f>IFERROR(INDEX(V831:AG831,1,MATCH(Parametres!$B$3,V$1:AG$1,0)-1)*IF(OR(C831="L",C831="S",C831="I"),-1,1),"")</f>
        <v>0</v>
      </c>
      <c r="AW831" s="899">
        <f t="shared" si="85"/>
        <v>0</v>
      </c>
      <c r="AX831" s="899">
        <f>INDEX(V831:AG831,1,MATCH(Parametres!$B$3,V$1:AG$1,0))*IF(OR(C831="L",C831="S",C831="I"),-1,1)</f>
        <v>0</v>
      </c>
      <c r="AY831" s="487" t="s">
        <v>337</v>
      </c>
      <c r="AZ831" s="487" t="e">
        <f>+VLOOKUP($AJ831,Data_Validation!$A:$E,5,0)</f>
        <v>#N/A</v>
      </c>
    </row>
    <row r="832" spans="1:52" ht="15" customHeight="1">
      <c r="A832" s="706" t="s">
        <v>1148</v>
      </c>
      <c r="B832" s="706">
        <v>2026</v>
      </c>
      <c r="C832" s="706" t="s">
        <v>2670</v>
      </c>
      <c r="D832" s="706" t="s">
        <v>2671</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G61720</v>
      </c>
      <c r="AK832" s="905" t="str">
        <f t="shared" si="81"/>
        <v>COUT-AUTRE CHEV.AUTOS-LOC</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G61720</v>
      </c>
      <c r="AU832" s="488" t="str">
        <f t="shared" si="84"/>
        <v>COUT-AUTRE CHEV.AUTOS-LOC</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customHeight="1">
      <c r="A833" s="706" t="s">
        <v>1148</v>
      </c>
      <c r="B833" s="706">
        <v>2026</v>
      </c>
      <c r="C833" s="706" t="s">
        <v>2672</v>
      </c>
      <c r="D833" s="706" t="s">
        <v>2673</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G61799</v>
      </c>
      <c r="AK833" s="905" t="str">
        <f t="shared" si="81"/>
        <v>COUT-ECHANGE CONCESSION.</v>
      </c>
      <c r="AL833" s="905">
        <f>IFERROR(INDEX(G833:R833,1,MATCH(Parametres!$B$3,G$1:R$1,0)-1)*IF(OR(F833="L",F833="S",F833="I"),-1,1),"")</f>
        <v>0</v>
      </c>
      <c r="AM833" s="1047">
        <f t="shared" si="82"/>
        <v>0</v>
      </c>
      <c r="AN833" s="905">
        <f>INDEX(G833:R833,1,MATCH(Parametres!$B$3,G$1:R$1,0))*IF(OR(F833="L",F833="S",F833="I"),-1,1)</f>
        <v>0</v>
      </c>
      <c r="AO833" s="487" t="str">
        <f>+VLOOKUP($AJ833,Data_Validation!$A:$D,1,0)</f>
        <v>G61799</v>
      </c>
      <c r="AP833" s="487">
        <f>+VLOOKUP($AJ833,Data_Validation!$A:$D,3,0)</f>
        <v>0</v>
      </c>
      <c r="AQ833" s="487">
        <f>+VLOOKUP($AJ833,Data_Validation!$A:$D,4,0)</f>
        <v>0</v>
      </c>
      <c r="AR833" s="487" t="s">
        <v>299</v>
      </c>
      <c r="AS833" s="487">
        <f>+VLOOKUP($AJ833,Data_Validation!$A:$E,5,0)</f>
        <v>0</v>
      </c>
      <c r="AT833" s="904" t="str">
        <f t="shared" si="83"/>
        <v>G61799</v>
      </c>
      <c r="AU833" s="488" t="str">
        <f t="shared" si="84"/>
        <v>COUT-ECHANGE CONCESSION.</v>
      </c>
      <c r="AV833" s="899">
        <f>IFERROR(INDEX(V833:AG833,1,MATCH(Parametres!$B$3,V$1:AG$1,0)-1)*IF(OR(C833="L",C833="S",C833="I"),-1,1),"")</f>
        <v>0</v>
      </c>
      <c r="AW833" s="899">
        <f t="shared" si="85"/>
        <v>0</v>
      </c>
      <c r="AX833" s="899">
        <f>INDEX(V833:AG833,1,MATCH(Parametres!$B$3,V$1:AG$1,0))*IF(OR(C833="L",C833="S",C833="I"),-1,1)</f>
        <v>0</v>
      </c>
      <c r="AY833" s="487" t="s">
        <v>337</v>
      </c>
      <c r="AZ833" s="487">
        <f>+VLOOKUP($AJ833,Data_Validation!$A:$E,5,0)</f>
        <v>0</v>
      </c>
    </row>
    <row r="834" spans="1:52" ht="15" customHeight="1">
      <c r="A834" s="706" t="s">
        <v>1148</v>
      </c>
      <c r="B834" s="706">
        <v>2026</v>
      </c>
      <c r="C834" s="706" t="s">
        <v>2674</v>
      </c>
      <c r="D834" s="706" t="s">
        <v>2675</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G61800</v>
      </c>
      <c r="AK834" s="905" t="str">
        <f t="shared" si="81"/>
        <v>COUTANT AUTRE CHEVROLET</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G61800</v>
      </c>
      <c r="AU834" s="488" t="str">
        <f t="shared" si="84"/>
        <v>COUTANT AUTRE CHEVROLET</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customHeight="1">
      <c r="A835" s="706" t="s">
        <v>1148</v>
      </c>
      <c r="B835" s="706">
        <v>2026</v>
      </c>
      <c r="C835" s="706" t="s">
        <v>2676</v>
      </c>
      <c r="D835" s="706" t="s">
        <v>2677</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G62000</v>
      </c>
      <c r="AK835" s="905" t="str">
        <f t="shared" si="81"/>
        <v>COUT-PARC VOITURES</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G62000</v>
      </c>
      <c r="AU835" s="488" t="str">
        <f t="shared" si="84"/>
        <v>COUT-PARC VOITURES</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customHeight="1">
      <c r="A836" s="706" t="s">
        <v>1148</v>
      </c>
      <c r="B836" s="706">
        <v>2026</v>
      </c>
      <c r="C836" s="706" t="s">
        <v>2678</v>
      </c>
      <c r="D836" s="706" t="s">
        <v>2679</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G62100</v>
      </c>
      <c r="AK836" s="905" t="str">
        <f t="shared" si="81"/>
        <v>COUT-VOITURES INTERNE</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G62100</v>
      </c>
      <c r="AU836" s="488" t="str">
        <f t="shared" si="84"/>
        <v>COUT-VOITURES INTERNE</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2680</v>
      </c>
      <c r="D837" s="706" t="s">
        <v>2681</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G62300</v>
      </c>
      <c r="AK837" s="905" t="str">
        <f t="shared" si="81"/>
        <v>COUT-VENTURE-UPLANDER</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G62300</v>
      </c>
      <c r="AU837" s="488" t="str">
        <f t="shared" si="84"/>
        <v>COUT-VENTURE-UPLANDER</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customHeight="1">
      <c r="A838" s="706" t="s">
        <v>1148</v>
      </c>
      <c r="B838" s="706">
        <v>2026</v>
      </c>
      <c r="C838" s="706" t="s">
        <v>2682</v>
      </c>
      <c r="D838" s="706" t="s">
        <v>2683</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G62312</v>
      </c>
      <c r="AK838" s="905" t="str">
        <f t="shared" si="81"/>
        <v>COUT-KODIAK/TOPKICK 4/5</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G62312</v>
      </c>
      <c r="AU838" s="488" t="str">
        <f t="shared" si="84"/>
        <v>COUT-KODIAK/TOPKICK 4/5</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customHeight="1">
      <c r="A839" s="706" t="s">
        <v>1148</v>
      </c>
      <c r="B839" s="706">
        <v>2026</v>
      </c>
      <c r="C839" s="706" t="s">
        <v>2684</v>
      </c>
      <c r="D839" s="706" t="s">
        <v>2685</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G62320</v>
      </c>
      <c r="AK839" s="905" t="str">
        <f t="shared" si="81"/>
        <v>COUT-VENTURE-UPLAN   -LOC</v>
      </c>
      <c r="AL839" s="905">
        <f>IFERROR(INDEX(G839:R839,1,MATCH(Parametres!$B$3,G$1:R$1,0)-1)*IF(OR(F839="L",F839="S",F839="I"),-1,1),"")</f>
        <v>0</v>
      </c>
      <c r="AM839" s="905">
        <f t="shared" si="82"/>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83"/>
        <v>G62320</v>
      </c>
      <c r="AU839" s="488" t="str">
        <f t="shared" si="84"/>
        <v>COUT-VENTURE-UPLAN   -LOC</v>
      </c>
      <c r="AV839" s="899">
        <f>IFERROR(INDEX(V839:AG839,1,MATCH(Parametres!$B$3,V$1:AG$1,0)-1)*IF(OR(C839="L",C839="S",C839="I"),-1,1),"")</f>
        <v>0</v>
      </c>
      <c r="AW839" s="899">
        <f t="shared" si="85"/>
        <v>0</v>
      </c>
      <c r="AX839" s="899">
        <f>INDEX(V839:AG839,1,MATCH(Parametres!$B$3,V$1:AG$1,0))*IF(OR(C839="L",C839="S",C839="I"),-1,1)</f>
        <v>0</v>
      </c>
      <c r="AY839" s="487" t="s">
        <v>337</v>
      </c>
      <c r="AZ839" s="487" t="e">
        <f>+VLOOKUP($AJ839,Data_Validation!$A:$E,5,0)</f>
        <v>#N/A</v>
      </c>
    </row>
    <row r="840" spans="1:52" ht="15" customHeight="1">
      <c r="A840" s="706" t="s">
        <v>1148</v>
      </c>
      <c r="B840" s="706">
        <v>2026</v>
      </c>
      <c r="C840" s="706" t="s">
        <v>2686</v>
      </c>
      <c r="D840" s="706" t="s">
        <v>2687</v>
      </c>
      <c r="E840" s="706" t="s">
        <v>1143</v>
      </c>
      <c r="F840" s="706" t="s">
        <v>1152</v>
      </c>
      <c r="G840" s="706">
        <v>91372.42</v>
      </c>
      <c r="H840" s="706">
        <v>91372.42</v>
      </c>
      <c r="I840" s="706">
        <v>91372.42</v>
      </c>
      <c r="J840" s="706">
        <v>232512.62</v>
      </c>
      <c r="K840" s="706">
        <v>319528.5</v>
      </c>
      <c r="L840" s="706">
        <v>319528.5</v>
      </c>
      <c r="M840" s="706">
        <v>452253.34</v>
      </c>
      <c r="N840" s="706">
        <v>554460.32999999996</v>
      </c>
      <c r="O840" s="706">
        <v>554460.32999999996</v>
      </c>
      <c r="P840" s="706">
        <v>0</v>
      </c>
      <c r="Q840" s="706">
        <v>0</v>
      </c>
      <c r="R840" s="706">
        <v>0</v>
      </c>
      <c r="S840" s="706">
        <v>69307.539999999994</v>
      </c>
      <c r="T840" s="706">
        <v>69307.539999999994</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G62400</v>
      </c>
      <c r="AK840" s="905" t="str">
        <f t="shared" si="81"/>
        <v>COUT-TERRAIN</v>
      </c>
      <c r="AL840" s="905">
        <f>IFERROR(INDEX(G840:R840,1,MATCH(Parametres!$B$3,G$1:R$1,0)-1)*IF(OR(F840="L",F840="S",F840="I"),-1,1),"")</f>
        <v>452253.34</v>
      </c>
      <c r="AM840" s="1047">
        <f t="shared" si="82"/>
        <v>102206.98999999993</v>
      </c>
      <c r="AN840" s="905">
        <f>INDEX(G840:R840,1,MATCH(Parametres!$B$3,G$1:R$1,0))*IF(OR(F840="L",F840="S",F840="I"),-1,1)</f>
        <v>554460.32999999996</v>
      </c>
      <c r="AO840" s="487" t="str">
        <f>+VLOOKUP($AJ840,Data_Validation!$A:$D,1,0)</f>
        <v>G62400</v>
      </c>
      <c r="AP840" s="487" t="str">
        <f>+VLOOKUP($AJ840,Data_Validation!$A:$D,3,0)</f>
        <v>Véhicules neufs</v>
      </c>
      <c r="AQ840" s="487" t="str">
        <f>+VLOOKUP($AJ840,Data_Validation!$A:$D,4,0)</f>
        <v>Camions détail</v>
      </c>
      <c r="AR840" s="487" t="s">
        <v>299</v>
      </c>
      <c r="AS840" s="487">
        <f>+VLOOKUP($AJ840,Data_Validation!$A:$E,5,0)</f>
        <v>0</v>
      </c>
      <c r="AT840" s="904" t="str">
        <f t="shared" si="83"/>
        <v>G62400</v>
      </c>
      <c r="AU840" s="488" t="str">
        <f t="shared" si="84"/>
        <v>COUT-TERRAIN</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customHeight="1">
      <c r="A841" s="706" t="s">
        <v>1148</v>
      </c>
      <c r="B841" s="706">
        <v>2026</v>
      </c>
      <c r="C841" s="706" t="s">
        <v>2688</v>
      </c>
      <c r="D841" s="706" t="s">
        <v>2689</v>
      </c>
      <c r="E841" s="706" t="s">
        <v>1143</v>
      </c>
      <c r="F841" s="706" t="s">
        <v>1152</v>
      </c>
      <c r="G841" s="706">
        <v>0</v>
      </c>
      <c r="H841" s="706">
        <v>0</v>
      </c>
      <c r="I841" s="706">
        <v>0</v>
      </c>
      <c r="J841" s="706">
        <v>0</v>
      </c>
      <c r="K841" s="706">
        <v>398090.8</v>
      </c>
      <c r="L841" s="706">
        <v>649623.39</v>
      </c>
      <c r="M841" s="706">
        <v>1151542.54</v>
      </c>
      <c r="N841" s="706">
        <v>1739272.94</v>
      </c>
      <c r="O841" s="706">
        <v>2434332.2000000002</v>
      </c>
      <c r="P841" s="706">
        <v>0</v>
      </c>
      <c r="Q841" s="706">
        <v>0</v>
      </c>
      <c r="R841" s="706">
        <v>0</v>
      </c>
      <c r="S841" s="706">
        <v>217409.12</v>
      </c>
      <c r="T841" s="706">
        <v>217409.12</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G62401</v>
      </c>
      <c r="AK841" s="905" t="str">
        <f t="shared" si="81"/>
        <v>COUT BOLT EUV</v>
      </c>
      <c r="AL841" s="905">
        <f>IFERROR(INDEX(G841:R841,1,MATCH(Parametres!$B$3,G$1:R$1,0)-1)*IF(OR(F841="L",F841="S",F841="I"),-1,1),"")</f>
        <v>1151542.54</v>
      </c>
      <c r="AM841" s="905">
        <f t="shared" si="82"/>
        <v>587730.39999999991</v>
      </c>
      <c r="AN841" s="905">
        <f>INDEX(G841:R841,1,MATCH(Parametres!$B$3,G$1:R$1,0))*IF(OR(F841="L",F841="S",F841="I"),-1,1)</f>
        <v>1739272.94</v>
      </c>
      <c r="AO841" s="487" t="str">
        <f>+VLOOKUP($AJ841,Data_Validation!$A:$D,1,0)</f>
        <v>G62401</v>
      </c>
      <c r="AP841" s="487" t="str">
        <f>+VLOOKUP($AJ841,Data_Validation!$A:$D,3,0)</f>
        <v>Véhicules neufs</v>
      </c>
      <c r="AQ841" s="487" t="str">
        <f>+VLOOKUP($AJ841,Data_Validation!$A:$D,4,0)</f>
        <v>Camions electriques</v>
      </c>
      <c r="AR841" s="487" t="s">
        <v>299</v>
      </c>
      <c r="AS841" s="487">
        <f>+VLOOKUP($AJ841,Data_Validation!$A:$E,5,0)</f>
        <v>0</v>
      </c>
      <c r="AT841" s="904" t="str">
        <f t="shared" si="83"/>
        <v>G62401</v>
      </c>
      <c r="AU841" s="488" t="str">
        <f t="shared" si="84"/>
        <v>COUT BOLT EUV</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customHeight="1">
      <c r="A842" s="706" t="s">
        <v>1148</v>
      </c>
      <c r="B842" s="706">
        <v>2026</v>
      </c>
      <c r="C842" s="706" t="s">
        <v>2690</v>
      </c>
      <c r="D842" s="706" t="s">
        <v>2691</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G62412</v>
      </c>
      <c r="AK842" s="905" t="str">
        <f t="shared" si="81"/>
        <v>COUT-TOPKICK 6/7/8 C</v>
      </c>
      <c r="AL842" s="905">
        <f>IFERROR(INDEX(G842:R842,1,MATCH(Parametres!$B$3,G$1:R$1,0)-1)*IF(OR(F842="L",F842="S",F842="I"),-1,1),"")</f>
        <v>0</v>
      </c>
      <c r="AM842" s="905">
        <f t="shared" si="82"/>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83"/>
        <v>G62412</v>
      </c>
      <c r="AU842" s="488" t="str">
        <f t="shared" si="84"/>
        <v>COUT-TOPKICK 6/7/8 C</v>
      </c>
      <c r="AV842" s="899">
        <f>IFERROR(INDEX(V842:AG842,1,MATCH(Parametres!$B$3,V$1:AG$1,0)-1)*IF(OR(C842="L",C842="S",C842="I"),-1,1),"")</f>
        <v>0</v>
      </c>
      <c r="AW842" s="899">
        <f t="shared" si="85"/>
        <v>0</v>
      </c>
      <c r="AX842" s="899">
        <f>INDEX(V842:AG842,1,MATCH(Parametres!$B$3,V$1:AG$1,0))*IF(OR(C842="L",C842="S",C842="I"),-1,1)</f>
        <v>0</v>
      </c>
      <c r="AY842" s="487" t="s">
        <v>337</v>
      </c>
      <c r="AZ842" s="487" t="e">
        <f>+VLOOKUP($AJ842,Data_Validation!$A:$E,5,0)</f>
        <v>#N/A</v>
      </c>
    </row>
    <row r="843" spans="1:52" ht="15" customHeight="1">
      <c r="A843" s="706" t="s">
        <v>1148</v>
      </c>
      <c r="B843" s="706">
        <v>2026</v>
      </c>
      <c r="C843" s="706" t="s">
        <v>2692</v>
      </c>
      <c r="D843" s="706" t="s">
        <v>2693</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G62500</v>
      </c>
      <c r="AK843" s="905" t="str">
        <f t="shared" si="81"/>
        <v>COUT-G EXPRESS</v>
      </c>
      <c r="AL843" s="905">
        <f>IFERROR(INDEX(G843:R843,1,MATCH(Parametres!$B$3,G$1:R$1,0)-1)*IF(OR(F843="L",F843="S",F843="I"),-1,1),"")</f>
        <v>0</v>
      </c>
      <c r="AM843" s="1047">
        <f t="shared" si="82"/>
        <v>0</v>
      </c>
      <c r="AN843" s="905">
        <f>INDEX(G843:R843,1,MATCH(Parametres!$B$3,G$1:R$1,0))*IF(OR(F843="L",F843="S",F843="I"),-1,1)</f>
        <v>0</v>
      </c>
      <c r="AO843" s="487" t="str">
        <f>+VLOOKUP($AJ843,Data_Validation!$A:$D,1,0)</f>
        <v>G62500</v>
      </c>
      <c r="AP843" s="487" t="str">
        <f>+VLOOKUP($AJ843,Data_Validation!$A:$D,3,0)</f>
        <v>Véhicules neufs</v>
      </c>
      <c r="AQ843" s="487" t="str">
        <f>+VLOOKUP($AJ843,Data_Validation!$A:$D,4,0)</f>
        <v>Camions détail</v>
      </c>
      <c r="AR843" s="487" t="s">
        <v>299</v>
      </c>
      <c r="AS843" s="487">
        <f>+VLOOKUP($AJ843,Data_Validation!$A:$E,5,0)</f>
        <v>0</v>
      </c>
      <c r="AT843" s="904" t="str">
        <f t="shared" si="83"/>
        <v>G62500</v>
      </c>
      <c r="AU843" s="488" t="str">
        <f t="shared" si="84"/>
        <v>COUT-G EXPRESS</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customHeight="1">
      <c r="A844" s="706" t="s">
        <v>1148</v>
      </c>
      <c r="B844" s="706">
        <v>2026</v>
      </c>
      <c r="C844" s="706" t="s">
        <v>2694</v>
      </c>
      <c r="D844" s="706" t="s">
        <v>2695</v>
      </c>
      <c r="E844" s="706" t="s">
        <v>1143</v>
      </c>
      <c r="F844" s="706" t="s">
        <v>1152</v>
      </c>
      <c r="G844" s="706">
        <v>0</v>
      </c>
      <c r="H844" s="706">
        <v>0</v>
      </c>
      <c r="I844" s="706">
        <v>0</v>
      </c>
      <c r="J844" s="706">
        <v>0</v>
      </c>
      <c r="K844" s="706">
        <v>49868.69</v>
      </c>
      <c r="L844" s="706">
        <v>51068.69</v>
      </c>
      <c r="M844" s="706">
        <v>51068.69</v>
      </c>
      <c r="N844" s="706">
        <v>51068.69</v>
      </c>
      <c r="O844" s="706">
        <v>51068.69</v>
      </c>
      <c r="P844" s="706">
        <v>0</v>
      </c>
      <c r="Q844" s="706">
        <v>0</v>
      </c>
      <c r="R844" s="706">
        <v>0</v>
      </c>
      <c r="S844" s="706">
        <v>6383.59</v>
      </c>
      <c r="T844" s="706">
        <v>6383.59</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G62502</v>
      </c>
      <c r="AK844" s="905" t="str">
        <f t="shared" si="81"/>
        <v>COUTANT SAVANA</v>
      </c>
      <c r="AL844" s="905">
        <f>IFERROR(INDEX(G844:R844,1,MATCH(Parametres!$B$3,G$1:R$1,0)-1)*IF(OR(F844="L",F844="S",F844="I"),-1,1),"")</f>
        <v>51068.69</v>
      </c>
      <c r="AM844" s="905">
        <f t="shared" si="82"/>
        <v>0</v>
      </c>
      <c r="AN844" s="905">
        <f>INDEX(G844:R844,1,MATCH(Parametres!$B$3,G$1:R$1,0))*IF(OR(F844="L",F844="S",F844="I"),-1,1)</f>
        <v>51068.69</v>
      </c>
      <c r="AO844" s="487" t="str">
        <f>+VLOOKUP($AJ844,Data_Validation!$A:$D,1,0)</f>
        <v>G62502</v>
      </c>
      <c r="AP844" s="487" t="str">
        <f>+VLOOKUP($AJ844,Data_Validation!$A:$D,3,0)</f>
        <v>Véhicules neufs</v>
      </c>
      <c r="AQ844" s="487" t="str">
        <f>+VLOOKUP($AJ844,Data_Validation!$A:$D,4,0)</f>
        <v>Camions electriques</v>
      </c>
      <c r="AR844" s="487" t="s">
        <v>299</v>
      </c>
      <c r="AS844" s="487">
        <f>+VLOOKUP($AJ844,Data_Validation!$A:$E,5,0)</f>
        <v>0</v>
      </c>
      <c r="AT844" s="904" t="str">
        <f t="shared" si="83"/>
        <v>G62502</v>
      </c>
      <c r="AU844" s="488" t="str">
        <f t="shared" si="84"/>
        <v>COUTANT SAVANA</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customHeight="1">
      <c r="A845" s="706" t="s">
        <v>1148</v>
      </c>
      <c r="B845" s="706">
        <v>2026</v>
      </c>
      <c r="C845" s="706" t="s">
        <v>2696</v>
      </c>
      <c r="D845" s="706" t="s">
        <v>2697</v>
      </c>
      <c r="E845" s="706" t="s">
        <v>1143</v>
      </c>
      <c r="F845" s="706" t="s">
        <v>1152</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G62512</v>
      </c>
      <c r="AK845" s="905" t="str">
        <f t="shared" si="81"/>
        <v>COUT-TOPKICK 6/7/8</v>
      </c>
      <c r="AL845" s="905">
        <f>IFERROR(INDEX(G845:R845,1,MATCH(Parametres!$B$3,G$1:R$1,0)-1)*IF(OR(F845="L",F845="S",F845="I"),-1,1),"")</f>
        <v>0</v>
      </c>
      <c r="AM845" s="905">
        <f t="shared" si="82"/>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83"/>
        <v>G62512</v>
      </c>
      <c r="AU845" s="488" t="str">
        <f t="shared" si="84"/>
        <v>COUT-TOPKICK 6/7/8</v>
      </c>
      <c r="AV845" s="899">
        <f>IFERROR(INDEX(V845:AG845,1,MATCH(Parametres!$B$3,V$1:AG$1,0)-1)*IF(OR(C845="L",C845="S",C845="I"),-1,1),"")</f>
        <v>0</v>
      </c>
      <c r="AW845" s="899">
        <f t="shared" si="85"/>
        <v>0</v>
      </c>
      <c r="AX845" s="899">
        <f>INDEX(V845:AG845,1,MATCH(Parametres!$B$3,V$1:AG$1,0))*IF(OR(C845="L",C845="S",C845="I"),-1,1)</f>
        <v>0</v>
      </c>
      <c r="AY845" s="487" t="s">
        <v>337</v>
      </c>
      <c r="AZ845" s="487" t="e">
        <f>+VLOOKUP($AJ845,Data_Validation!$A:$E,5,0)</f>
        <v>#N/A</v>
      </c>
    </row>
    <row r="846" spans="1:52" ht="15" customHeight="1">
      <c r="A846" s="706" t="s">
        <v>1148</v>
      </c>
      <c r="B846" s="706">
        <v>2026</v>
      </c>
      <c r="C846" s="706" t="s">
        <v>2698</v>
      </c>
      <c r="D846" s="706" t="s">
        <v>2699</v>
      </c>
      <c r="E846" s="706" t="s">
        <v>1143</v>
      </c>
      <c r="F846" s="706" t="s">
        <v>1152</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G62520</v>
      </c>
      <c r="AK846" s="905" t="str">
        <f t="shared" si="81"/>
        <v>COUT-G EXPRESS       -LOC</v>
      </c>
      <c r="AL846" s="905">
        <f>IFERROR(INDEX(G846:R846,1,MATCH(Parametres!$B$3,G$1:R$1,0)-1)*IF(OR(F846="L",F846="S",F846="I"),-1,1),"")</f>
        <v>0</v>
      </c>
      <c r="AM846" s="905">
        <f t="shared" si="82"/>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83"/>
        <v>G62520</v>
      </c>
      <c r="AU846" s="488" t="str">
        <f t="shared" si="84"/>
        <v>COUT-G EXPRESS       -LOC</v>
      </c>
      <c r="AV846" s="899">
        <f>IFERROR(INDEX(V846:AG846,1,MATCH(Parametres!$B$3,V$1:AG$1,0)-1)*IF(OR(C846="L",C846="S",C846="I"),-1,1),"")</f>
        <v>0</v>
      </c>
      <c r="AW846" s="899">
        <f t="shared" si="85"/>
        <v>0</v>
      </c>
      <c r="AX846" s="899">
        <f>INDEX(V846:AG846,1,MATCH(Parametres!$B$3,V$1:AG$1,0))*IF(OR(C846="L",C846="S",C846="I"),-1,1)</f>
        <v>0</v>
      </c>
      <c r="AY846" s="487" t="s">
        <v>337</v>
      </c>
      <c r="AZ846" s="487" t="e">
        <f>+VLOOKUP($AJ846,Data_Validation!$A:$E,5,0)</f>
        <v>#N/A</v>
      </c>
    </row>
    <row r="847" spans="1:52" ht="15" customHeight="1">
      <c r="A847" s="706" t="s">
        <v>1148</v>
      </c>
      <c r="B847" s="706">
        <v>2026</v>
      </c>
      <c r="C847" s="706" t="s">
        <v>2700</v>
      </c>
      <c r="D847" s="706" t="s">
        <v>2701</v>
      </c>
      <c r="E847" s="706" t="s">
        <v>1143</v>
      </c>
      <c r="F847" s="706" t="s">
        <v>1152</v>
      </c>
      <c r="G847" s="706">
        <v>0</v>
      </c>
      <c r="H847" s="706">
        <v>126205.83</v>
      </c>
      <c r="I847" s="706">
        <v>126205.83</v>
      </c>
      <c r="J847" s="706">
        <v>180912.33</v>
      </c>
      <c r="K847" s="706">
        <v>234601.33</v>
      </c>
      <c r="L847" s="706">
        <v>290126.33</v>
      </c>
      <c r="M847" s="706">
        <v>400509.16</v>
      </c>
      <c r="N847" s="706">
        <v>517152.51</v>
      </c>
      <c r="O847" s="706">
        <v>517152.51</v>
      </c>
      <c r="P847" s="706">
        <v>0</v>
      </c>
      <c r="Q847" s="706">
        <v>0</v>
      </c>
      <c r="R847" s="706">
        <v>0</v>
      </c>
      <c r="S847" s="706">
        <v>64644.06</v>
      </c>
      <c r="T847" s="706">
        <v>64644.06</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G62600</v>
      </c>
      <c r="AK847" s="905" t="str">
        <f t="shared" si="81"/>
        <v>COUT-SPICKUP/COLORADO</v>
      </c>
      <c r="AL847" s="905">
        <f>IFERROR(INDEX(G847:R847,1,MATCH(Parametres!$B$3,G$1:R$1,0)-1)*IF(OR(F847="L",F847="S",F847="I"),-1,1),"")</f>
        <v>400509.16</v>
      </c>
      <c r="AM847" s="905">
        <f t="shared" si="82"/>
        <v>116643.35000000003</v>
      </c>
      <c r="AN847" s="905">
        <f>INDEX(G847:R847,1,MATCH(Parametres!$B$3,G$1:R$1,0))*IF(OR(F847="L",F847="S",F847="I"),-1,1)</f>
        <v>517152.51</v>
      </c>
      <c r="AO847" s="487" t="str">
        <f>+VLOOKUP($AJ847,Data_Validation!$A:$D,1,0)</f>
        <v>G62600</v>
      </c>
      <c r="AP847" s="487" t="str">
        <f>+VLOOKUP($AJ847,Data_Validation!$A:$D,3,0)</f>
        <v>Véhicules neufs</v>
      </c>
      <c r="AQ847" s="487" t="str">
        <f>+VLOOKUP($AJ847,Data_Validation!$A:$D,4,0)</f>
        <v>Camions détail</v>
      </c>
      <c r="AR847" s="487" t="s">
        <v>299</v>
      </c>
      <c r="AS847" s="487">
        <f>+VLOOKUP($AJ847,Data_Validation!$A:$E,5,0)</f>
        <v>0</v>
      </c>
      <c r="AT847" s="904" t="str">
        <f t="shared" si="83"/>
        <v>G62600</v>
      </c>
      <c r="AU847" s="488" t="str">
        <f t="shared" si="84"/>
        <v>COUT-SPICKUP/COLORADO</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customHeight="1">
      <c r="A848" s="706" t="s">
        <v>1148</v>
      </c>
      <c r="B848" s="706">
        <v>2026</v>
      </c>
      <c r="C848" s="706" t="s">
        <v>2702</v>
      </c>
      <c r="D848" s="706" t="s">
        <v>2631</v>
      </c>
      <c r="E848" s="706" t="s">
        <v>1143</v>
      </c>
      <c r="F848" s="706" t="s">
        <v>1152</v>
      </c>
      <c r="G848" s="706">
        <v>64838.75</v>
      </c>
      <c r="H848" s="706">
        <v>64838.75</v>
      </c>
      <c r="I848" s="706">
        <v>64838.75</v>
      </c>
      <c r="J848" s="706">
        <v>64551.31</v>
      </c>
      <c r="K848" s="706">
        <v>64551.31</v>
      </c>
      <c r="L848" s="706">
        <v>64551.31</v>
      </c>
      <c r="M848" s="706">
        <v>127652.77</v>
      </c>
      <c r="N848" s="706">
        <v>181984.75</v>
      </c>
      <c r="O848" s="706">
        <v>301806.51</v>
      </c>
      <c r="P848" s="706">
        <v>0</v>
      </c>
      <c r="Q848" s="706">
        <v>0</v>
      </c>
      <c r="R848" s="706">
        <v>0</v>
      </c>
      <c r="S848" s="706">
        <v>22748.09</v>
      </c>
      <c r="T848" s="706">
        <v>22748.09</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G62602</v>
      </c>
      <c r="AK848" s="905" t="str">
        <f t="shared" si="81"/>
        <v>COUT - GMC CANYON</v>
      </c>
      <c r="AL848" s="905">
        <f>IFERROR(INDEX(G848:R848,1,MATCH(Parametres!$B$3,G$1:R$1,0)-1)*IF(OR(F848="L",F848="S",F848="I"),-1,1),"")</f>
        <v>127652.77</v>
      </c>
      <c r="AM848" s="905">
        <f t="shared" si="82"/>
        <v>54331.979999999996</v>
      </c>
      <c r="AN848" s="905">
        <f>INDEX(G848:R848,1,MATCH(Parametres!$B$3,G$1:R$1,0))*IF(OR(F848="L",F848="S",F848="I"),-1,1)</f>
        <v>181984.75</v>
      </c>
      <c r="AO848" s="487" t="str">
        <f>+VLOOKUP($AJ848,Data_Validation!$A:$D,1,0)</f>
        <v>G62602</v>
      </c>
      <c r="AP848" s="487" t="str">
        <f>+VLOOKUP($AJ848,Data_Validation!$A:$D,3,0)</f>
        <v>Véhicules neufs</v>
      </c>
      <c r="AQ848" s="487" t="str">
        <f>+VLOOKUP($AJ848,Data_Validation!$A:$D,4,0)</f>
        <v>Camions détail</v>
      </c>
      <c r="AR848" s="487" t="s">
        <v>299</v>
      </c>
      <c r="AS848" s="487">
        <f>+VLOOKUP($AJ848,Data_Validation!$A:$E,5,0)</f>
        <v>0</v>
      </c>
      <c r="AT848" s="904" t="str">
        <f t="shared" si="83"/>
        <v>G62602</v>
      </c>
      <c r="AU848" s="488" t="str">
        <f t="shared" si="84"/>
        <v>COUT - GMC CANYON</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customHeight="1">
      <c r="A849" s="706" t="s">
        <v>1148</v>
      </c>
      <c r="B849" s="706">
        <v>2026</v>
      </c>
      <c r="C849" s="706" t="s">
        <v>2703</v>
      </c>
      <c r="D849" s="706" t="s">
        <v>2704</v>
      </c>
      <c r="E849" s="706" t="s">
        <v>1143</v>
      </c>
      <c r="F849" s="706" t="s">
        <v>1152</v>
      </c>
      <c r="G849" s="706">
        <v>49221.14</v>
      </c>
      <c r="H849" s="706">
        <v>99180.14</v>
      </c>
      <c r="I849" s="706">
        <v>99432.5</v>
      </c>
      <c r="J849" s="706">
        <v>252596.73</v>
      </c>
      <c r="K849" s="706">
        <v>306500.73</v>
      </c>
      <c r="L849" s="706">
        <v>306500.73</v>
      </c>
      <c r="M849" s="706">
        <v>306500.73</v>
      </c>
      <c r="N849" s="706">
        <v>361915.73</v>
      </c>
      <c r="O849" s="706">
        <v>361915.73</v>
      </c>
      <c r="P849" s="706">
        <v>0</v>
      </c>
      <c r="Q849" s="706">
        <v>0</v>
      </c>
      <c r="R849" s="706">
        <v>0</v>
      </c>
      <c r="S849" s="706">
        <v>45239.47</v>
      </c>
      <c r="T849" s="706">
        <v>45239.47</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G62612</v>
      </c>
      <c r="AK849" s="905" t="str">
        <f t="shared" si="81"/>
        <v>COUT-BUICK ENVISION</v>
      </c>
      <c r="AL849" s="905">
        <f>IFERROR(INDEX(G849:R849,1,MATCH(Parametres!$B$3,G$1:R$1,0)-1)*IF(OR(F849="L",F849="S",F849="I"),-1,1),"")</f>
        <v>306500.73</v>
      </c>
      <c r="AM849" s="1047">
        <f t="shared" si="82"/>
        <v>55415</v>
      </c>
      <c r="AN849" s="905">
        <f>INDEX(G849:R849,1,MATCH(Parametres!$B$3,G$1:R$1,0))*IF(OR(F849="L",F849="S",F849="I"),-1,1)</f>
        <v>361915.73</v>
      </c>
      <c r="AO849" s="487" t="str">
        <f>+VLOOKUP($AJ849,Data_Validation!$A:$D,1,0)</f>
        <v>G62612</v>
      </c>
      <c r="AP849" s="487" t="str">
        <f>+VLOOKUP($AJ849,Data_Validation!$A:$D,3,0)</f>
        <v>Véhicules neufs</v>
      </c>
      <c r="AQ849" s="487" t="str">
        <f>+VLOOKUP($AJ849,Data_Validation!$A:$D,4,0)</f>
        <v>Camions détail</v>
      </c>
      <c r="AR849" s="487" t="s">
        <v>299</v>
      </c>
      <c r="AS849" s="487">
        <f>+VLOOKUP($AJ849,Data_Validation!$A:$E,5,0)</f>
        <v>0</v>
      </c>
      <c r="AT849" s="904" t="str">
        <f t="shared" si="83"/>
        <v>G62612</v>
      </c>
      <c r="AU849" s="488" t="str">
        <f t="shared" si="84"/>
        <v>COUT-BUICK ENVISION</v>
      </c>
      <c r="AV849" s="899">
        <f>IFERROR(INDEX(V849:AG849,1,MATCH(Parametres!$B$3,V$1:AG$1,0)-1)*IF(OR(C849="L",C849="S",C849="I"),-1,1),"")</f>
        <v>0</v>
      </c>
      <c r="AW849" s="899">
        <f t="shared" si="85"/>
        <v>0</v>
      </c>
      <c r="AX849" s="899">
        <f>INDEX(V849:AG849,1,MATCH(Parametres!$B$3,V$1:AG$1,0))*IF(OR(C849="L",C849="S",C849="I"),-1,1)</f>
        <v>0</v>
      </c>
      <c r="AY849" s="487" t="s">
        <v>337</v>
      </c>
      <c r="AZ849" s="487">
        <f>+VLOOKUP($AJ849,Data_Validation!$A:$E,5,0)</f>
        <v>0</v>
      </c>
    </row>
    <row r="850" spans="1:52" ht="15" customHeight="1">
      <c r="A850" s="706" t="s">
        <v>1148</v>
      </c>
      <c r="B850" s="706">
        <v>2026</v>
      </c>
      <c r="C850" s="706" t="s">
        <v>2705</v>
      </c>
      <c r="D850" s="706" t="s">
        <v>2706</v>
      </c>
      <c r="E850" s="706" t="s">
        <v>1143</v>
      </c>
      <c r="F850" s="706" t="s">
        <v>1152</v>
      </c>
      <c r="G850" s="706">
        <v>0</v>
      </c>
      <c r="H850" s="706">
        <v>0</v>
      </c>
      <c r="I850" s="706">
        <v>68540.09</v>
      </c>
      <c r="J850" s="706">
        <v>201546.09</v>
      </c>
      <c r="K850" s="706">
        <v>233592.09</v>
      </c>
      <c r="L850" s="706">
        <v>333834.21999999997</v>
      </c>
      <c r="M850" s="706">
        <v>368145.9</v>
      </c>
      <c r="N850" s="706">
        <v>368145.9</v>
      </c>
      <c r="O850" s="706">
        <v>400963.45</v>
      </c>
      <c r="P850" s="706">
        <v>0</v>
      </c>
      <c r="Q850" s="706">
        <v>0</v>
      </c>
      <c r="R850" s="706">
        <v>0</v>
      </c>
      <c r="S850" s="706">
        <v>46018.239999999998</v>
      </c>
      <c r="T850" s="706">
        <v>46018.239999999998</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G62613</v>
      </c>
      <c r="AK850" s="905" t="str">
        <f t="shared" si="81"/>
        <v>COUT-BUICK ENVISTA</v>
      </c>
      <c r="AL850" s="905">
        <f>IFERROR(INDEX(G850:R850,1,MATCH(Parametres!$B$3,G$1:R$1,0)-1)*IF(OR(F850="L",F850="S",F850="I"),-1,1),"")</f>
        <v>368145.9</v>
      </c>
      <c r="AM850" s="905">
        <f t="shared" si="82"/>
        <v>0</v>
      </c>
      <c r="AN850" s="905">
        <f>INDEX(G850:R850,1,MATCH(Parametres!$B$3,G$1:R$1,0))*IF(OR(F850="L",F850="S",F850="I"),-1,1)</f>
        <v>368145.9</v>
      </c>
      <c r="AO850" s="487" t="str">
        <f>+VLOOKUP($AJ850,Data_Validation!$A:$D,1,0)</f>
        <v>G62613</v>
      </c>
      <c r="AP850" s="487" t="str">
        <f>+VLOOKUP($AJ850,Data_Validation!$A:$D,3,0)</f>
        <v>Véhicules neufs</v>
      </c>
      <c r="AQ850" s="487" t="str">
        <f>+VLOOKUP($AJ850,Data_Validation!$A:$D,4,0)</f>
        <v>Camions détail</v>
      </c>
      <c r="AR850" s="487" t="s">
        <v>299</v>
      </c>
      <c r="AS850" s="487">
        <f>+VLOOKUP($AJ850,Data_Validation!$A:$E,5,0)</f>
        <v>0</v>
      </c>
      <c r="AT850" s="904" t="str">
        <f t="shared" si="83"/>
        <v>G62613</v>
      </c>
      <c r="AU850" s="488" t="str">
        <f t="shared" si="84"/>
        <v>COUT-BUICK ENVISTA</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customHeight="1">
      <c r="A851" s="706" t="s">
        <v>1148</v>
      </c>
      <c r="B851" s="706">
        <v>2026</v>
      </c>
      <c r="C851" s="706" t="s">
        <v>2707</v>
      </c>
      <c r="D851" s="706" t="s">
        <v>2708</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G62620</v>
      </c>
      <c r="AK851" s="905" t="str">
        <f t="shared" si="81"/>
        <v>COUT-SPICKUP/COLORADO-LOC</v>
      </c>
      <c r="AL851" s="905">
        <f>IFERROR(INDEX(G851:R851,1,MATCH(Parametres!$B$3,G$1:R$1,0)-1)*IF(OR(F851="L",F851="S",F851="I"),-1,1),"")</f>
        <v>0</v>
      </c>
      <c r="AM851" s="905">
        <f t="shared" si="82"/>
        <v>0</v>
      </c>
      <c r="AN851" s="905">
        <f>INDEX(G851:R851,1,MATCH(Parametres!$B$3,G$1:R$1,0))*IF(OR(F851="L",F851="S",F851="I"),-1,1)</f>
        <v>0</v>
      </c>
      <c r="AO851" s="487" t="e">
        <f>+VLOOKUP($AJ851,Data_Validation!$A:$D,1,0)</f>
        <v>#N/A</v>
      </c>
      <c r="AP851" s="487" t="e">
        <f>+VLOOKUP($AJ851,Data_Validation!$A:$D,3,0)</f>
        <v>#N/A</v>
      </c>
      <c r="AQ851" s="487" t="e">
        <f>+VLOOKUP($AJ851,Data_Validation!$A:$D,4,0)</f>
        <v>#N/A</v>
      </c>
      <c r="AR851" s="487" t="s">
        <v>299</v>
      </c>
      <c r="AS851" s="487" t="e">
        <f>+VLOOKUP($AJ851,Data_Validation!$A:$E,5,0)</f>
        <v>#N/A</v>
      </c>
      <c r="AT851" s="904" t="str">
        <f t="shared" si="83"/>
        <v>G62620</v>
      </c>
      <c r="AU851" s="488" t="str">
        <f t="shared" si="84"/>
        <v>COUT-SPICKUP/COLORADO-LOC</v>
      </c>
      <c r="AV851" s="899">
        <f>IFERROR(INDEX(V851:AG851,1,MATCH(Parametres!$B$3,V$1:AG$1,0)-1)*IF(OR(C851="L",C851="S",C851="I"),-1,1),"")</f>
        <v>0</v>
      </c>
      <c r="AW851" s="899">
        <f t="shared" si="85"/>
        <v>0</v>
      </c>
      <c r="AX851" s="899">
        <f>INDEX(V851:AG851,1,MATCH(Parametres!$B$3,V$1:AG$1,0))*IF(OR(C851="L",C851="S",C851="I"),-1,1)</f>
        <v>0</v>
      </c>
      <c r="AY851" s="487" t="s">
        <v>337</v>
      </c>
      <c r="AZ851" s="487" t="e">
        <f>+VLOOKUP($AJ851,Data_Validation!$A:$E,5,0)</f>
        <v>#N/A</v>
      </c>
    </row>
    <row r="852" spans="1:52" ht="15" customHeight="1">
      <c r="A852" s="706" t="s">
        <v>1148</v>
      </c>
      <c r="B852" s="706">
        <v>2026</v>
      </c>
      <c r="C852" s="706" t="s">
        <v>2709</v>
      </c>
      <c r="D852" s="706" t="s">
        <v>2710</v>
      </c>
      <c r="E852" s="706" t="s">
        <v>1143</v>
      </c>
      <c r="F852" s="706" t="s">
        <v>1152</v>
      </c>
      <c r="G852" s="706">
        <v>59099.95</v>
      </c>
      <c r="H852" s="706">
        <v>116082.85</v>
      </c>
      <c r="I852" s="706">
        <v>116082.85</v>
      </c>
      <c r="J852" s="706">
        <v>175743.94</v>
      </c>
      <c r="K852" s="706">
        <v>243964.63</v>
      </c>
      <c r="L852" s="706">
        <v>300223.63</v>
      </c>
      <c r="M852" s="706">
        <v>496266.72</v>
      </c>
      <c r="N852" s="706">
        <v>496266.72</v>
      </c>
      <c r="O852" s="706">
        <v>551787.56000000006</v>
      </c>
      <c r="P852" s="706">
        <v>0</v>
      </c>
      <c r="Q852" s="706">
        <v>0</v>
      </c>
      <c r="R852" s="706">
        <v>0</v>
      </c>
      <c r="S852" s="706">
        <v>62033.34</v>
      </c>
      <c r="T852" s="706">
        <v>62033.34</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G62700</v>
      </c>
      <c r="AK852" s="905" t="str">
        <f t="shared" si="81"/>
        <v>COUT-TRAVERSE</v>
      </c>
      <c r="AL852" s="905">
        <f>IFERROR(INDEX(G852:R852,1,MATCH(Parametres!$B$3,G$1:R$1,0)-1)*IF(OR(F852="L",F852="S",F852="I"),-1,1),"")</f>
        <v>496266.72</v>
      </c>
      <c r="AM852" s="905">
        <f t="shared" si="82"/>
        <v>0</v>
      </c>
      <c r="AN852" s="905">
        <f>INDEX(G852:R852,1,MATCH(Parametres!$B$3,G$1:R$1,0))*IF(OR(F852="L",F852="S",F852="I"),-1,1)</f>
        <v>496266.72</v>
      </c>
      <c r="AO852" s="487" t="str">
        <f>+VLOOKUP($AJ852,Data_Validation!$A:$D,1,0)</f>
        <v>G62700</v>
      </c>
      <c r="AP852" s="487" t="str">
        <f>+VLOOKUP($AJ852,Data_Validation!$A:$D,3,0)</f>
        <v>Véhicules neufs</v>
      </c>
      <c r="AQ852" s="487" t="str">
        <f>+VLOOKUP($AJ852,Data_Validation!$A:$D,4,0)</f>
        <v>Camions détail</v>
      </c>
      <c r="AR852" s="487" t="s">
        <v>299</v>
      </c>
      <c r="AS852" s="487">
        <f>+VLOOKUP($AJ852,Data_Validation!$A:$E,5,0)</f>
        <v>0</v>
      </c>
      <c r="AT852" s="904" t="str">
        <f t="shared" si="83"/>
        <v>G62700</v>
      </c>
      <c r="AU852" s="488" t="str">
        <f t="shared" si="84"/>
        <v>COUT-TRAVERSE</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customHeight="1">
      <c r="A853" s="706" t="s">
        <v>1148</v>
      </c>
      <c r="B853" s="706">
        <v>2026</v>
      </c>
      <c r="C853" s="706" t="s">
        <v>2711</v>
      </c>
      <c r="D853" s="706" t="s">
        <v>2712</v>
      </c>
      <c r="E853" s="706" t="s">
        <v>1143</v>
      </c>
      <c r="F853" s="706" t="s">
        <v>1152</v>
      </c>
      <c r="G853" s="706">
        <v>0</v>
      </c>
      <c r="H853" s="706">
        <v>0</v>
      </c>
      <c r="I853" s="706">
        <v>0</v>
      </c>
      <c r="J853" s="706">
        <v>75348.5</v>
      </c>
      <c r="K853" s="706">
        <v>138372.42000000001</v>
      </c>
      <c r="L853" s="706">
        <v>138372.42000000001</v>
      </c>
      <c r="M853" s="706">
        <v>138372.42000000001</v>
      </c>
      <c r="N853" s="706">
        <v>138372.42000000001</v>
      </c>
      <c r="O853" s="706">
        <v>138372.42000000001</v>
      </c>
      <c r="P853" s="706">
        <v>0</v>
      </c>
      <c r="Q853" s="706">
        <v>0</v>
      </c>
      <c r="R853" s="706">
        <v>0</v>
      </c>
      <c r="S853" s="706">
        <v>17296.55</v>
      </c>
      <c r="T853" s="706">
        <v>17296.55</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G62800</v>
      </c>
      <c r="AK853" s="905" t="str">
        <f t="shared" si="81"/>
        <v>COÛTANT BUICK ENCLAVE</v>
      </c>
      <c r="AL853" s="905">
        <f>IFERROR(INDEX(G853:R853,1,MATCH(Parametres!$B$3,G$1:R$1,0)-1)*IF(OR(F853="L",F853="S",F853="I"),-1,1),"")</f>
        <v>138372.42000000001</v>
      </c>
      <c r="AM853" s="1047">
        <f t="shared" si="82"/>
        <v>0</v>
      </c>
      <c r="AN853" s="905">
        <f>INDEX(G853:R853,1,MATCH(Parametres!$B$3,G$1:R$1,0))*IF(OR(F853="L",F853="S",F853="I"),-1,1)</f>
        <v>138372.42000000001</v>
      </c>
      <c r="AO853" s="487" t="str">
        <f>+VLOOKUP($AJ853,Data_Validation!$A:$D,1,0)</f>
        <v>G62800</v>
      </c>
      <c r="AP853" s="487" t="str">
        <f>+VLOOKUP($AJ853,Data_Validation!$A:$D,3,0)</f>
        <v>Véhicules neufs</v>
      </c>
      <c r="AQ853" s="487" t="str">
        <f>+VLOOKUP($AJ853,Data_Validation!$A:$D,4,0)</f>
        <v>Camions détail</v>
      </c>
      <c r="AR853" s="487" t="s">
        <v>299</v>
      </c>
      <c r="AS853" s="487">
        <f>+VLOOKUP($AJ853,Data_Validation!$A:$E,5,0)</f>
        <v>0</v>
      </c>
      <c r="AT853" s="904" t="str">
        <f t="shared" si="83"/>
        <v>G62800</v>
      </c>
      <c r="AU853" s="488" t="str">
        <f t="shared" si="84"/>
        <v>COÛTANT BUICK ENCLAVE</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customHeight="1">
      <c r="A854" s="706" t="s">
        <v>1148</v>
      </c>
      <c r="B854" s="706">
        <v>2026</v>
      </c>
      <c r="C854" s="706" t="s">
        <v>2713</v>
      </c>
      <c r="D854" s="706" t="s">
        <v>2714</v>
      </c>
      <c r="E854" s="706" t="s">
        <v>1143</v>
      </c>
      <c r="F854" s="706" t="s">
        <v>1152</v>
      </c>
      <c r="G854" s="706">
        <v>39100.9</v>
      </c>
      <c r="H854" s="706">
        <v>73216.850000000006</v>
      </c>
      <c r="I854" s="706">
        <v>73216.850000000006</v>
      </c>
      <c r="J854" s="706">
        <v>111303.69</v>
      </c>
      <c r="K854" s="706">
        <v>111303.69</v>
      </c>
      <c r="L854" s="706">
        <v>183089.15</v>
      </c>
      <c r="M854" s="706">
        <v>183089.15</v>
      </c>
      <c r="N854" s="706">
        <v>219797.95</v>
      </c>
      <c r="O854" s="706">
        <v>292239</v>
      </c>
      <c r="P854" s="706">
        <v>0</v>
      </c>
      <c r="Q854" s="706">
        <v>0</v>
      </c>
      <c r="R854" s="706">
        <v>0</v>
      </c>
      <c r="S854" s="706">
        <v>27474.74</v>
      </c>
      <c r="T854" s="706">
        <v>27474.74</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G62804</v>
      </c>
      <c r="AK854" s="905" t="str">
        <f t="shared" si="81"/>
        <v>COUT BUICK ENCORE</v>
      </c>
      <c r="AL854" s="905">
        <f>IFERROR(INDEX(G854:R854,1,MATCH(Parametres!$B$3,G$1:R$1,0)-1)*IF(OR(F854="L",F854="S",F854="I"),-1,1),"")</f>
        <v>183089.15</v>
      </c>
      <c r="AM854" s="905">
        <f t="shared" si="82"/>
        <v>36708.800000000017</v>
      </c>
      <c r="AN854" s="905">
        <f>INDEX(G854:R854,1,MATCH(Parametres!$B$3,G$1:R$1,0))*IF(OR(F854="L",F854="S",F854="I"),-1,1)</f>
        <v>219797.95</v>
      </c>
      <c r="AO854" s="487" t="str">
        <f>+VLOOKUP($AJ854,Data_Validation!$A:$D,1,0)</f>
        <v>G62804</v>
      </c>
      <c r="AP854" s="487" t="str">
        <f>+VLOOKUP($AJ854,Data_Validation!$A:$D,3,0)</f>
        <v>Véhicules neufs</v>
      </c>
      <c r="AQ854" s="487" t="str">
        <f>+VLOOKUP($AJ854,Data_Validation!$A:$D,4,0)</f>
        <v>Camions détail</v>
      </c>
      <c r="AR854" s="487" t="s">
        <v>299</v>
      </c>
      <c r="AS854" s="487">
        <f>+VLOOKUP($AJ854,Data_Validation!$A:$E,5,0)</f>
        <v>0</v>
      </c>
      <c r="AT854" s="904" t="str">
        <f t="shared" si="83"/>
        <v>G62804</v>
      </c>
      <c r="AU854" s="488" t="str">
        <f t="shared" si="84"/>
        <v>COUT BUICK ENCORE</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2715</v>
      </c>
      <c r="D855" s="706" t="s">
        <v>2716</v>
      </c>
      <c r="E855" s="706" t="s">
        <v>1143</v>
      </c>
      <c r="F855" s="706" t="s">
        <v>1152</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G62820</v>
      </c>
      <c r="AK855" s="905" t="str">
        <f t="shared" si="81"/>
        <v>COUT-TRAIL BALZER    -LOC</v>
      </c>
      <c r="AL855" s="905">
        <f>IFERROR(INDEX(G855:R855,1,MATCH(Parametres!$B$3,G$1:R$1,0)-1)*IF(OR(F855="L",F855="S",F855="I"),-1,1),"")</f>
        <v>0</v>
      </c>
      <c r="AM855" s="905">
        <f t="shared" si="82"/>
        <v>0</v>
      </c>
      <c r="AN855" s="905">
        <f>INDEX(G855:R855,1,MATCH(Parametres!$B$3,G$1:R$1,0))*IF(OR(F855="L",F855="S",F855="I"),-1,1)</f>
        <v>0</v>
      </c>
      <c r="AO855" s="487" t="e">
        <f>+VLOOKUP($AJ855,Data_Validation!$A:$D,1,0)</f>
        <v>#N/A</v>
      </c>
      <c r="AP855" s="487" t="e">
        <f>+VLOOKUP($AJ855,Data_Validation!$A:$D,3,0)</f>
        <v>#N/A</v>
      </c>
      <c r="AQ855" s="487" t="e">
        <f>+VLOOKUP($AJ855,Data_Validation!$A:$D,4,0)</f>
        <v>#N/A</v>
      </c>
      <c r="AR855" s="487" t="s">
        <v>299</v>
      </c>
      <c r="AS855" s="487" t="e">
        <f>+VLOOKUP($AJ855,Data_Validation!$A:$E,5,0)</f>
        <v>#N/A</v>
      </c>
      <c r="AT855" s="904" t="str">
        <f t="shared" si="83"/>
        <v>G62820</v>
      </c>
      <c r="AU855" s="488" t="str">
        <f t="shared" si="84"/>
        <v>COUT-TRAIL BALZER    -LOC</v>
      </c>
      <c r="AV855" s="899">
        <f>IFERROR(INDEX(V855:AG855,1,MATCH(Parametres!$B$3,V$1:AG$1,0)-1)*IF(OR(C855="L",C855="S",C855="I"),-1,1),"")</f>
        <v>0</v>
      </c>
      <c r="AW855" s="899">
        <f t="shared" si="85"/>
        <v>0</v>
      </c>
      <c r="AX855" s="899">
        <f>INDEX(V855:AG855,1,MATCH(Parametres!$B$3,V$1:AG$1,0))*IF(OR(C855="L",C855="S",C855="I"),-1,1)</f>
        <v>0</v>
      </c>
      <c r="AY855" s="487" t="s">
        <v>337</v>
      </c>
      <c r="AZ855" s="487" t="e">
        <f>+VLOOKUP($AJ855,Data_Validation!$A:$E,5,0)</f>
        <v>#N/A</v>
      </c>
    </row>
    <row r="856" spans="1:52" ht="15" customHeight="1">
      <c r="A856" s="706" t="s">
        <v>1148</v>
      </c>
      <c r="B856" s="706">
        <v>2026</v>
      </c>
      <c r="C856" s="706" t="s">
        <v>2717</v>
      </c>
      <c r="D856" s="706" t="s">
        <v>2718</v>
      </c>
      <c r="E856" s="706" t="s">
        <v>1143</v>
      </c>
      <c r="F856" s="706" t="s">
        <v>1152</v>
      </c>
      <c r="G856" s="706">
        <v>163604.79999999999</v>
      </c>
      <c r="H856" s="706">
        <v>254067.85</v>
      </c>
      <c r="I856" s="706">
        <v>348128.49</v>
      </c>
      <c r="J856" s="706">
        <v>469050.88</v>
      </c>
      <c r="K856" s="706">
        <v>533516.16</v>
      </c>
      <c r="L856" s="706">
        <v>562547.81000000006</v>
      </c>
      <c r="M856" s="706">
        <v>715139.27</v>
      </c>
      <c r="N856" s="706">
        <v>799710.65</v>
      </c>
      <c r="O856" s="706">
        <v>864422.6</v>
      </c>
      <c r="P856" s="706">
        <v>0</v>
      </c>
      <c r="Q856" s="706">
        <v>0</v>
      </c>
      <c r="R856" s="706">
        <v>0</v>
      </c>
      <c r="S856" s="706">
        <v>99963.83</v>
      </c>
      <c r="T856" s="706">
        <v>99963.83</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G62850</v>
      </c>
      <c r="AK856" s="905" t="str">
        <f t="shared" ref="AK856:AK919" si="87">D856</f>
        <v>COUTANT CHEVROLET TRAX</v>
      </c>
      <c r="AL856" s="905">
        <f>IFERROR(INDEX(G856:R856,1,MATCH(Parametres!$B$3,G$1:R$1,0)-1)*IF(OR(F856="L",F856="S",F856="I"),-1,1),"")</f>
        <v>715139.27</v>
      </c>
      <c r="AM856" s="905">
        <f t="shared" ref="AM856:AM919" si="88">AN856-AL856</f>
        <v>84571.38</v>
      </c>
      <c r="AN856" s="905">
        <f>INDEX(G856:R856,1,MATCH(Parametres!$B$3,G$1:R$1,0))*IF(OR(F856="L",F856="S",F856="I"),-1,1)</f>
        <v>799710.65</v>
      </c>
      <c r="AO856" s="487" t="str">
        <f>+VLOOKUP($AJ856,Data_Validation!$A:$D,1,0)</f>
        <v>G62850</v>
      </c>
      <c r="AP856" s="487" t="str">
        <f>+VLOOKUP($AJ856,Data_Validation!$A:$D,3,0)</f>
        <v>Véhicules neufs</v>
      </c>
      <c r="AQ856" s="487" t="str">
        <f>+VLOOKUP($AJ856,Data_Validation!$A:$D,4,0)</f>
        <v>Camions détail</v>
      </c>
      <c r="AR856" s="487" t="s">
        <v>299</v>
      </c>
      <c r="AS856" s="487">
        <f>+VLOOKUP($AJ856,Data_Validation!$A:$E,5,0)</f>
        <v>0</v>
      </c>
      <c r="AT856" s="904" t="str">
        <f t="shared" ref="AT856:AT919" si="89">C856</f>
        <v>G62850</v>
      </c>
      <c r="AU856" s="488" t="str">
        <f t="shared" ref="AU856:AU919" si="90">D856</f>
        <v>COUTANT CHEVROLET TRAX</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customHeight="1">
      <c r="A857" s="706" t="s">
        <v>1148</v>
      </c>
      <c r="B857" s="706">
        <v>2026</v>
      </c>
      <c r="C857" s="706" t="s">
        <v>2719</v>
      </c>
      <c r="D857" s="706" t="s">
        <v>2720</v>
      </c>
      <c r="E857" s="706" t="s">
        <v>1143</v>
      </c>
      <c r="F857" s="706" t="s">
        <v>1152</v>
      </c>
      <c r="G857" s="706">
        <v>275883.74</v>
      </c>
      <c r="H857" s="706">
        <v>367937.75</v>
      </c>
      <c r="I857" s="706">
        <v>626758.68000000005</v>
      </c>
      <c r="J857" s="706">
        <v>626758.68000000005</v>
      </c>
      <c r="K857" s="706">
        <v>693368.68</v>
      </c>
      <c r="L857" s="706">
        <v>874729.5</v>
      </c>
      <c r="M857" s="706">
        <v>874729.5</v>
      </c>
      <c r="N857" s="706">
        <v>968535.95</v>
      </c>
      <c r="O857" s="706">
        <v>968535.95</v>
      </c>
      <c r="P857" s="706">
        <v>0</v>
      </c>
      <c r="Q857" s="706">
        <v>0</v>
      </c>
      <c r="R857" s="706">
        <v>0</v>
      </c>
      <c r="S857" s="706">
        <v>121066.99</v>
      </c>
      <c r="T857" s="706">
        <v>121066.99</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G62900</v>
      </c>
      <c r="AK857" s="905" t="str">
        <f t="shared" si="87"/>
        <v>COUT-TAHOE/SUBURBAN</v>
      </c>
      <c r="AL857" s="905">
        <f>IFERROR(INDEX(G857:R857,1,MATCH(Parametres!$B$3,G$1:R$1,0)-1)*IF(OR(F857="L",F857="S",F857="I"),-1,1),"")</f>
        <v>874729.5</v>
      </c>
      <c r="AM857" s="905">
        <f t="shared" si="88"/>
        <v>93806.449999999953</v>
      </c>
      <c r="AN857" s="905">
        <f>INDEX(G857:R857,1,MATCH(Parametres!$B$3,G$1:R$1,0))*IF(OR(F857="L",F857="S",F857="I"),-1,1)</f>
        <v>968535.95</v>
      </c>
      <c r="AO857" s="487" t="str">
        <f>+VLOOKUP($AJ857,Data_Validation!$A:$D,1,0)</f>
        <v>G62900</v>
      </c>
      <c r="AP857" s="487" t="str">
        <f>+VLOOKUP($AJ857,Data_Validation!$A:$D,3,0)</f>
        <v>Véhicules neufs</v>
      </c>
      <c r="AQ857" s="487" t="str">
        <f>+VLOOKUP($AJ857,Data_Validation!$A:$D,4,0)</f>
        <v>Camions détail</v>
      </c>
      <c r="AR857" s="487" t="s">
        <v>299</v>
      </c>
      <c r="AS857" s="487">
        <f>+VLOOKUP($AJ857,Data_Validation!$A:$E,5,0)</f>
        <v>0</v>
      </c>
      <c r="AT857" s="904" t="str">
        <f t="shared" si="89"/>
        <v>G62900</v>
      </c>
      <c r="AU857" s="488" t="str">
        <f t="shared" si="90"/>
        <v>COUT-TAHOE/SUBURBAN</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customHeight="1">
      <c r="A858" s="706" t="s">
        <v>1148</v>
      </c>
      <c r="B858" s="706">
        <v>2026</v>
      </c>
      <c r="C858" s="706" t="s">
        <v>2721</v>
      </c>
      <c r="D858" s="706" t="s">
        <v>2722</v>
      </c>
      <c r="E858" s="706" t="s">
        <v>1143</v>
      </c>
      <c r="F858" s="706" t="s">
        <v>1152</v>
      </c>
      <c r="G858" s="706">
        <v>278797.93</v>
      </c>
      <c r="H858" s="706">
        <v>563208.92000000004</v>
      </c>
      <c r="I858" s="706">
        <v>1033013.62</v>
      </c>
      <c r="J858" s="706">
        <v>1319349.4099999999</v>
      </c>
      <c r="K858" s="706">
        <v>1763629.82</v>
      </c>
      <c r="L858" s="706">
        <v>2289254.42</v>
      </c>
      <c r="M858" s="706">
        <v>2579710.81</v>
      </c>
      <c r="N858" s="706">
        <v>2714563.83</v>
      </c>
      <c r="O858" s="706">
        <v>2945425.94</v>
      </c>
      <c r="P858" s="706">
        <v>0</v>
      </c>
      <c r="Q858" s="706">
        <v>0</v>
      </c>
      <c r="R858" s="706">
        <v>0</v>
      </c>
      <c r="S858" s="706">
        <v>339320.48</v>
      </c>
      <c r="T858" s="706">
        <v>339320.48</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G63000</v>
      </c>
      <c r="AK858" s="905" t="str">
        <f t="shared" si="87"/>
        <v>COUT-CL 1500 SILVERADO</v>
      </c>
      <c r="AL858" s="905">
        <f>IFERROR(INDEX(G858:R858,1,MATCH(Parametres!$B$3,G$1:R$1,0)-1)*IF(OR(F858="L",F858="S",F858="I"),-1,1),"")</f>
        <v>2579710.81</v>
      </c>
      <c r="AM858" s="905">
        <f t="shared" si="88"/>
        <v>134853.02000000002</v>
      </c>
      <c r="AN858" s="905">
        <f>INDEX(G858:R858,1,MATCH(Parametres!$B$3,G$1:R$1,0))*IF(OR(F858="L",F858="S",F858="I"),-1,1)</f>
        <v>2714563.83</v>
      </c>
      <c r="AO858" s="487" t="str">
        <f>+VLOOKUP($AJ858,Data_Validation!$A:$D,1,0)</f>
        <v>G63000</v>
      </c>
      <c r="AP858" s="487" t="str">
        <f>+VLOOKUP($AJ858,Data_Validation!$A:$D,3,0)</f>
        <v>Véhicules neufs</v>
      </c>
      <c r="AQ858" s="487" t="str">
        <f>+VLOOKUP($AJ858,Data_Validation!$A:$D,4,0)</f>
        <v>Camions détail</v>
      </c>
      <c r="AR858" s="487" t="s">
        <v>299</v>
      </c>
      <c r="AS858" s="487">
        <f>+VLOOKUP($AJ858,Data_Validation!$A:$E,5,0)</f>
        <v>0</v>
      </c>
      <c r="AT858" s="904" t="str">
        <f t="shared" si="89"/>
        <v>G63000</v>
      </c>
      <c r="AU858" s="488" t="str">
        <f t="shared" si="90"/>
        <v>COUT-CL 1500 SILVERADO</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customHeight="1">
      <c r="A859" s="706" t="s">
        <v>1148</v>
      </c>
      <c r="B859" s="706">
        <v>2026</v>
      </c>
      <c r="C859" s="706" t="s">
        <v>2723</v>
      </c>
      <c r="D859" s="706" t="s">
        <v>2724</v>
      </c>
      <c r="E859" s="706" t="s">
        <v>1143</v>
      </c>
      <c r="F859" s="706" t="s">
        <v>1152</v>
      </c>
      <c r="G859" s="706">
        <v>0</v>
      </c>
      <c r="H859" s="706">
        <v>0</v>
      </c>
      <c r="I859" s="706">
        <v>0</v>
      </c>
      <c r="J859" s="706">
        <v>216195.74</v>
      </c>
      <c r="K859" s="706">
        <v>216195.74</v>
      </c>
      <c r="L859" s="706">
        <v>216195.74</v>
      </c>
      <c r="M859" s="706">
        <v>324367.78999999998</v>
      </c>
      <c r="N859" s="706">
        <v>324367.78999999998</v>
      </c>
      <c r="O859" s="706">
        <v>415400.39</v>
      </c>
      <c r="P859" s="706">
        <v>0</v>
      </c>
      <c r="Q859" s="706">
        <v>0</v>
      </c>
      <c r="R859" s="706">
        <v>0</v>
      </c>
      <c r="S859" s="706">
        <v>40545.97</v>
      </c>
      <c r="T859" s="706">
        <v>40545.97</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G63001</v>
      </c>
      <c r="AK859" s="905" t="str">
        <f t="shared" si="87"/>
        <v>COUT - SILVERADO EV</v>
      </c>
      <c r="AL859" s="905">
        <f>IFERROR(INDEX(G859:R859,1,MATCH(Parametres!$B$3,G$1:R$1,0)-1)*IF(OR(F859="L",F859="S",F859="I"),-1,1),"")</f>
        <v>324367.78999999998</v>
      </c>
      <c r="AM859" s="905">
        <f t="shared" si="88"/>
        <v>0</v>
      </c>
      <c r="AN859" s="905">
        <f>INDEX(G859:R859,1,MATCH(Parametres!$B$3,G$1:R$1,0))*IF(OR(F859="L",F859="S",F859="I"),-1,1)</f>
        <v>324367.78999999998</v>
      </c>
      <c r="AO859" s="487" t="str">
        <f>+VLOOKUP($AJ859,Data_Validation!$A:$D,1,0)</f>
        <v>G63001</v>
      </c>
      <c r="AP859" s="487" t="str">
        <f>+VLOOKUP($AJ859,Data_Validation!$A:$D,3,0)</f>
        <v>Véhicules neufs</v>
      </c>
      <c r="AQ859" s="487" t="str">
        <f>+VLOOKUP($AJ859,Data_Validation!$A:$D,4,0)</f>
        <v>Camions electriques</v>
      </c>
      <c r="AR859" s="487" t="s">
        <v>299</v>
      </c>
      <c r="AS859" s="487">
        <f>+VLOOKUP($AJ859,Data_Validation!$A:$E,5,0)</f>
        <v>0</v>
      </c>
      <c r="AT859" s="904" t="str">
        <f t="shared" si="89"/>
        <v>G63001</v>
      </c>
      <c r="AU859" s="488" t="str">
        <f t="shared" si="90"/>
        <v>COUT - SILVERADO EV</v>
      </c>
      <c r="AV859" s="899">
        <f>IFERROR(INDEX(V859:AG859,1,MATCH(Parametres!$B$3,V$1:AG$1,0)-1)*IF(OR(C859="L",C859="S",C859="I"),-1,1),"")</f>
        <v>0</v>
      </c>
      <c r="AW859" s="899">
        <f t="shared" si="91"/>
        <v>0</v>
      </c>
      <c r="AX859" s="899">
        <f>INDEX(V859:AG859,1,MATCH(Parametres!$B$3,V$1:AG$1,0))*IF(OR(C859="L",C859="S",C859="I"),-1,1)</f>
        <v>0</v>
      </c>
      <c r="AY859" s="487" t="s">
        <v>337</v>
      </c>
      <c r="AZ859" s="487">
        <f>+VLOOKUP($AJ859,Data_Validation!$A:$E,5,0)</f>
        <v>0</v>
      </c>
    </row>
    <row r="860" spans="1:52" ht="15" customHeight="1">
      <c r="A860" s="706" t="s">
        <v>1148</v>
      </c>
      <c r="B860" s="706">
        <v>2026</v>
      </c>
      <c r="C860" s="706" t="s">
        <v>2725</v>
      </c>
      <c r="D860" s="706" t="s">
        <v>2726</v>
      </c>
      <c r="E860" s="706" t="s">
        <v>1143</v>
      </c>
      <c r="F860" s="706" t="s">
        <v>1152</v>
      </c>
      <c r="G860" s="706">
        <v>92749.89</v>
      </c>
      <c r="H860" s="706">
        <v>396129</v>
      </c>
      <c r="I860" s="706">
        <v>728145.5</v>
      </c>
      <c r="J860" s="706">
        <v>728145.5</v>
      </c>
      <c r="K860" s="706">
        <v>960653.88</v>
      </c>
      <c r="L860" s="706">
        <v>1371355.67</v>
      </c>
      <c r="M860" s="706">
        <v>1620159.3</v>
      </c>
      <c r="N860" s="706">
        <v>1711026.72</v>
      </c>
      <c r="O860" s="706">
        <v>1825292.73</v>
      </c>
      <c r="P860" s="706">
        <v>0</v>
      </c>
      <c r="Q860" s="706">
        <v>0</v>
      </c>
      <c r="R860" s="706">
        <v>0</v>
      </c>
      <c r="S860" s="706">
        <v>213878.34</v>
      </c>
      <c r="T860" s="706">
        <v>213878.34</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G63002</v>
      </c>
      <c r="AK860" s="905" t="str">
        <f t="shared" si="87"/>
        <v>COUT - YUKON</v>
      </c>
      <c r="AL860" s="905">
        <f>IFERROR(INDEX(G860:R860,1,MATCH(Parametres!$B$3,G$1:R$1,0)-1)*IF(OR(F860="L",F860="S",F860="I"),-1,1),"")</f>
        <v>1620159.3</v>
      </c>
      <c r="AM860" s="905">
        <f t="shared" si="88"/>
        <v>90867.419999999925</v>
      </c>
      <c r="AN860" s="905">
        <f>INDEX(G860:R860,1,MATCH(Parametres!$B$3,G$1:R$1,0))*IF(OR(F860="L",F860="S",F860="I"),-1,1)</f>
        <v>1711026.72</v>
      </c>
      <c r="AO860" s="487" t="str">
        <f>+VLOOKUP($AJ860,Data_Validation!$A:$D,1,0)</f>
        <v>G63002</v>
      </c>
      <c r="AP860" s="487" t="str">
        <f>+VLOOKUP($AJ860,Data_Validation!$A:$D,3,0)</f>
        <v>Véhicules neufs</v>
      </c>
      <c r="AQ860" s="487" t="str">
        <f>+VLOOKUP($AJ860,Data_Validation!$A:$D,4,0)</f>
        <v>Camions détail</v>
      </c>
      <c r="AR860" s="487" t="s">
        <v>299</v>
      </c>
      <c r="AS860" s="487">
        <f>+VLOOKUP($AJ860,Data_Validation!$A:$E,5,0)</f>
        <v>0</v>
      </c>
      <c r="AT860" s="904" t="str">
        <f t="shared" si="89"/>
        <v>G63002</v>
      </c>
      <c r="AU860" s="488" t="str">
        <f t="shared" si="90"/>
        <v>COUT - YUKON</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customHeight="1">
      <c r="A861" s="706" t="s">
        <v>1148</v>
      </c>
      <c r="B861" s="706">
        <v>2026</v>
      </c>
      <c r="C861" s="706" t="s">
        <v>2727</v>
      </c>
      <c r="D861" s="706" t="s">
        <v>2728</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G63020</v>
      </c>
      <c r="AK861" s="905" t="str">
        <f t="shared" si="87"/>
        <v>COUT-CL 1500 SILVERAD-LOC</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G63020</v>
      </c>
      <c r="AU861" s="488" t="str">
        <f t="shared" si="90"/>
        <v>COUT-CL 1500 SILVERAD-LOC</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customHeight="1">
      <c r="A862" s="706" t="s">
        <v>1148</v>
      </c>
      <c r="B862" s="706">
        <v>2026</v>
      </c>
      <c r="C862" s="706" t="s">
        <v>2729</v>
      </c>
      <c r="D862" s="706" t="s">
        <v>2730</v>
      </c>
      <c r="E862" s="706" t="s">
        <v>1143</v>
      </c>
      <c r="F862" s="706" t="s">
        <v>1152</v>
      </c>
      <c r="G862" s="706">
        <v>95881.95</v>
      </c>
      <c r="H862" s="706">
        <v>284200.96999999997</v>
      </c>
      <c r="I862" s="706">
        <v>667588.17000000004</v>
      </c>
      <c r="J862" s="706">
        <v>667588.17000000004</v>
      </c>
      <c r="K862" s="706">
        <v>763930.31</v>
      </c>
      <c r="L862" s="706">
        <v>865397.4</v>
      </c>
      <c r="M862" s="706">
        <v>943864.51</v>
      </c>
      <c r="N862" s="706">
        <v>1138555.77</v>
      </c>
      <c r="O862" s="706">
        <v>1138555.77</v>
      </c>
      <c r="P862" s="706">
        <v>0</v>
      </c>
      <c r="Q862" s="706">
        <v>0</v>
      </c>
      <c r="R862" s="706">
        <v>0</v>
      </c>
      <c r="S862" s="706">
        <v>142319.47</v>
      </c>
      <c r="T862" s="706">
        <v>142319.47</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G63100</v>
      </c>
      <c r="AK862" s="905" t="str">
        <f t="shared" si="87"/>
        <v>COUT-CL 2500 SILVERADO</v>
      </c>
      <c r="AL862" s="905">
        <f>IFERROR(INDEX(G862:R862,1,MATCH(Parametres!$B$3,G$1:R$1,0)-1)*IF(OR(F862="L",F862="S",F862="I"),-1,1),"")</f>
        <v>943864.51</v>
      </c>
      <c r="AM862" s="905">
        <f t="shared" si="88"/>
        <v>194691.26</v>
      </c>
      <c r="AN862" s="905">
        <f>INDEX(G862:R862,1,MATCH(Parametres!$B$3,G$1:R$1,0))*IF(OR(F862="L",F862="S",F862="I"),-1,1)</f>
        <v>1138555.77</v>
      </c>
      <c r="AO862" s="487" t="str">
        <f>+VLOOKUP($AJ862,Data_Validation!$A:$D,1,0)</f>
        <v>G63100</v>
      </c>
      <c r="AP862" s="487" t="str">
        <f>+VLOOKUP($AJ862,Data_Validation!$A:$D,3,0)</f>
        <v>Véhicules neufs</v>
      </c>
      <c r="AQ862" s="487" t="str">
        <f>+VLOOKUP($AJ862,Data_Validation!$A:$D,4,0)</f>
        <v>Camions détail</v>
      </c>
      <c r="AR862" s="487" t="s">
        <v>299</v>
      </c>
      <c r="AS862" s="487">
        <f>+VLOOKUP($AJ862,Data_Validation!$A:$E,5,0)</f>
        <v>0</v>
      </c>
      <c r="AT862" s="904" t="str">
        <f t="shared" si="89"/>
        <v>G63100</v>
      </c>
      <c r="AU862" s="488" t="str">
        <f t="shared" si="90"/>
        <v>COUT-CL 2500 SILVERADO</v>
      </c>
      <c r="AV862" s="899">
        <f>IFERROR(INDEX(V862:AG862,1,MATCH(Parametres!$B$3,V$1:AG$1,0)-1)*IF(OR(C862="L",C862="S",C862="I"),-1,1),"")</f>
        <v>0</v>
      </c>
      <c r="AW862" s="899">
        <f t="shared" si="91"/>
        <v>0</v>
      </c>
      <c r="AX862" s="899">
        <f>INDEX(V862:AG862,1,MATCH(Parametres!$B$3,V$1:AG$1,0))*IF(OR(C862="L",C862="S",C862="I"),-1,1)</f>
        <v>0</v>
      </c>
      <c r="AY862" s="487" t="s">
        <v>337</v>
      </c>
      <c r="AZ862" s="487">
        <f>+VLOOKUP($AJ862,Data_Validation!$A:$E,5,0)</f>
        <v>0</v>
      </c>
    </row>
    <row r="863" spans="1:52" ht="15" customHeight="1">
      <c r="A863" s="706" t="s">
        <v>1148</v>
      </c>
      <c r="B863" s="706">
        <v>2026</v>
      </c>
      <c r="C863" s="706" t="s">
        <v>2731</v>
      </c>
      <c r="D863" s="706" t="s">
        <v>2732</v>
      </c>
      <c r="E863" s="706" t="s">
        <v>1143</v>
      </c>
      <c r="F863" s="706" t="s">
        <v>1152</v>
      </c>
      <c r="G863" s="706">
        <v>147986.73000000001</v>
      </c>
      <c r="H863" s="706">
        <v>532197.18999999994</v>
      </c>
      <c r="I863" s="706">
        <v>842661.14</v>
      </c>
      <c r="J863" s="706">
        <v>1593081.49</v>
      </c>
      <c r="K863" s="706">
        <v>1961574.24</v>
      </c>
      <c r="L863" s="706">
        <v>2121431.2999999998</v>
      </c>
      <c r="M863" s="706">
        <v>2644271.8199999998</v>
      </c>
      <c r="N863" s="706">
        <v>3222635.8</v>
      </c>
      <c r="O863" s="706">
        <v>3523735.16</v>
      </c>
      <c r="P863" s="706">
        <v>0</v>
      </c>
      <c r="Q863" s="706">
        <v>0</v>
      </c>
      <c r="R863" s="706">
        <v>0</v>
      </c>
      <c r="S863" s="706">
        <v>402829.48</v>
      </c>
      <c r="T863" s="706">
        <v>402829.48</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G63102</v>
      </c>
      <c r="AK863" s="905" t="str">
        <f t="shared" si="87"/>
        <v>COUTANT CL 1500 SIERRA</v>
      </c>
      <c r="AL863" s="905">
        <f>IFERROR(INDEX(G863:R863,1,MATCH(Parametres!$B$3,G$1:R$1,0)-1)*IF(OR(F863="L",F863="S",F863="I"),-1,1),"")</f>
        <v>2644271.8199999998</v>
      </c>
      <c r="AM863" s="905">
        <f t="shared" si="88"/>
        <v>578363.98</v>
      </c>
      <c r="AN863" s="905">
        <f>INDEX(G863:R863,1,MATCH(Parametres!$B$3,G$1:R$1,0))*IF(OR(F863="L",F863="S",F863="I"),-1,1)</f>
        <v>3222635.8</v>
      </c>
      <c r="AO863" s="487" t="str">
        <f>+VLOOKUP($AJ863,Data_Validation!$A:$D,1,0)</f>
        <v>G63102</v>
      </c>
      <c r="AP863" s="487" t="str">
        <f>+VLOOKUP($AJ863,Data_Validation!$A:$D,3,0)</f>
        <v>Véhicules neufs</v>
      </c>
      <c r="AQ863" s="487" t="str">
        <f>+VLOOKUP($AJ863,Data_Validation!$A:$D,4,0)</f>
        <v>Camions détail</v>
      </c>
      <c r="AR863" s="487" t="s">
        <v>299</v>
      </c>
      <c r="AS863" s="487">
        <f>+VLOOKUP($AJ863,Data_Validation!$A:$E,5,0)</f>
        <v>0</v>
      </c>
      <c r="AT863" s="904" t="str">
        <f t="shared" si="89"/>
        <v>G63102</v>
      </c>
      <c r="AU863" s="488" t="str">
        <f t="shared" si="90"/>
        <v>COUTANT CL 1500 SIERRA</v>
      </c>
      <c r="AV863" s="899">
        <f>IFERROR(INDEX(V863:AG863,1,MATCH(Parametres!$B$3,V$1:AG$1,0)-1)*IF(OR(C863="L",C863="S",C863="I"),-1,1),"")</f>
        <v>0</v>
      </c>
      <c r="AW863" s="899">
        <f t="shared" si="91"/>
        <v>0</v>
      </c>
      <c r="AX863" s="899">
        <f>INDEX(V863:AG863,1,MATCH(Parametres!$B$3,V$1:AG$1,0))*IF(OR(C863="L",C863="S",C863="I"),-1,1)</f>
        <v>0</v>
      </c>
      <c r="AY863" s="487" t="s">
        <v>337</v>
      </c>
      <c r="AZ863" s="487">
        <f>+VLOOKUP($AJ863,Data_Validation!$A:$E,5,0)</f>
        <v>0</v>
      </c>
    </row>
    <row r="864" spans="1:52" ht="15" customHeight="1">
      <c r="A864" s="706" t="s">
        <v>1148</v>
      </c>
      <c r="B864" s="706">
        <v>2026</v>
      </c>
      <c r="C864" s="706" t="s">
        <v>2733</v>
      </c>
      <c r="D864" s="706" t="s">
        <v>2734</v>
      </c>
      <c r="E864" s="706" t="s">
        <v>1143</v>
      </c>
      <c r="F864" s="706" t="s">
        <v>1152</v>
      </c>
      <c r="G864" s="706">
        <v>108075.05</v>
      </c>
      <c r="H864" s="706">
        <v>211150.1</v>
      </c>
      <c r="I864" s="706">
        <v>211150.1</v>
      </c>
      <c r="J864" s="706">
        <v>320050.96999999997</v>
      </c>
      <c r="K864" s="706">
        <v>320050.96999999997</v>
      </c>
      <c r="L864" s="706">
        <v>413048.11</v>
      </c>
      <c r="M864" s="706">
        <v>413048.11</v>
      </c>
      <c r="N864" s="706">
        <v>413048.11</v>
      </c>
      <c r="O864" s="706">
        <v>413048.11</v>
      </c>
      <c r="P864" s="706">
        <v>0</v>
      </c>
      <c r="Q864" s="706">
        <v>0</v>
      </c>
      <c r="R864" s="706">
        <v>0</v>
      </c>
      <c r="S864" s="706">
        <v>51631.01</v>
      </c>
      <c r="T864" s="706">
        <v>51631.01</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G63103</v>
      </c>
      <c r="AK864" s="905" t="str">
        <f t="shared" si="87"/>
        <v>COUT - SIERRA EV</v>
      </c>
      <c r="AL864" s="905">
        <f>IFERROR(INDEX(G864:R864,1,MATCH(Parametres!$B$3,G$1:R$1,0)-1)*IF(OR(F864="L",F864="S",F864="I"),-1,1),"")</f>
        <v>413048.11</v>
      </c>
      <c r="AM864" s="905">
        <f t="shared" si="88"/>
        <v>0</v>
      </c>
      <c r="AN864" s="905">
        <f>INDEX(G864:R864,1,MATCH(Parametres!$B$3,G$1:R$1,0))*IF(OR(F864="L",F864="S",F864="I"),-1,1)</f>
        <v>413048.11</v>
      </c>
      <c r="AO864" s="487" t="str">
        <f>+VLOOKUP($AJ864,Data_Validation!$A:$D,1,0)</f>
        <v>G63103</v>
      </c>
      <c r="AP864" s="487" t="str">
        <f>+VLOOKUP($AJ864,Data_Validation!$A:$D,3,0)</f>
        <v>Véhicules neufs</v>
      </c>
      <c r="AQ864" s="487" t="str">
        <f>+VLOOKUP($AJ864,Data_Validation!$A:$D,4,0)</f>
        <v>Camions electriques</v>
      </c>
      <c r="AR864" s="487" t="s">
        <v>299</v>
      </c>
      <c r="AS864" s="487">
        <f>+VLOOKUP($AJ864,Data_Validation!$A:$E,5,0)</f>
        <v>0</v>
      </c>
      <c r="AT864" s="904" t="str">
        <f t="shared" si="89"/>
        <v>G63103</v>
      </c>
      <c r="AU864" s="488" t="str">
        <f t="shared" si="90"/>
        <v>COUT - SIERRA EV</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customHeight="1">
      <c r="A865" s="706" t="s">
        <v>1148</v>
      </c>
      <c r="B865" s="706">
        <v>2026</v>
      </c>
      <c r="C865" s="706" t="s">
        <v>2735</v>
      </c>
      <c r="D865" s="706" t="s">
        <v>2736</v>
      </c>
      <c r="E865" s="706" t="s">
        <v>1143</v>
      </c>
      <c r="F865" s="706" t="s">
        <v>1152</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G63120</v>
      </c>
      <c r="AK865" s="905" t="str">
        <f t="shared" si="87"/>
        <v>COUT-CL 2500 SILVERAD-LOC</v>
      </c>
      <c r="AL865" s="905">
        <f>IFERROR(INDEX(G865:R865,1,MATCH(Parametres!$B$3,G$1:R$1,0)-1)*IF(OR(F865="L",F865="S",F865="I"),-1,1),"")</f>
        <v>0</v>
      </c>
      <c r="AM865" s="905">
        <f t="shared" si="88"/>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89"/>
        <v>G63120</v>
      </c>
      <c r="AU865" s="488" t="str">
        <f t="shared" si="90"/>
        <v>COUT-CL 2500 SILVERAD-LOC</v>
      </c>
      <c r="AV865" s="899">
        <f>IFERROR(INDEX(V865:AG865,1,MATCH(Parametres!$B$3,V$1:AG$1,0)-1)*IF(OR(C865="L",C865="S",C865="I"),-1,1),"")</f>
        <v>0</v>
      </c>
      <c r="AW865" s="899">
        <f t="shared" si="91"/>
        <v>0</v>
      </c>
      <c r="AX865" s="899">
        <f>INDEX(V865:AG865,1,MATCH(Parametres!$B$3,V$1:AG$1,0))*IF(OR(C865="L",C865="S",C865="I"),-1,1)</f>
        <v>0</v>
      </c>
      <c r="AY865" s="487" t="s">
        <v>337</v>
      </c>
      <c r="AZ865" s="487" t="e">
        <f>+VLOOKUP($AJ865,Data_Validation!$A:$E,5,0)</f>
        <v>#N/A</v>
      </c>
    </row>
    <row r="866" spans="1:52" ht="15" customHeight="1">
      <c r="A866" s="706" t="s">
        <v>1148</v>
      </c>
      <c r="B866" s="706">
        <v>2026</v>
      </c>
      <c r="C866" s="706" t="s">
        <v>2737</v>
      </c>
      <c r="D866" s="706" t="s">
        <v>2738</v>
      </c>
      <c r="E866" s="706" t="s">
        <v>1143</v>
      </c>
      <c r="F866" s="706" t="s">
        <v>1152</v>
      </c>
      <c r="G866" s="706">
        <v>0</v>
      </c>
      <c r="H866" s="706">
        <v>0</v>
      </c>
      <c r="I866" s="706">
        <v>0</v>
      </c>
      <c r="J866" s="706">
        <v>0</v>
      </c>
      <c r="K866" s="706">
        <v>0</v>
      </c>
      <c r="L866" s="706">
        <v>0</v>
      </c>
      <c r="M866" s="706">
        <v>0</v>
      </c>
      <c r="N866" s="706">
        <v>0</v>
      </c>
      <c r="O866" s="706">
        <v>0</v>
      </c>
      <c r="P866" s="706">
        <v>0</v>
      </c>
      <c r="Q866" s="706">
        <v>0</v>
      </c>
      <c r="R866" s="706">
        <v>0</v>
      </c>
      <c r="S866" s="706">
        <v>0</v>
      </c>
      <c r="T866" s="706">
        <v>0</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G63200</v>
      </c>
      <c r="AK866" s="905" t="str">
        <f t="shared" si="87"/>
        <v>COUT-CL 3500 SILVERADO</v>
      </c>
      <c r="AL866" s="905">
        <f>IFERROR(INDEX(G866:R866,1,MATCH(Parametres!$B$3,G$1:R$1,0)-1)*IF(OR(F866="L",F866="S",F866="I"),-1,1),"")</f>
        <v>0</v>
      </c>
      <c r="AM866" s="905">
        <f t="shared" si="88"/>
        <v>0</v>
      </c>
      <c r="AN866" s="905">
        <f>INDEX(G866:R866,1,MATCH(Parametres!$B$3,G$1:R$1,0))*IF(OR(F866="L",F866="S",F866="I"),-1,1)</f>
        <v>0</v>
      </c>
      <c r="AO866" s="487" t="str">
        <f>+VLOOKUP($AJ866,Data_Validation!$A:$D,1,0)</f>
        <v>G63200</v>
      </c>
      <c r="AP866" s="487" t="str">
        <f>+VLOOKUP($AJ866,Data_Validation!$A:$D,3,0)</f>
        <v>Véhicules neufs</v>
      </c>
      <c r="AQ866" s="487" t="str">
        <f>+VLOOKUP($AJ866,Data_Validation!$A:$D,4,0)</f>
        <v>Camions détail</v>
      </c>
      <c r="AR866" s="487" t="s">
        <v>299</v>
      </c>
      <c r="AS866" s="487">
        <f>+VLOOKUP($AJ866,Data_Validation!$A:$E,5,0)</f>
        <v>0</v>
      </c>
      <c r="AT866" s="904" t="str">
        <f t="shared" si="89"/>
        <v>G63200</v>
      </c>
      <c r="AU866" s="488" t="str">
        <f t="shared" si="90"/>
        <v>COUT-CL 3500 SILVERADO</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customHeight="1">
      <c r="A867" s="706" t="s">
        <v>1148</v>
      </c>
      <c r="B867" s="706">
        <v>2026</v>
      </c>
      <c r="C867" s="706" t="s">
        <v>2739</v>
      </c>
      <c r="D867" s="706" t="s">
        <v>2740</v>
      </c>
      <c r="E867" s="706" t="s">
        <v>1143</v>
      </c>
      <c r="F867" s="706" t="s">
        <v>1152</v>
      </c>
      <c r="G867" s="706">
        <v>319231.27</v>
      </c>
      <c r="H867" s="706">
        <v>319231.27</v>
      </c>
      <c r="I867" s="706">
        <v>523709.44</v>
      </c>
      <c r="J867" s="706">
        <v>944789.7</v>
      </c>
      <c r="K867" s="706">
        <v>1339823.54</v>
      </c>
      <c r="L867" s="706">
        <v>1458323.17</v>
      </c>
      <c r="M867" s="706">
        <v>1679736.99</v>
      </c>
      <c r="N867" s="706">
        <v>1783762.04</v>
      </c>
      <c r="O867" s="706">
        <v>1783762.04</v>
      </c>
      <c r="P867" s="706">
        <v>0</v>
      </c>
      <c r="Q867" s="706">
        <v>0</v>
      </c>
      <c r="R867" s="706">
        <v>0</v>
      </c>
      <c r="S867" s="706">
        <v>222970.26</v>
      </c>
      <c r="T867" s="706">
        <v>222970.26</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G63202</v>
      </c>
      <c r="AK867" s="905" t="str">
        <f t="shared" si="87"/>
        <v>COUT- CL 2500 SIERRA</v>
      </c>
      <c r="AL867" s="905">
        <f>IFERROR(INDEX(G867:R867,1,MATCH(Parametres!$B$3,G$1:R$1,0)-1)*IF(OR(F867="L",F867="S",F867="I"),-1,1),"")</f>
        <v>1679736.99</v>
      </c>
      <c r="AM867" s="905">
        <f t="shared" si="88"/>
        <v>104025.05000000005</v>
      </c>
      <c r="AN867" s="905">
        <f>INDEX(G867:R867,1,MATCH(Parametres!$B$3,G$1:R$1,0))*IF(OR(F867="L",F867="S",F867="I"),-1,1)</f>
        <v>1783762.04</v>
      </c>
      <c r="AO867" s="487" t="str">
        <f>+VLOOKUP($AJ867,Data_Validation!$A:$D,1,0)</f>
        <v>G63202</v>
      </c>
      <c r="AP867" s="487" t="str">
        <f>+VLOOKUP($AJ867,Data_Validation!$A:$D,3,0)</f>
        <v>Véhicules neufs</v>
      </c>
      <c r="AQ867" s="487" t="str">
        <f>+VLOOKUP($AJ867,Data_Validation!$A:$D,4,0)</f>
        <v>Camions détail</v>
      </c>
      <c r="AR867" s="487" t="s">
        <v>299</v>
      </c>
      <c r="AS867" s="487">
        <f>+VLOOKUP($AJ867,Data_Validation!$A:$E,5,0)</f>
        <v>0</v>
      </c>
      <c r="AT867" s="904" t="str">
        <f t="shared" si="89"/>
        <v>G63202</v>
      </c>
      <c r="AU867" s="488" t="str">
        <f t="shared" si="90"/>
        <v>COUT- CL 2500 SIERRA</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customHeight="1">
      <c r="A868" s="706" t="s">
        <v>1148</v>
      </c>
      <c r="B868" s="706">
        <v>2026</v>
      </c>
      <c r="C868" s="706" t="s">
        <v>2741</v>
      </c>
      <c r="D868" s="706" t="s">
        <v>2742</v>
      </c>
      <c r="E868" s="706" t="s">
        <v>1143</v>
      </c>
      <c r="F868" s="706" t="s">
        <v>1152</v>
      </c>
      <c r="G868" s="706">
        <v>215186.38</v>
      </c>
      <c r="H868" s="706">
        <v>215186.38</v>
      </c>
      <c r="I868" s="706">
        <v>323067.49</v>
      </c>
      <c r="J868" s="706">
        <v>323067.49</v>
      </c>
      <c r="K868" s="706">
        <v>323067.49</v>
      </c>
      <c r="L868" s="706">
        <v>323067.49</v>
      </c>
      <c r="M868" s="706">
        <v>323067.49</v>
      </c>
      <c r="N868" s="706">
        <v>323067.49</v>
      </c>
      <c r="O868" s="706">
        <v>323067.49</v>
      </c>
      <c r="P868" s="706">
        <v>0</v>
      </c>
      <c r="Q868" s="706">
        <v>0</v>
      </c>
      <c r="R868" s="706">
        <v>0</v>
      </c>
      <c r="S868" s="706">
        <v>40383.440000000002</v>
      </c>
      <c r="T868" s="706">
        <v>40383.440000000002</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G63203</v>
      </c>
      <c r="AK868" s="905" t="str">
        <f t="shared" si="87"/>
        <v>COUTANT - SIERRA 3500</v>
      </c>
      <c r="AL868" s="905">
        <f>IFERROR(INDEX(G868:R868,1,MATCH(Parametres!$B$3,G$1:R$1,0)-1)*IF(OR(F868="L",F868="S",F868="I"),-1,1),"")</f>
        <v>323067.49</v>
      </c>
      <c r="AM868" s="905">
        <f t="shared" si="88"/>
        <v>0</v>
      </c>
      <c r="AN868" s="905">
        <f>INDEX(G868:R868,1,MATCH(Parametres!$B$3,G$1:R$1,0))*IF(OR(F868="L",F868="S",F868="I"),-1,1)</f>
        <v>323067.49</v>
      </c>
      <c r="AO868" s="487" t="str">
        <f>+VLOOKUP($AJ868,Data_Validation!$A:$D,1,0)</f>
        <v>G63203</v>
      </c>
      <c r="AP868" s="487" t="str">
        <f>+VLOOKUP($AJ868,Data_Validation!$A:$D,3,0)</f>
        <v>Véhicules neufs</v>
      </c>
      <c r="AQ868" s="487" t="str">
        <f>+VLOOKUP($AJ868,Data_Validation!$A:$D,4,0)</f>
        <v>Camions détail</v>
      </c>
      <c r="AR868" s="487" t="s">
        <v>299</v>
      </c>
      <c r="AS868" s="487">
        <f>+VLOOKUP($AJ868,Data_Validation!$A:$E,5,0)</f>
        <v>0</v>
      </c>
      <c r="AT868" s="904" t="str">
        <f t="shared" si="89"/>
        <v>G63203</v>
      </c>
      <c r="AU868" s="488" t="str">
        <f t="shared" si="90"/>
        <v>COUTANT - SIERRA 3500</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customHeight="1">
      <c r="A869" s="706" t="s">
        <v>1148</v>
      </c>
      <c r="B869" s="706">
        <v>2026</v>
      </c>
      <c r="C869" s="706" t="s">
        <v>2743</v>
      </c>
      <c r="D869" s="706" t="s">
        <v>2744</v>
      </c>
      <c r="E869" s="706" t="s">
        <v>1143</v>
      </c>
      <c r="F869" s="706" t="s">
        <v>1152</v>
      </c>
      <c r="G869" s="706">
        <v>0</v>
      </c>
      <c r="H869" s="706">
        <v>0</v>
      </c>
      <c r="I869" s="706">
        <v>0</v>
      </c>
      <c r="J869" s="706">
        <v>0</v>
      </c>
      <c r="K869" s="706">
        <v>0</v>
      </c>
      <c r="L869" s="706">
        <v>36856</v>
      </c>
      <c r="M869" s="706">
        <v>36856</v>
      </c>
      <c r="N869" s="706">
        <v>36856</v>
      </c>
      <c r="O869" s="706">
        <v>36856</v>
      </c>
      <c r="P869" s="706">
        <v>0</v>
      </c>
      <c r="Q869" s="706">
        <v>0</v>
      </c>
      <c r="R869" s="706">
        <v>0</v>
      </c>
      <c r="S869" s="706">
        <v>4607</v>
      </c>
      <c r="T869" s="706">
        <v>4607</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G63300</v>
      </c>
      <c r="AK869" s="905" t="str">
        <f t="shared" si="87"/>
        <v>COUT-BLAZER</v>
      </c>
      <c r="AL869" s="905">
        <f>IFERROR(INDEX(G869:R869,1,MATCH(Parametres!$B$3,G$1:R$1,0)-1)*IF(OR(F869="L",F869="S",F869="I"),-1,1),"")</f>
        <v>36856</v>
      </c>
      <c r="AM869" s="905">
        <f t="shared" si="88"/>
        <v>0</v>
      </c>
      <c r="AN869" s="905">
        <f>INDEX(G869:R869,1,MATCH(Parametres!$B$3,G$1:R$1,0))*IF(OR(F869="L",F869="S",F869="I"),-1,1)</f>
        <v>36856</v>
      </c>
      <c r="AO869" s="487" t="str">
        <f>+VLOOKUP($AJ869,Data_Validation!$A:$D,1,0)</f>
        <v>G63300</v>
      </c>
      <c r="AP869" s="487" t="str">
        <f>+VLOOKUP($AJ869,Data_Validation!$A:$D,3,0)</f>
        <v>Véhicules neufs</v>
      </c>
      <c r="AQ869" s="487" t="str">
        <f>+VLOOKUP($AJ869,Data_Validation!$A:$D,4,0)</f>
        <v>Camions détail</v>
      </c>
      <c r="AR869" s="487" t="s">
        <v>299</v>
      </c>
      <c r="AS869" s="487">
        <f>+VLOOKUP($AJ869,Data_Validation!$A:$E,5,0)</f>
        <v>0</v>
      </c>
      <c r="AT869" s="904" t="str">
        <f t="shared" si="89"/>
        <v>G63300</v>
      </c>
      <c r="AU869" s="488" t="str">
        <f t="shared" si="90"/>
        <v>COUT-BLAZER</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customHeight="1">
      <c r="A870" s="706" t="s">
        <v>1148</v>
      </c>
      <c r="B870" s="706">
        <v>2026</v>
      </c>
      <c r="C870" s="706" t="s">
        <v>2745</v>
      </c>
      <c r="D870" s="706" t="s">
        <v>2746</v>
      </c>
      <c r="E870" s="706" t="s">
        <v>1143</v>
      </c>
      <c r="F870" s="706" t="s">
        <v>1152</v>
      </c>
      <c r="G870" s="706">
        <v>0</v>
      </c>
      <c r="H870" s="706">
        <v>0</v>
      </c>
      <c r="I870" s="706">
        <v>179333.38</v>
      </c>
      <c r="J870" s="706">
        <v>334500.34000000003</v>
      </c>
      <c r="K870" s="706">
        <v>449487.89</v>
      </c>
      <c r="L870" s="706">
        <v>449487.89</v>
      </c>
      <c r="M870" s="706">
        <v>449487.89</v>
      </c>
      <c r="N870" s="706">
        <v>449487.89</v>
      </c>
      <c r="O870" s="706">
        <v>509126.03</v>
      </c>
      <c r="P870" s="706">
        <v>0</v>
      </c>
      <c r="Q870" s="706">
        <v>0</v>
      </c>
      <c r="R870" s="706">
        <v>0</v>
      </c>
      <c r="S870" s="706">
        <v>56185.99</v>
      </c>
      <c r="T870" s="706">
        <v>56185.99</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G63301</v>
      </c>
      <c r="AK870" s="905" t="str">
        <f t="shared" si="87"/>
        <v>COUT-BLAZER EV</v>
      </c>
      <c r="AL870" s="905">
        <f>IFERROR(INDEX(G870:R870,1,MATCH(Parametres!$B$3,G$1:R$1,0)-1)*IF(OR(F870="L",F870="S",F870="I"),-1,1),"")</f>
        <v>449487.89</v>
      </c>
      <c r="AM870" s="905">
        <f t="shared" si="88"/>
        <v>0</v>
      </c>
      <c r="AN870" s="905">
        <f>INDEX(G870:R870,1,MATCH(Parametres!$B$3,G$1:R$1,0))*IF(OR(F870="L",F870="S",F870="I"),-1,1)</f>
        <v>449487.89</v>
      </c>
      <c r="AO870" s="487" t="str">
        <f>+VLOOKUP($AJ870,Data_Validation!$A:$D,1,0)</f>
        <v>G63301</v>
      </c>
      <c r="AP870" s="487" t="str">
        <f>+VLOOKUP($AJ870,Data_Validation!$A:$D,3,0)</f>
        <v>Véhicules neufs</v>
      </c>
      <c r="AQ870" s="487" t="str">
        <f>+VLOOKUP($AJ870,Data_Validation!$A:$D,4,0)</f>
        <v>Camions electriques</v>
      </c>
      <c r="AR870" s="487" t="s">
        <v>299</v>
      </c>
      <c r="AS870" s="487">
        <f>+VLOOKUP($AJ870,Data_Validation!$A:$E,5,0)</f>
        <v>0</v>
      </c>
      <c r="AT870" s="904" t="str">
        <f t="shared" si="89"/>
        <v>G63301</v>
      </c>
      <c r="AU870" s="488" t="str">
        <f t="shared" si="90"/>
        <v>COUT-BLAZER EV</v>
      </c>
      <c r="AV870" s="899">
        <f>IFERROR(INDEX(V870:AG870,1,MATCH(Parametres!$B$3,V$1:AG$1,0)-1)*IF(OR(C870="L",C870="S",C870="I"),-1,1),"")</f>
        <v>0</v>
      </c>
      <c r="AW870" s="899">
        <f t="shared" si="91"/>
        <v>0</v>
      </c>
      <c r="AX870" s="899">
        <f>INDEX(V870:AG870,1,MATCH(Parametres!$B$3,V$1:AG$1,0))*IF(OR(C870="L",C870="S",C870="I"),-1,1)</f>
        <v>0</v>
      </c>
      <c r="AY870" s="487" t="s">
        <v>337</v>
      </c>
      <c r="AZ870" s="487">
        <f>+VLOOKUP($AJ870,Data_Validation!$A:$E,5,0)</f>
        <v>0</v>
      </c>
    </row>
    <row r="871" spans="1:52" ht="15" customHeight="1">
      <c r="A871" s="706" t="s">
        <v>1148</v>
      </c>
      <c r="B871" s="706">
        <v>2026</v>
      </c>
      <c r="C871" s="706" t="s">
        <v>2747</v>
      </c>
      <c r="D871" s="706" t="s">
        <v>2748</v>
      </c>
      <c r="E871" s="706" t="s">
        <v>1143</v>
      </c>
      <c r="F871" s="706" t="s">
        <v>1152</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G63320</v>
      </c>
      <c r="AK871" s="905" t="str">
        <f t="shared" si="87"/>
        <v>COUT-CL 3500 SILVERAD-LOC</v>
      </c>
      <c r="AL871" s="905">
        <f>IFERROR(INDEX(G871:R871,1,MATCH(Parametres!$B$3,G$1:R$1,0)-1)*IF(OR(F871="L",F871="S",F871="I"),-1,1),"")</f>
        <v>0</v>
      </c>
      <c r="AM871" s="905">
        <f t="shared" si="88"/>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89"/>
        <v>G63320</v>
      </c>
      <c r="AU871" s="488" t="str">
        <f t="shared" si="90"/>
        <v>COUT-CL 3500 SILVERAD-LOC</v>
      </c>
      <c r="AV871" s="899">
        <f>IFERROR(INDEX(V871:AG871,1,MATCH(Parametres!$B$3,V$1:AG$1,0)-1)*IF(OR(C871="L",C871="S",C871="I"),-1,1),"")</f>
        <v>0</v>
      </c>
      <c r="AW871" s="899">
        <f t="shared" si="91"/>
        <v>0</v>
      </c>
      <c r="AX871" s="899">
        <f>INDEX(V871:AG871,1,MATCH(Parametres!$B$3,V$1:AG$1,0))*IF(OR(C871="L",C871="S",C871="I"),-1,1)</f>
        <v>0</v>
      </c>
      <c r="AY871" s="487" t="s">
        <v>337</v>
      </c>
      <c r="AZ871" s="487" t="e">
        <f>+VLOOKUP($AJ871,Data_Validation!$A:$E,5,0)</f>
        <v>#N/A</v>
      </c>
    </row>
    <row r="872" spans="1:52" ht="15" customHeight="1">
      <c r="A872" s="706" t="s">
        <v>1148</v>
      </c>
      <c r="B872" s="706">
        <v>2026</v>
      </c>
      <c r="C872" s="706" t="s">
        <v>2749</v>
      </c>
      <c r="D872" s="706" t="s">
        <v>2750</v>
      </c>
      <c r="E872" s="706" t="s">
        <v>1143</v>
      </c>
      <c r="F872" s="706" t="s">
        <v>1152</v>
      </c>
      <c r="G872" s="706">
        <v>82360.75</v>
      </c>
      <c r="H872" s="706">
        <v>169932.97</v>
      </c>
      <c r="I872" s="706">
        <v>216193.02</v>
      </c>
      <c r="J872" s="706">
        <v>256081.92000000001</v>
      </c>
      <c r="K872" s="706">
        <v>302252.92</v>
      </c>
      <c r="L872" s="706">
        <v>345066.99</v>
      </c>
      <c r="M872" s="706">
        <v>381754.99</v>
      </c>
      <c r="N872" s="706">
        <v>381754.99</v>
      </c>
      <c r="O872" s="706">
        <v>381754.99</v>
      </c>
      <c r="P872" s="706">
        <v>0</v>
      </c>
      <c r="Q872" s="706">
        <v>0</v>
      </c>
      <c r="R872" s="706">
        <v>0</v>
      </c>
      <c r="S872" s="706">
        <v>47719.37</v>
      </c>
      <c r="T872" s="706">
        <v>47719.37</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G63400</v>
      </c>
      <c r="AK872" s="905" t="str">
        <f t="shared" si="87"/>
        <v>COUTANT EQUINOX</v>
      </c>
      <c r="AL872" s="905">
        <f>IFERROR(INDEX(G872:R872,1,MATCH(Parametres!$B$3,G$1:R$1,0)-1)*IF(OR(F872="L",F872="S",F872="I"),-1,1),"")</f>
        <v>381754.99</v>
      </c>
      <c r="AM872" s="905">
        <f t="shared" si="88"/>
        <v>0</v>
      </c>
      <c r="AN872" s="905">
        <f>INDEX(G872:R872,1,MATCH(Parametres!$B$3,G$1:R$1,0))*IF(OR(F872="L",F872="S",F872="I"),-1,1)</f>
        <v>381754.99</v>
      </c>
      <c r="AO872" s="487" t="str">
        <f>+VLOOKUP($AJ872,Data_Validation!$A:$D,1,0)</f>
        <v>G63400</v>
      </c>
      <c r="AP872" s="487" t="str">
        <f>+VLOOKUP($AJ872,Data_Validation!$A:$D,3,0)</f>
        <v>Véhicules neufs</v>
      </c>
      <c r="AQ872" s="487" t="str">
        <f>+VLOOKUP($AJ872,Data_Validation!$A:$D,4,0)</f>
        <v>Camions détail</v>
      </c>
      <c r="AR872" s="487" t="s">
        <v>299</v>
      </c>
      <c r="AS872" s="487">
        <f>+VLOOKUP($AJ872,Data_Validation!$A:$E,5,0)</f>
        <v>0</v>
      </c>
      <c r="AT872" s="904" t="str">
        <f t="shared" si="89"/>
        <v>G63400</v>
      </c>
      <c r="AU872" s="488" t="str">
        <f t="shared" si="90"/>
        <v>COUTANT EQUINOX</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customHeight="1">
      <c r="A873" s="706" t="s">
        <v>1148</v>
      </c>
      <c r="B873" s="706">
        <v>2026</v>
      </c>
      <c r="C873" s="706" t="s">
        <v>2751</v>
      </c>
      <c r="D873" s="706" t="s">
        <v>2752</v>
      </c>
      <c r="E873" s="706" t="s">
        <v>1143</v>
      </c>
      <c r="F873" s="706" t="s">
        <v>1152</v>
      </c>
      <c r="G873" s="706">
        <v>0</v>
      </c>
      <c r="H873" s="706">
        <v>109230.59</v>
      </c>
      <c r="I873" s="706">
        <v>343158.24</v>
      </c>
      <c r="J873" s="706">
        <v>1393624.66</v>
      </c>
      <c r="K873" s="706">
        <v>1540456.79</v>
      </c>
      <c r="L873" s="706">
        <v>1589977.28</v>
      </c>
      <c r="M873" s="706">
        <v>1906175.12</v>
      </c>
      <c r="N873" s="706">
        <v>2376988.5499999998</v>
      </c>
      <c r="O873" s="706">
        <v>2711805.35</v>
      </c>
      <c r="P873" s="706">
        <v>0</v>
      </c>
      <c r="Q873" s="706">
        <v>0</v>
      </c>
      <c r="R873" s="706">
        <v>0</v>
      </c>
      <c r="S873" s="706">
        <v>297123.57</v>
      </c>
      <c r="T873" s="706">
        <v>297123.57</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G63401</v>
      </c>
      <c r="AK873" s="905" t="str">
        <f t="shared" si="87"/>
        <v>COUT - EQUINOX EV</v>
      </c>
      <c r="AL873" s="905">
        <f>IFERROR(INDEX(G873:R873,1,MATCH(Parametres!$B$3,G$1:R$1,0)-1)*IF(OR(F873="L",F873="S",F873="I"),-1,1),"")</f>
        <v>1906175.12</v>
      </c>
      <c r="AM873" s="905">
        <f t="shared" si="88"/>
        <v>470813.4299999997</v>
      </c>
      <c r="AN873" s="905">
        <f>INDEX(G873:R873,1,MATCH(Parametres!$B$3,G$1:R$1,0))*IF(OR(F873="L",F873="S",F873="I"),-1,1)</f>
        <v>2376988.5499999998</v>
      </c>
      <c r="AO873" s="487" t="str">
        <f>+VLOOKUP($AJ873,Data_Validation!$A:$D,1,0)</f>
        <v>G63401</v>
      </c>
      <c r="AP873" s="487" t="str">
        <f>+VLOOKUP($AJ873,Data_Validation!$A:$D,3,0)</f>
        <v>Véhicules neufs</v>
      </c>
      <c r="AQ873" s="487" t="str">
        <f>+VLOOKUP($AJ873,Data_Validation!$A:$D,4,0)</f>
        <v>Camions electriques</v>
      </c>
      <c r="AR873" s="487" t="s">
        <v>299</v>
      </c>
      <c r="AS873" s="487">
        <f>+VLOOKUP($AJ873,Data_Validation!$A:$E,5,0)</f>
        <v>0</v>
      </c>
      <c r="AT873" s="904" t="str">
        <f t="shared" si="89"/>
        <v>G63401</v>
      </c>
      <c r="AU873" s="488" t="str">
        <f t="shared" si="90"/>
        <v>COUT - EQUINOX EV</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2753</v>
      </c>
      <c r="D874" s="706" t="s">
        <v>2754</v>
      </c>
      <c r="E874" s="706" t="s">
        <v>1143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G63420</v>
      </c>
      <c r="AK874" s="905" t="str">
        <f t="shared" si="87"/>
        <v>COUT-TRACKER         -LOC</v>
      </c>
      <c r="AL874" s="905">
        <f>IFERROR(INDEX(G874:R874,1,MATCH(Parametres!$B$3,G$1:R$1,0)-1)*IF(OR(F874="L",F874="S",F874="I"),-1,1),"")</f>
        <v>0</v>
      </c>
      <c r="AM874" s="905">
        <f t="shared" si="88"/>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89"/>
        <v>G63420</v>
      </c>
      <c r="AU874" s="488" t="str">
        <f t="shared" si="90"/>
        <v>COUT-TRACKER         -LOC</v>
      </c>
      <c r="AV874" s="899">
        <f>IFERROR(INDEX(V874:AG874,1,MATCH(Parametres!$B$3,V$1:AG$1,0)-1)*IF(OR(C874="L",C874="S",C874="I"),-1,1),"")</f>
        <v>0</v>
      </c>
      <c r="AW874" s="899">
        <f t="shared" si="91"/>
        <v>0</v>
      </c>
      <c r="AX874" s="899">
        <f>INDEX(V874:AG874,1,MATCH(Parametres!$B$3,V$1:AG$1,0))*IF(OR(C874="L",C874="S",C874="I"),-1,1)</f>
        <v>0</v>
      </c>
      <c r="AY874" s="487" t="s">
        <v>337</v>
      </c>
      <c r="AZ874" s="487" t="e">
        <f>+VLOOKUP($AJ874,Data_Validation!$A:$E,5,0)</f>
        <v>#N/A</v>
      </c>
    </row>
    <row r="875" spans="1:52" ht="15" customHeight="1">
      <c r="A875" s="706" t="s">
        <v>1148</v>
      </c>
      <c r="B875" s="706">
        <v>2026</v>
      </c>
      <c r="C875" s="706" t="s">
        <v>2755</v>
      </c>
      <c r="D875" s="706" t="s">
        <v>2756</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G63500</v>
      </c>
      <c r="AK875" s="905" t="str">
        <f t="shared" si="87"/>
        <v>COUT CHEV CITY</v>
      </c>
      <c r="AL875" s="905">
        <f>IFERROR(INDEX(G875:R875,1,MATCH(Parametres!$B$3,G$1:R$1,0)-1)*IF(OR(F875="L",F875="S",F875="I"),-1,1),"")</f>
        <v>0</v>
      </c>
      <c r="AM875" s="905">
        <f t="shared" si="88"/>
        <v>0</v>
      </c>
      <c r="AN875" s="905">
        <f>INDEX(G875:R875,1,MATCH(Parametres!$B$3,G$1:R$1,0))*IF(OR(F875="L",F875="S",F875="I"),-1,1)</f>
        <v>0</v>
      </c>
      <c r="AO875" s="487" t="str">
        <f>+VLOOKUP($AJ875,Data_Validation!$A:$D,1,0)</f>
        <v>G63500</v>
      </c>
      <c r="AP875" s="487" t="str">
        <f>+VLOOKUP($AJ875,Data_Validation!$A:$D,3,0)</f>
        <v>Véhicules neufs</v>
      </c>
      <c r="AQ875" s="487" t="str">
        <f>+VLOOKUP($AJ875,Data_Validation!$A:$D,4,0)</f>
        <v>Camions détail</v>
      </c>
      <c r="AR875" s="487" t="s">
        <v>299</v>
      </c>
      <c r="AS875" s="487">
        <f>+VLOOKUP($AJ875,Data_Validation!$A:$E,5,0)</f>
        <v>0</v>
      </c>
      <c r="AT875" s="904" t="str">
        <f t="shared" si="89"/>
        <v>G63500</v>
      </c>
      <c r="AU875" s="488" t="str">
        <f t="shared" si="90"/>
        <v>COUT CHEV CITY</v>
      </c>
      <c r="AV875" s="899">
        <f>IFERROR(INDEX(V875:AG875,1,MATCH(Parametres!$B$3,V$1:AG$1,0)-1)*IF(OR(C875="L",C875="S",C875="I"),-1,1),"")</f>
        <v>0</v>
      </c>
      <c r="AW875" s="899">
        <f t="shared" si="91"/>
        <v>0</v>
      </c>
      <c r="AX875" s="899">
        <f>INDEX(V875:AG875,1,MATCH(Parametres!$B$3,V$1:AG$1,0))*IF(OR(C875="L",C875="S",C875="I"),-1,1)</f>
        <v>0</v>
      </c>
      <c r="AY875" s="487" t="s">
        <v>337</v>
      </c>
      <c r="AZ875" s="487">
        <f>+VLOOKUP($AJ875,Data_Validation!$A:$E,5,0)</f>
        <v>0</v>
      </c>
    </row>
    <row r="876" spans="1:52" ht="15" customHeight="1">
      <c r="A876" s="706" t="s">
        <v>1148</v>
      </c>
      <c r="B876" s="706">
        <v>2026</v>
      </c>
      <c r="C876" s="706" t="s">
        <v>2757</v>
      </c>
      <c r="D876" s="706" t="s">
        <v>2758</v>
      </c>
      <c r="E876" s="706" t="s">
        <v>1143</v>
      </c>
      <c r="F876" s="706" t="s">
        <v>1152</v>
      </c>
      <c r="G876" s="706">
        <v>0</v>
      </c>
      <c r="H876" s="706">
        <v>0</v>
      </c>
      <c r="I876" s="706">
        <v>0</v>
      </c>
      <c r="J876" s="706">
        <v>0</v>
      </c>
      <c r="K876" s="706">
        <v>0</v>
      </c>
      <c r="L876" s="706">
        <v>0</v>
      </c>
      <c r="M876" s="706">
        <v>126926.91</v>
      </c>
      <c r="N876" s="706">
        <v>126926.91</v>
      </c>
      <c r="O876" s="706">
        <v>126926.91</v>
      </c>
      <c r="P876" s="706">
        <v>0</v>
      </c>
      <c r="Q876" s="706">
        <v>0</v>
      </c>
      <c r="R876" s="706">
        <v>0</v>
      </c>
      <c r="S876" s="706">
        <v>15865.86</v>
      </c>
      <c r="T876" s="706">
        <v>15865.86</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G63501</v>
      </c>
      <c r="AK876" s="905" t="str">
        <f t="shared" si="87"/>
        <v>COUT - HUMMER EV SUV</v>
      </c>
      <c r="AL876" s="905">
        <f>IFERROR(INDEX(G876:R876,1,MATCH(Parametres!$B$3,G$1:R$1,0)-1)*IF(OR(F876="L",F876="S",F876="I"),-1,1),"")</f>
        <v>126926.91</v>
      </c>
      <c r="AM876" s="905">
        <f t="shared" si="88"/>
        <v>0</v>
      </c>
      <c r="AN876" s="905">
        <f>INDEX(G876:R876,1,MATCH(Parametres!$B$3,G$1:R$1,0))*IF(OR(F876="L",F876="S",F876="I"),-1,1)</f>
        <v>126926.91</v>
      </c>
      <c r="AO876" s="487" t="str">
        <f>+VLOOKUP($AJ876,Data_Validation!$A:$D,1,0)</f>
        <v>G63501</v>
      </c>
      <c r="AP876" s="487" t="str">
        <f>+VLOOKUP($AJ876,Data_Validation!$A:$D,3,0)</f>
        <v>Véhicules neufs</v>
      </c>
      <c r="AQ876" s="487" t="str">
        <f>+VLOOKUP($AJ876,Data_Validation!$A:$D,4,0)</f>
        <v>Camions electriques</v>
      </c>
      <c r="AR876" s="487" t="s">
        <v>299</v>
      </c>
      <c r="AS876" s="487">
        <f>+VLOOKUP($AJ876,Data_Validation!$A:$E,5,0)</f>
        <v>0</v>
      </c>
      <c r="AT876" s="904" t="str">
        <f t="shared" si="89"/>
        <v>G63501</v>
      </c>
      <c r="AU876" s="488" t="str">
        <f t="shared" si="90"/>
        <v>COUT - HUMMER EV SUV</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customHeight="1">
      <c r="A877" s="706" t="s">
        <v>1148</v>
      </c>
      <c r="B877" s="706">
        <v>2026</v>
      </c>
      <c r="C877" s="706" t="s">
        <v>2759</v>
      </c>
      <c r="D877" s="706" t="s">
        <v>2760</v>
      </c>
      <c r="E877" s="706" t="s">
        <v>1143</v>
      </c>
      <c r="F877" s="706" t="s">
        <v>1152</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G63520</v>
      </c>
      <c r="AK877" s="905" t="str">
        <f t="shared" si="87"/>
        <v>COUT-SSR             -LOC</v>
      </c>
      <c r="AL877" s="905">
        <f>IFERROR(INDEX(G877:R877,1,MATCH(Parametres!$B$3,G$1:R$1,0)-1)*IF(OR(F877="L",F877="S",F877="I"),-1,1),"")</f>
        <v>0</v>
      </c>
      <c r="AM877" s="905">
        <f t="shared" si="88"/>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89"/>
        <v>G63520</v>
      </c>
      <c r="AU877" s="488" t="str">
        <f t="shared" si="90"/>
        <v>COUT-SSR             -LOC</v>
      </c>
      <c r="AV877" s="899">
        <f>IFERROR(INDEX(V877:AG877,1,MATCH(Parametres!$B$3,V$1:AG$1,0)-1)*IF(OR(C877="L",C877="S",C877="I"),-1,1),"")</f>
        <v>0</v>
      </c>
      <c r="AW877" s="899">
        <f t="shared" si="91"/>
        <v>0</v>
      </c>
      <c r="AX877" s="899">
        <f>INDEX(V877:AG877,1,MATCH(Parametres!$B$3,V$1:AG$1,0))*IF(OR(C877="L",C877="S",C877="I"),-1,1)</f>
        <v>0</v>
      </c>
      <c r="AY877" s="487" t="s">
        <v>337</v>
      </c>
      <c r="AZ877" s="487" t="e">
        <f>+VLOOKUP($AJ877,Data_Validation!$A:$E,5,0)</f>
        <v>#N/A</v>
      </c>
    </row>
    <row r="878" spans="1:52" ht="15" customHeight="1">
      <c r="A878" s="706" t="s">
        <v>1148</v>
      </c>
      <c r="B878" s="706">
        <v>2026</v>
      </c>
      <c r="C878" s="706" t="s">
        <v>2761</v>
      </c>
      <c r="D878" s="706" t="s">
        <v>2762</v>
      </c>
      <c r="E878" s="706" t="s">
        <v>1143</v>
      </c>
      <c r="F878" s="706" t="s">
        <v>1152</v>
      </c>
      <c r="G878" s="706">
        <v>39482.629999999997</v>
      </c>
      <c r="H878" s="706">
        <v>72151.679999999993</v>
      </c>
      <c r="I878" s="706">
        <v>72151.679999999993</v>
      </c>
      <c r="J878" s="706">
        <v>72151.679999999993</v>
      </c>
      <c r="K878" s="706">
        <v>109007.67999999999</v>
      </c>
      <c r="L878" s="706">
        <v>109007.67999999999</v>
      </c>
      <c r="M878" s="706">
        <v>109007.67999999999</v>
      </c>
      <c r="N878" s="706">
        <v>143709.98000000001</v>
      </c>
      <c r="O878" s="706">
        <v>183917.06</v>
      </c>
      <c r="P878" s="706">
        <v>0</v>
      </c>
      <c r="Q878" s="706">
        <v>0</v>
      </c>
      <c r="R878" s="706">
        <v>0</v>
      </c>
      <c r="S878" s="706">
        <v>17963.75</v>
      </c>
      <c r="T878" s="706">
        <v>17963.75</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G63600</v>
      </c>
      <c r="AK878" s="905" t="str">
        <f t="shared" si="87"/>
        <v>COUT-TRAIL BLAZER</v>
      </c>
      <c r="AL878" s="905">
        <f>IFERROR(INDEX(G878:R878,1,MATCH(Parametres!$B$3,G$1:R$1,0)-1)*IF(OR(F878="L",F878="S",F878="I"),-1,1),"")</f>
        <v>109007.67999999999</v>
      </c>
      <c r="AM878" s="1047">
        <f t="shared" si="88"/>
        <v>34702.300000000017</v>
      </c>
      <c r="AN878" s="905">
        <f>INDEX(G878:R878,1,MATCH(Parametres!$B$3,G$1:R$1,0))*IF(OR(F878="L",F878="S",F878="I"),-1,1)</f>
        <v>143709.98000000001</v>
      </c>
      <c r="AO878" s="487" t="str">
        <f>+VLOOKUP($AJ878,Data_Validation!$A:$D,1,0)</f>
        <v>G63600</v>
      </c>
      <c r="AP878" s="487" t="str">
        <f>+VLOOKUP($AJ878,Data_Validation!$A:$D,3,0)</f>
        <v>Véhicules neufs</v>
      </c>
      <c r="AQ878" s="487" t="str">
        <f>+VLOOKUP($AJ878,Data_Validation!$A:$D,4,0)</f>
        <v>Camions détail</v>
      </c>
      <c r="AR878" s="487" t="s">
        <v>299</v>
      </c>
      <c r="AS878" s="487">
        <f>+VLOOKUP($AJ878,Data_Validation!$A:$E,5,0)</f>
        <v>0</v>
      </c>
      <c r="AT878" s="904" t="str">
        <f t="shared" si="89"/>
        <v>G63600</v>
      </c>
      <c r="AU878" s="488" t="str">
        <f t="shared" si="90"/>
        <v>COUT-TRAIL BLAZER</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customHeight="1">
      <c r="A879" s="706" t="s">
        <v>1148</v>
      </c>
      <c r="B879" s="706">
        <v>2026</v>
      </c>
      <c r="C879" s="706" t="s">
        <v>2763</v>
      </c>
      <c r="D879" s="706" t="s">
        <v>2764</v>
      </c>
      <c r="E879" s="706" t="s">
        <v>1143</v>
      </c>
      <c r="F879" s="706" t="s">
        <v>1152</v>
      </c>
      <c r="G879" s="706">
        <v>0</v>
      </c>
      <c r="H879" s="706">
        <v>0</v>
      </c>
      <c r="I879" s="706">
        <v>63923</v>
      </c>
      <c r="J879" s="706">
        <v>128882.14</v>
      </c>
      <c r="K879" s="706">
        <v>193939.26</v>
      </c>
      <c r="L879" s="706">
        <v>193939.26</v>
      </c>
      <c r="M879" s="706">
        <v>193939.26</v>
      </c>
      <c r="N879" s="706">
        <v>193939.26</v>
      </c>
      <c r="O879" s="706">
        <v>265512.26</v>
      </c>
      <c r="P879" s="706">
        <v>0</v>
      </c>
      <c r="Q879" s="706">
        <v>0</v>
      </c>
      <c r="R879" s="706">
        <v>0</v>
      </c>
      <c r="S879" s="706">
        <v>24242.41</v>
      </c>
      <c r="T879" s="706">
        <v>24242.41</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G63602</v>
      </c>
      <c r="AK879" s="905" t="str">
        <f t="shared" si="87"/>
        <v>COÛT- GMC  ACADIA</v>
      </c>
      <c r="AL879" s="905">
        <f>IFERROR(INDEX(G879:R879,1,MATCH(Parametres!$B$3,G$1:R$1,0)-1)*IF(OR(F879="L",F879="S",F879="I"),-1,1),"")</f>
        <v>193939.26</v>
      </c>
      <c r="AM879" s="905">
        <f t="shared" si="88"/>
        <v>0</v>
      </c>
      <c r="AN879" s="905">
        <f>INDEX(G879:R879,1,MATCH(Parametres!$B$3,G$1:R$1,0))*IF(OR(F879="L",F879="S",F879="I"),-1,1)</f>
        <v>193939.26</v>
      </c>
      <c r="AO879" s="487" t="str">
        <f>+VLOOKUP($AJ879,Data_Validation!$A:$D,1,0)</f>
        <v>G63602</v>
      </c>
      <c r="AP879" s="487" t="str">
        <f>+VLOOKUP($AJ879,Data_Validation!$A:$D,3,0)</f>
        <v>Véhicules neufs</v>
      </c>
      <c r="AQ879" s="487" t="str">
        <f>+VLOOKUP($AJ879,Data_Validation!$A:$D,4,0)</f>
        <v>Camions détail</v>
      </c>
      <c r="AR879" s="487" t="s">
        <v>299</v>
      </c>
      <c r="AS879" s="487">
        <f>+VLOOKUP($AJ879,Data_Validation!$A:$E,5,0)</f>
        <v>0</v>
      </c>
      <c r="AT879" s="904" t="str">
        <f t="shared" si="89"/>
        <v>G63602</v>
      </c>
      <c r="AU879" s="488" t="str">
        <f t="shared" si="90"/>
        <v>COÛT- GMC  ACADIA</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customHeight="1">
      <c r="A880" s="706" t="s">
        <v>1148</v>
      </c>
      <c r="B880" s="706">
        <v>2026</v>
      </c>
      <c r="C880" s="706" t="s">
        <v>2765</v>
      </c>
      <c r="D880" s="706" t="s">
        <v>2766</v>
      </c>
      <c r="E880" s="706" t="s">
        <v>1143</v>
      </c>
      <c r="F880" s="706" t="s">
        <v>1152</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G63800</v>
      </c>
      <c r="AK880" s="905" t="str">
        <f t="shared" si="87"/>
        <v>COUT-CHEV CAMION AUTRE</v>
      </c>
      <c r="AL880" s="905">
        <f>IFERROR(INDEX(G880:R880,1,MATCH(Parametres!$B$3,G$1:R$1,0)-1)*IF(OR(F880="L",F880="S",F880="I"),-1,1),"")</f>
        <v>0</v>
      </c>
      <c r="AM880" s="1047">
        <f t="shared" si="88"/>
        <v>0</v>
      </c>
      <c r="AN880" s="905">
        <f>INDEX(G880:R880,1,MATCH(Parametres!$B$3,G$1:R$1,0))*IF(OR(F880="L",F880="S",F880="I"),-1,1)</f>
        <v>0</v>
      </c>
      <c r="AO880" s="487" t="e">
        <f>+VLOOKUP($AJ880,Data_Validation!$A:$D,1,0)</f>
        <v>#N/A</v>
      </c>
      <c r="AP880" s="487" t="e">
        <f>+VLOOKUP($AJ880,Data_Validation!$A:$D,3,0)</f>
        <v>#N/A</v>
      </c>
      <c r="AQ880" s="487" t="e">
        <f>+VLOOKUP($AJ880,Data_Validation!$A:$D,4,0)</f>
        <v>#N/A</v>
      </c>
      <c r="AR880" s="487" t="s">
        <v>299</v>
      </c>
      <c r="AS880" s="487" t="e">
        <f>+VLOOKUP($AJ880,Data_Validation!$A:$E,5,0)</f>
        <v>#N/A</v>
      </c>
      <c r="AT880" s="904" t="str">
        <f t="shared" si="89"/>
        <v>G63800</v>
      </c>
      <c r="AU880" s="488" t="str">
        <f t="shared" si="90"/>
        <v>COUT-CHEV CAMION AUTRE</v>
      </c>
      <c r="AV880" s="899">
        <f>IFERROR(INDEX(V880:AG880,1,MATCH(Parametres!$B$3,V$1:AG$1,0)-1)*IF(OR(C880="L",C880="S",C880="I"),-1,1),"")</f>
        <v>0</v>
      </c>
      <c r="AW880" s="899">
        <f t="shared" si="91"/>
        <v>0</v>
      </c>
      <c r="AX880" s="899">
        <f>INDEX(V880:AG880,1,MATCH(Parametres!$B$3,V$1:AG$1,0))*IF(OR(C880="L",C880="S",C880="I"),-1,1)</f>
        <v>0</v>
      </c>
      <c r="AY880" s="487" t="s">
        <v>337</v>
      </c>
      <c r="AZ880" s="487" t="e">
        <f>+VLOOKUP($AJ880,Data_Validation!$A:$E,5,0)</f>
        <v>#N/A</v>
      </c>
    </row>
    <row r="881" spans="1:52" ht="15" customHeight="1">
      <c r="A881" s="706" t="s">
        <v>1148</v>
      </c>
      <c r="B881" s="706">
        <v>2026</v>
      </c>
      <c r="C881" s="706" t="s">
        <v>2767</v>
      </c>
      <c r="D881" s="706" t="s">
        <v>2768</v>
      </c>
      <c r="E881" s="706" t="s">
        <v>1143</v>
      </c>
      <c r="F881" s="706" t="s">
        <v>1152</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G63820</v>
      </c>
      <c r="AK881" s="905" t="str">
        <f t="shared" si="87"/>
        <v>COUT-CHEV CAMION AUTR-LOC</v>
      </c>
      <c r="AL881" s="905">
        <f>IFERROR(INDEX(G881:R881,1,MATCH(Parametres!$B$3,G$1:R$1,0)-1)*IF(OR(F881="L",F881="S",F881="I"),-1,1),"")</f>
        <v>0</v>
      </c>
      <c r="AM881" s="1047">
        <f t="shared" si="88"/>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89"/>
        <v>G63820</v>
      </c>
      <c r="AU881" s="488" t="str">
        <f t="shared" si="90"/>
        <v>COUT-CHEV CAMION AUTR-LOC</v>
      </c>
      <c r="AV881" s="899">
        <f>IFERROR(INDEX(V881:AG881,1,MATCH(Parametres!$B$3,V$1:AG$1,0)-1)*IF(OR(C881="L",C881="S",C881="I"),-1,1),"")</f>
        <v>0</v>
      </c>
      <c r="AW881" s="899">
        <f t="shared" si="91"/>
        <v>0</v>
      </c>
      <c r="AX881" s="899">
        <f>INDEX(V881:AG881,1,MATCH(Parametres!$B$3,V$1:AG$1,0))*IF(OR(C881="L",C881="S",C881="I"),-1,1)</f>
        <v>0</v>
      </c>
      <c r="AY881" s="487" t="s">
        <v>337</v>
      </c>
      <c r="AZ881" s="487" t="e">
        <f>+VLOOKUP($AJ881,Data_Validation!$A:$E,5,0)</f>
        <v>#N/A</v>
      </c>
    </row>
    <row r="882" spans="1:52" ht="15" customHeight="1">
      <c r="A882" s="706" t="s">
        <v>1148</v>
      </c>
      <c r="B882" s="706">
        <v>2026</v>
      </c>
      <c r="C882" s="706" t="s">
        <v>2769</v>
      </c>
      <c r="D882" s="706" t="s">
        <v>2770</v>
      </c>
      <c r="E882" s="706" t="s">
        <v>1143</v>
      </c>
      <c r="F882" s="706" t="s">
        <v>1152</v>
      </c>
      <c r="G882" s="706">
        <v>7273301.1699999999</v>
      </c>
      <c r="H882" s="706">
        <v>16037449.73</v>
      </c>
      <c r="I882" s="706">
        <v>23829594.66</v>
      </c>
      <c r="J882" s="706">
        <v>34920405.240000002</v>
      </c>
      <c r="K882" s="706">
        <v>46295704.060000002</v>
      </c>
      <c r="L882" s="706">
        <v>55008871.770000003</v>
      </c>
      <c r="M882" s="706">
        <v>59070315.450000003</v>
      </c>
      <c r="N882" s="706">
        <v>61573545.5</v>
      </c>
      <c r="O882" s="706">
        <v>63573397.030000001</v>
      </c>
      <c r="P882" s="706">
        <v>0</v>
      </c>
      <c r="Q882" s="706">
        <v>0</v>
      </c>
      <c r="R882" s="706">
        <v>0</v>
      </c>
      <c r="S882" s="706">
        <v>7696693.1900000004</v>
      </c>
      <c r="T882" s="706">
        <v>7696693.1900000004</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G64000</v>
      </c>
      <c r="AK882" s="905" t="str">
        <f t="shared" si="87"/>
        <v>COÛTANT PARC CAMIONS</v>
      </c>
      <c r="AL882" s="905">
        <f>IFERROR(INDEX(G882:R882,1,MATCH(Parametres!$B$3,G$1:R$1,0)-1)*IF(OR(F882="L",F882="S",F882="I"),-1,1),"")</f>
        <v>59070315.450000003</v>
      </c>
      <c r="AM882" s="1047">
        <f t="shared" si="88"/>
        <v>2503230.049999997</v>
      </c>
      <c r="AN882" s="905">
        <f>INDEX(G882:R882,1,MATCH(Parametres!$B$3,G$1:R$1,0))*IF(OR(F882="L",F882="S",F882="I"),-1,1)</f>
        <v>61573545.5</v>
      </c>
      <c r="AO882" s="487" t="str">
        <f>+VLOOKUP($AJ882,Data_Validation!$A:$D,1,0)</f>
        <v>G64000</v>
      </c>
      <c r="AP882" s="487" t="str">
        <f>+VLOOKUP($AJ882,Data_Validation!$A:$D,3,0)</f>
        <v>Véhicules neufs</v>
      </c>
      <c r="AQ882" s="487" t="str">
        <f>+VLOOKUP($AJ882,Data_Validation!$A:$D,4,0)</f>
        <v>Flottes</v>
      </c>
      <c r="AR882" s="487" t="s">
        <v>299</v>
      </c>
      <c r="AS882" s="487">
        <f>+VLOOKUP($AJ882,Data_Validation!$A:$E,5,0)</f>
        <v>0</v>
      </c>
      <c r="AT882" s="904" t="str">
        <f t="shared" si="89"/>
        <v>G64000</v>
      </c>
      <c r="AU882" s="488" t="str">
        <f t="shared" si="90"/>
        <v>COÛTANT PARC CAMIONS</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customHeight="1">
      <c r="A883" s="706" t="s">
        <v>1148</v>
      </c>
      <c r="B883" s="706">
        <v>2026</v>
      </c>
      <c r="C883" s="706" t="s">
        <v>2771</v>
      </c>
      <c r="D883" s="706" t="s">
        <v>2772</v>
      </c>
      <c r="E883" s="706" t="s">
        <v>1143</v>
      </c>
      <c r="F883" s="706" t="s">
        <v>1152</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G64100</v>
      </c>
      <c r="AK883" s="905" t="str">
        <f t="shared" si="87"/>
        <v>COUT-CAMIONS INTERNE</v>
      </c>
      <c r="AL883" s="905">
        <f>IFERROR(INDEX(G883:R883,1,MATCH(Parametres!$B$3,G$1:R$1,0)-1)*IF(OR(F883="L",F883="S",F883="I"),-1,1),"")</f>
        <v>0</v>
      </c>
      <c r="AM883" s="905">
        <f t="shared" si="88"/>
        <v>0</v>
      </c>
      <c r="AN883" s="905">
        <f>INDEX(G883:R883,1,MATCH(Parametres!$B$3,G$1:R$1,0))*IF(OR(F883="L",F883="S",F883="I"),-1,1)</f>
        <v>0</v>
      </c>
      <c r="AO883" s="487" t="str">
        <f>+VLOOKUP($AJ883,Data_Validation!$A:$D,1,0)</f>
        <v>G64100</v>
      </c>
      <c r="AP883" s="487" t="str">
        <f>+VLOOKUP($AJ883,Data_Validation!$A:$D,3,0)</f>
        <v>Véhicules neufs</v>
      </c>
      <c r="AQ883" s="487" t="str">
        <f>+VLOOKUP($AJ883,Data_Validation!$A:$D,4,0)</f>
        <v>Flottes</v>
      </c>
      <c r="AR883" s="487" t="s">
        <v>299</v>
      </c>
      <c r="AS883" s="487">
        <f>+VLOOKUP($AJ883,Data_Validation!$A:$E,5,0)</f>
        <v>0</v>
      </c>
      <c r="AT883" s="904" t="str">
        <f t="shared" si="89"/>
        <v>G64100</v>
      </c>
      <c r="AU883" s="488" t="str">
        <f t="shared" si="90"/>
        <v>COUT-CAMIONS INTERNE</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3383</v>
      </c>
      <c r="D884" s="706" t="s">
        <v>3384</v>
      </c>
      <c r="E884" s="706" t="s">
        <v>333</v>
      </c>
      <c r="F884" s="706" t="s">
        <v>1152</v>
      </c>
      <c r="G884" s="706">
        <v>0</v>
      </c>
      <c r="H884" s="706">
        <v>0</v>
      </c>
      <c r="I884" s="706">
        <v>0</v>
      </c>
      <c r="J884" s="706">
        <v>0</v>
      </c>
      <c r="K884" s="706">
        <v>0</v>
      </c>
      <c r="L884" s="706">
        <v>0</v>
      </c>
      <c r="M884" s="706">
        <v>0</v>
      </c>
      <c r="N884" s="706">
        <v>0</v>
      </c>
      <c r="O884" s="706">
        <v>0</v>
      </c>
      <c r="P884" s="706">
        <v>0</v>
      </c>
      <c r="Q884" s="706">
        <v>0</v>
      </c>
      <c r="R884" s="706">
        <v>0</v>
      </c>
      <c r="S884" s="706">
        <v>0</v>
      </c>
      <c r="T884" s="706">
        <v>0</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G64140</v>
      </c>
      <c r="AK884" s="905" t="str">
        <f t="shared" si="87"/>
        <v>COUT - M.O LOURD -SAAQ</v>
      </c>
      <c r="AL884" s="905">
        <f>IFERROR(INDEX(G884:R884,1,MATCH(Parametres!$B$3,G$1:R$1,0)-1)*IF(OR(F884="L",F884="S",F884="I"),-1,1),"")</f>
        <v>0</v>
      </c>
      <c r="AM884" s="905">
        <f t="shared" si="88"/>
        <v>0</v>
      </c>
      <c r="AN884" s="905">
        <f>INDEX(G884:R884,1,MATCH(Parametres!$B$3,G$1:R$1,0))*IF(OR(F884="L",F884="S",F884="I"),-1,1)</f>
        <v>0</v>
      </c>
      <c r="AO884" s="487" t="e">
        <f>+VLOOKUP($AJ884,Data_Validation!$A:$D,1,0)</f>
        <v>#N/A</v>
      </c>
      <c r="AP884" s="487" t="e">
        <f>+VLOOKUP($AJ884,Data_Validation!$A:$D,3,0)</f>
        <v>#N/A</v>
      </c>
      <c r="AQ884" s="487" t="e">
        <f>+VLOOKUP($AJ884,Data_Validation!$A:$D,4,0)</f>
        <v>#N/A</v>
      </c>
      <c r="AR884" s="487" t="s">
        <v>299</v>
      </c>
      <c r="AS884" s="487" t="e">
        <f>+VLOOKUP($AJ884,Data_Validation!$A:$E,5,0)</f>
        <v>#N/A</v>
      </c>
      <c r="AT884" s="904" t="str">
        <f t="shared" si="89"/>
        <v>G64140</v>
      </c>
      <c r="AU884" s="488" t="str">
        <f t="shared" si="90"/>
        <v>COUT - M.O LOURD -SAAQ</v>
      </c>
      <c r="AV884" s="899">
        <f>IFERROR(INDEX(V884:AG884,1,MATCH(Parametres!$B$3,V$1:AG$1,0)-1)*IF(OR(C884="L",C884="S",C884="I"),-1,1),"")</f>
        <v>0</v>
      </c>
      <c r="AW884" s="899">
        <f t="shared" si="91"/>
        <v>0</v>
      </c>
      <c r="AX884" s="899">
        <f>INDEX(V884:AG884,1,MATCH(Parametres!$B$3,V$1:AG$1,0))*IF(OR(C884="L",C884="S",C884="I"),-1,1)</f>
        <v>0</v>
      </c>
      <c r="AY884" s="487" t="s">
        <v>337</v>
      </c>
      <c r="AZ884" s="487" t="e">
        <f>+VLOOKUP($AJ884,Data_Validation!$A:$E,5,0)</f>
        <v>#N/A</v>
      </c>
    </row>
    <row r="885" spans="1:52" ht="15" customHeight="1">
      <c r="A885" s="706" t="s">
        <v>1148</v>
      </c>
      <c r="B885" s="706">
        <v>2026</v>
      </c>
      <c r="C885" s="706" t="s">
        <v>2773</v>
      </c>
      <c r="D885" s="706" t="s">
        <v>2774</v>
      </c>
      <c r="E885" s="706" t="s">
        <v>333</v>
      </c>
      <c r="F885" s="706" t="s">
        <v>1152</v>
      </c>
      <c r="G885" s="706">
        <v>34529.760000000002</v>
      </c>
      <c r="H885" s="706">
        <v>53306.91</v>
      </c>
      <c r="I885" s="706">
        <v>79327.56</v>
      </c>
      <c r="J885" s="706">
        <v>136672.56</v>
      </c>
      <c r="K885" s="706">
        <v>162823.12</v>
      </c>
      <c r="L885" s="706">
        <v>190841.3</v>
      </c>
      <c r="M885" s="706">
        <v>225746.73</v>
      </c>
      <c r="N885" s="706">
        <v>253685.05</v>
      </c>
      <c r="O885" s="706">
        <v>282775.90999999997</v>
      </c>
      <c r="P885" s="706">
        <v>0</v>
      </c>
      <c r="Q885" s="706">
        <v>0</v>
      </c>
      <c r="R885" s="706">
        <v>0</v>
      </c>
      <c r="S885" s="706">
        <v>31710.63</v>
      </c>
      <c r="T885" s="706">
        <v>31710.63</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G64300</v>
      </c>
      <c r="AK885" s="905" t="str">
        <f t="shared" si="87"/>
        <v>COUT-PLAN PROTECTION</v>
      </c>
      <c r="AL885" s="905">
        <f>IFERROR(INDEX(G885:R885,1,MATCH(Parametres!$B$3,G$1:R$1,0)-1)*IF(OR(F885="L",F885="S",F885="I"),-1,1),"")</f>
        <v>225746.73</v>
      </c>
      <c r="AM885" s="905">
        <f t="shared" si="88"/>
        <v>27938.319999999978</v>
      </c>
      <c r="AN885" s="905">
        <f>INDEX(G885:R885,1,MATCH(Parametres!$B$3,G$1:R$1,0))*IF(OR(F885="L",F885="S",F885="I"),-1,1)</f>
        <v>253685.05</v>
      </c>
      <c r="AO885" s="487" t="str">
        <f>+VLOOKUP($AJ885,Data_Validation!$A:$D,1,0)</f>
        <v>G64300</v>
      </c>
      <c r="AP885" s="487" t="str">
        <f>+VLOOKUP($AJ885,Data_Validation!$A:$D,3,0)</f>
        <v>Véhicules neufs</v>
      </c>
      <c r="AQ885" s="487" t="str">
        <f>+VLOOKUP($AJ885,Data_Validation!$A:$D,4,0)</f>
        <v>Rev. Protections</v>
      </c>
      <c r="AR885" s="487" t="s">
        <v>299</v>
      </c>
      <c r="AS885" s="487">
        <f>+VLOOKUP($AJ885,Data_Validation!$A:$E,5,0)</f>
        <v>0</v>
      </c>
      <c r="AT885" s="904" t="str">
        <f t="shared" si="89"/>
        <v>G64300</v>
      </c>
      <c r="AU885" s="488" t="str">
        <f t="shared" si="90"/>
        <v>COUT-PLAN PROTECTION</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customHeight="1">
      <c r="A886" s="706" t="s">
        <v>1148</v>
      </c>
      <c r="B886" s="706">
        <v>2026</v>
      </c>
      <c r="C886" s="706" t="s">
        <v>2775</v>
      </c>
      <c r="D886" s="706" t="s">
        <v>2776</v>
      </c>
      <c r="E886" s="706" t="s">
        <v>333</v>
      </c>
      <c r="F886" s="706" t="s">
        <v>1152</v>
      </c>
      <c r="G886" s="706">
        <v>0</v>
      </c>
      <c r="H886" s="706">
        <v>0</v>
      </c>
      <c r="I886" s="706">
        <v>0</v>
      </c>
      <c r="J886" s="706">
        <v>0</v>
      </c>
      <c r="K886" s="706">
        <v>0</v>
      </c>
      <c r="L886" s="706">
        <v>0</v>
      </c>
      <c r="M886" s="706">
        <v>0</v>
      </c>
      <c r="N886" s="706">
        <v>0</v>
      </c>
      <c r="O886" s="706">
        <v>0</v>
      </c>
      <c r="P886" s="706">
        <v>0</v>
      </c>
      <c r="Q886" s="706">
        <v>0</v>
      </c>
      <c r="R886" s="706">
        <v>0</v>
      </c>
      <c r="S886" s="706">
        <v>0</v>
      </c>
      <c r="T886" s="706">
        <v>0</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G64400</v>
      </c>
      <c r="AK886" s="905" t="str">
        <f t="shared" si="87"/>
        <v>COÛTANT PROTECTION PLUS</v>
      </c>
      <c r="AL886" s="905">
        <f>IFERROR(INDEX(G886:R886,1,MATCH(Parametres!$B$3,G$1:R$1,0)-1)*IF(OR(F886="L",F886="S",F886="I"),-1,1),"")</f>
        <v>0</v>
      </c>
      <c r="AM886" s="905">
        <f t="shared" si="88"/>
        <v>0</v>
      </c>
      <c r="AN886" s="905">
        <f>INDEX(G886:R886,1,MATCH(Parametres!$B$3,G$1:R$1,0))*IF(OR(F886="L",F886="S",F886="I"),-1,1)</f>
        <v>0</v>
      </c>
      <c r="AO886" s="487" t="str">
        <f>+VLOOKUP($AJ886,Data_Validation!$A:$D,1,0)</f>
        <v>G64400</v>
      </c>
      <c r="AP886" s="487" t="str">
        <f>+VLOOKUP($AJ886,Data_Validation!$A:$D,3,0)</f>
        <v>Véhicules neufs</v>
      </c>
      <c r="AQ886" s="487" t="str">
        <f>+VLOOKUP($AJ886,Data_Validation!$A:$D,4,0)</f>
        <v>Rev. Protections</v>
      </c>
      <c r="AR886" s="487" t="s">
        <v>299</v>
      </c>
      <c r="AS886" s="487">
        <f>+VLOOKUP($AJ886,Data_Validation!$A:$E,5,0)</f>
        <v>0</v>
      </c>
      <c r="AT886" s="904" t="str">
        <f t="shared" si="89"/>
        <v>G64400</v>
      </c>
      <c r="AU886" s="488" t="str">
        <f t="shared" si="90"/>
        <v>COÛTANT PROTECTION PLUS</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customHeight="1">
      <c r="A887" s="706" t="s">
        <v>1148</v>
      </c>
      <c r="B887" s="706">
        <v>2026</v>
      </c>
      <c r="C887" s="706" t="s">
        <v>2777</v>
      </c>
      <c r="D887" s="706" t="s">
        <v>3385</v>
      </c>
      <c r="E887" s="706" t="s">
        <v>333</v>
      </c>
      <c r="F887" s="706" t="s">
        <v>1152</v>
      </c>
      <c r="G887" s="706">
        <v>600.12</v>
      </c>
      <c r="H887" s="706">
        <v>1014.6</v>
      </c>
      <c r="I887" s="706">
        <v>1618.72</v>
      </c>
      <c r="J887" s="706">
        <v>3268.99</v>
      </c>
      <c r="K887" s="706">
        <v>6581.72</v>
      </c>
      <c r="L887" s="706">
        <v>8073.78</v>
      </c>
      <c r="M887" s="706">
        <v>12615.9</v>
      </c>
      <c r="N887" s="706">
        <v>13343.59</v>
      </c>
      <c r="O887" s="706">
        <v>14093.59</v>
      </c>
      <c r="P887" s="706">
        <v>0</v>
      </c>
      <c r="Q887" s="706">
        <v>0</v>
      </c>
      <c r="R887" s="706">
        <v>0</v>
      </c>
      <c r="S887" s="706">
        <v>1667.95</v>
      </c>
      <c r="T887" s="706">
        <v>1667.95</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G64501</v>
      </c>
      <c r="AK887" s="905" t="str">
        <f t="shared" si="87"/>
        <v>COUT-ANTIROUILLE - NF</v>
      </c>
      <c r="AL887" s="905">
        <f>IFERROR(INDEX(G887:R887,1,MATCH(Parametres!$B$3,G$1:R$1,0)-1)*IF(OR(F887="L",F887="S",F887="I"),-1,1),"")</f>
        <v>12615.9</v>
      </c>
      <c r="AM887" s="905">
        <f t="shared" si="88"/>
        <v>727.69000000000051</v>
      </c>
      <c r="AN887" s="905">
        <f>INDEX(G887:R887,1,MATCH(Parametres!$B$3,G$1:R$1,0))*IF(OR(F887="L",F887="S",F887="I"),-1,1)</f>
        <v>13343.59</v>
      </c>
      <c r="AO887" s="487" t="str">
        <f>+VLOOKUP($AJ887,Data_Validation!$A:$D,1,0)</f>
        <v>G64501</v>
      </c>
      <c r="AP887" s="487" t="str">
        <f>+VLOOKUP($AJ887,Data_Validation!$A:$D,3,0)</f>
        <v>Véhicules neufs</v>
      </c>
      <c r="AQ887" s="487" t="str">
        <f>+VLOOKUP($AJ887,Data_Validation!$A:$D,4,0)</f>
        <v>Rev. Autres</v>
      </c>
      <c r="AR887" s="487" t="s">
        <v>299</v>
      </c>
      <c r="AS887" s="487">
        <f>+VLOOKUP($AJ887,Data_Validation!$A:$E,5,0)</f>
        <v>0</v>
      </c>
      <c r="AT887" s="904" t="str">
        <f t="shared" si="89"/>
        <v>G64501</v>
      </c>
      <c r="AU887" s="488" t="str">
        <f t="shared" si="90"/>
        <v>COUT-ANTIROUILLE - NF</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2779</v>
      </c>
      <c r="D888" s="706" t="s">
        <v>2387</v>
      </c>
      <c r="E888" s="706" t="s">
        <v>333</v>
      </c>
      <c r="F888" s="706" t="s">
        <v>1152</v>
      </c>
      <c r="G888" s="706">
        <v>231.14</v>
      </c>
      <c r="H888" s="706">
        <v>940.47</v>
      </c>
      <c r="I888" s="706">
        <v>778.47</v>
      </c>
      <c r="J888" s="706">
        <v>1525.75</v>
      </c>
      <c r="K888" s="706">
        <v>2854.78</v>
      </c>
      <c r="L888" s="706">
        <v>4784.18</v>
      </c>
      <c r="M888" s="706">
        <v>7563.45</v>
      </c>
      <c r="N888" s="706">
        <v>11758.45</v>
      </c>
      <c r="O888" s="706">
        <v>12063.45</v>
      </c>
      <c r="P888" s="706">
        <v>0</v>
      </c>
      <c r="Q888" s="706">
        <v>0</v>
      </c>
      <c r="R888" s="706">
        <v>0</v>
      </c>
      <c r="S888" s="706">
        <v>1469.81</v>
      </c>
      <c r="T888" s="706">
        <v>1469.81</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G64503</v>
      </c>
      <c r="AK888" s="905" t="str">
        <f t="shared" si="87"/>
        <v>V.TEINTÉE-PEINTURE-TISSUS</v>
      </c>
      <c r="AL888" s="905">
        <f>IFERROR(INDEX(G888:R888,1,MATCH(Parametres!$B$3,G$1:R$1,0)-1)*IF(OR(F888="L",F888="S",F888="I"),-1,1),"")</f>
        <v>7563.45</v>
      </c>
      <c r="AM888" s="905">
        <f t="shared" si="88"/>
        <v>4195.0000000000009</v>
      </c>
      <c r="AN888" s="905">
        <f>INDEX(G888:R888,1,MATCH(Parametres!$B$3,G$1:R$1,0))*IF(OR(F888="L",F888="S",F888="I"),-1,1)</f>
        <v>11758.45</v>
      </c>
      <c r="AO888" s="487" t="str">
        <f>+VLOOKUP($AJ888,Data_Validation!$A:$D,1,0)</f>
        <v>G64503</v>
      </c>
      <c r="AP888" s="487" t="str">
        <f>+VLOOKUP($AJ888,Data_Validation!$A:$D,3,0)</f>
        <v>Véhicules neufs</v>
      </c>
      <c r="AQ888" s="487" t="str">
        <f>+VLOOKUP($AJ888,Data_Validation!$A:$D,4,0)</f>
        <v>Rev. Autres</v>
      </c>
      <c r="AR888" s="487" t="s">
        <v>299</v>
      </c>
      <c r="AS888" s="487">
        <f>+VLOOKUP($AJ888,Data_Validation!$A:$E,5,0)</f>
        <v>0</v>
      </c>
      <c r="AT888" s="904" t="str">
        <f t="shared" si="89"/>
        <v>G64503</v>
      </c>
      <c r="AU888" s="488" t="str">
        <f t="shared" si="90"/>
        <v>V.TEINTÉE-PEINTURE-TISSUS</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2780</v>
      </c>
      <c r="D889" s="706" t="s">
        <v>2781</v>
      </c>
      <c r="E889" s="706" t="s">
        <v>333</v>
      </c>
      <c r="F889" s="706" t="s">
        <v>1152</v>
      </c>
      <c r="G889" s="706">
        <v>0</v>
      </c>
      <c r="H889" s="706">
        <v>2838.5</v>
      </c>
      <c r="I889" s="706">
        <v>4779.7700000000004</v>
      </c>
      <c r="J889" s="706">
        <v>6961.67</v>
      </c>
      <c r="K889" s="706">
        <v>6961.67</v>
      </c>
      <c r="L889" s="706">
        <v>6961.67</v>
      </c>
      <c r="M889" s="706">
        <v>9299.67</v>
      </c>
      <c r="N889" s="706">
        <v>9299.67</v>
      </c>
      <c r="O889" s="706">
        <v>9299.67</v>
      </c>
      <c r="P889" s="706">
        <v>0</v>
      </c>
      <c r="Q889" s="706">
        <v>0</v>
      </c>
      <c r="R889" s="706">
        <v>0</v>
      </c>
      <c r="S889" s="706">
        <v>1162.46</v>
      </c>
      <c r="T889" s="706">
        <v>1162.46</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G64504</v>
      </c>
      <c r="AK889" s="905" t="str">
        <f t="shared" si="87"/>
        <v>COUT-VALEUR REMPLACEMENT</v>
      </c>
      <c r="AL889" s="905">
        <f>IFERROR(INDEX(G889:R889,1,MATCH(Parametres!$B$3,G$1:R$1,0)-1)*IF(OR(F889="L",F889="S",F889="I"),-1,1),"")</f>
        <v>9299.67</v>
      </c>
      <c r="AM889" s="905">
        <f t="shared" si="88"/>
        <v>0</v>
      </c>
      <c r="AN889" s="905">
        <f>INDEX(G889:R889,1,MATCH(Parametres!$B$3,G$1:R$1,0))*IF(OR(F889="L",F889="S",F889="I"),-1,1)</f>
        <v>9299.67</v>
      </c>
      <c r="AO889" s="487" t="str">
        <f>+VLOOKUP($AJ889,Data_Validation!$A:$D,1,0)</f>
        <v>G64504</v>
      </c>
      <c r="AP889" s="487" t="str">
        <f>+VLOOKUP($AJ889,Data_Validation!$A:$D,3,0)</f>
        <v>Véhicules neufs</v>
      </c>
      <c r="AQ889" s="487" t="str">
        <f>+VLOOKUP($AJ889,Data_Validation!$A:$D,4,0)</f>
        <v>Rev. Protections</v>
      </c>
      <c r="AR889" s="487" t="s">
        <v>299</v>
      </c>
      <c r="AS889" s="487">
        <f>+VLOOKUP($AJ889,Data_Validation!$A:$E,5,0)</f>
        <v>0</v>
      </c>
      <c r="AT889" s="904" t="str">
        <f t="shared" si="89"/>
        <v>G64504</v>
      </c>
      <c r="AU889" s="488" t="str">
        <f t="shared" si="90"/>
        <v>COUT-VALEUR REMPLACEMENT</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customHeight="1">
      <c r="A890" s="706" t="s">
        <v>1148</v>
      </c>
      <c r="B890" s="706">
        <v>2026</v>
      </c>
      <c r="C890" s="706" t="s">
        <v>2782</v>
      </c>
      <c r="D890" s="706" t="s">
        <v>3386</v>
      </c>
      <c r="E890" s="706" t="s">
        <v>333</v>
      </c>
      <c r="F890" s="706" t="s">
        <v>1152</v>
      </c>
      <c r="G890" s="706">
        <v>2360.92</v>
      </c>
      <c r="H890" s="706">
        <v>4670.92</v>
      </c>
      <c r="I890" s="706">
        <v>6700.24</v>
      </c>
      <c r="J890" s="706">
        <v>9714.4</v>
      </c>
      <c r="K890" s="706">
        <v>13158.88</v>
      </c>
      <c r="L890" s="706">
        <v>14463.4</v>
      </c>
      <c r="M890" s="706">
        <v>18053.560000000001</v>
      </c>
      <c r="N890" s="706">
        <v>20991.68</v>
      </c>
      <c r="O890" s="706">
        <v>20991.68</v>
      </c>
      <c r="P890" s="706">
        <v>0</v>
      </c>
      <c r="Q890" s="706">
        <v>0</v>
      </c>
      <c r="R890" s="706">
        <v>0</v>
      </c>
      <c r="S890" s="706">
        <v>2623.96</v>
      </c>
      <c r="T890" s="706">
        <v>2623.96</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G64505</v>
      </c>
      <c r="AK890" s="905" t="str">
        <f t="shared" si="87"/>
        <v>COUT-ANTIVOL ET TAG-NF</v>
      </c>
      <c r="AL890" s="905">
        <f>IFERROR(INDEX(G890:R890,1,MATCH(Parametres!$B$3,G$1:R$1,0)-1)*IF(OR(F890="L",F890="S",F890="I"),-1,1),"")</f>
        <v>18053.560000000001</v>
      </c>
      <c r="AM890" s="905">
        <f t="shared" si="88"/>
        <v>2938.119999999999</v>
      </c>
      <c r="AN890" s="905">
        <f>INDEX(G890:R890,1,MATCH(Parametres!$B$3,G$1:R$1,0))*IF(OR(F890="L",F890="S",F890="I"),-1,1)</f>
        <v>20991.68</v>
      </c>
      <c r="AO890" s="487" t="str">
        <f>+VLOOKUP($AJ890,Data_Validation!$A:$D,1,0)</f>
        <v>G64505</v>
      </c>
      <c r="AP890" s="487" t="str">
        <f>+VLOOKUP($AJ890,Data_Validation!$A:$D,3,0)</f>
        <v>Véhicules neufs</v>
      </c>
      <c r="AQ890" s="487" t="str">
        <f>+VLOOKUP($AJ890,Data_Validation!$A:$D,4,0)</f>
        <v>Rev. Autres</v>
      </c>
      <c r="AR890" s="487" t="s">
        <v>299</v>
      </c>
      <c r="AS890" s="487">
        <f>+VLOOKUP($AJ890,Data_Validation!$A:$E,5,0)</f>
        <v>0</v>
      </c>
      <c r="AT890" s="904" t="str">
        <f t="shared" si="89"/>
        <v>G64505</v>
      </c>
      <c r="AU890" s="488" t="str">
        <f t="shared" si="90"/>
        <v>COUT-ANTIVOL ET TAG-NF</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customHeight="1">
      <c r="A891" s="706" t="s">
        <v>1148</v>
      </c>
      <c r="B891" s="706">
        <v>2026</v>
      </c>
      <c r="C891" s="706" t="s">
        <v>2784</v>
      </c>
      <c r="D891" s="706" t="s">
        <v>2785</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G64600</v>
      </c>
      <c r="AK891" s="905" t="str">
        <f t="shared" si="87"/>
        <v>COUT-AUTO OCC.DET.OPTIMUM</v>
      </c>
      <c r="AL891" s="905">
        <f>IFERROR(INDEX(G891:R891,1,MATCH(Parametres!$B$3,G$1:R$1,0)-1)*IF(OR(F891="L",F891="S",F891="I"),-1,1),"")</f>
        <v>0</v>
      </c>
      <c r="AM891" s="905">
        <f t="shared" si="88"/>
        <v>0</v>
      </c>
      <c r="AN891" s="905">
        <f>INDEX(G891:R891,1,MATCH(Parametres!$B$3,G$1:R$1,0))*IF(OR(F891="L",F891="S",F891="I"),-1,1)</f>
        <v>0</v>
      </c>
      <c r="AO891" s="487" t="str">
        <f>+VLOOKUP($AJ891,Data_Validation!$A:$D,1,0)</f>
        <v>G64600</v>
      </c>
      <c r="AP891" s="487" t="str">
        <f>+VLOOKUP($AJ891,Data_Validation!$A:$D,3,0)</f>
        <v>Véhicules usagés</v>
      </c>
      <c r="AQ891" s="487" t="str">
        <f>+VLOOKUP($AJ891,Data_Validation!$A:$D,4,0)</f>
        <v>Certifié</v>
      </c>
      <c r="AR891" s="487" t="s">
        <v>299</v>
      </c>
      <c r="AS891" s="487">
        <f>+VLOOKUP($AJ891,Data_Validation!$A:$E,5,0)</f>
        <v>0</v>
      </c>
      <c r="AT891" s="904" t="str">
        <f t="shared" si="89"/>
        <v>G64600</v>
      </c>
      <c r="AU891" s="488" t="str">
        <f t="shared" si="90"/>
        <v>COUT-AUTO OCC.DET.OPTIMUM</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2786</v>
      </c>
      <c r="D892" s="706" t="s">
        <v>3387</v>
      </c>
      <c r="E892" s="706" t="s">
        <v>1143</v>
      </c>
      <c r="F892" s="706" t="s">
        <v>1152</v>
      </c>
      <c r="G892" s="706">
        <v>85546.39</v>
      </c>
      <c r="H892" s="706">
        <v>148258.85999999999</v>
      </c>
      <c r="I892" s="706">
        <v>190675.95</v>
      </c>
      <c r="J892" s="706">
        <v>285157.03000000003</v>
      </c>
      <c r="K892" s="706">
        <v>386436.24</v>
      </c>
      <c r="L892" s="706">
        <v>462445.61</v>
      </c>
      <c r="M892" s="706">
        <v>607565.01</v>
      </c>
      <c r="N892" s="706">
        <v>621723.5</v>
      </c>
      <c r="O892" s="706">
        <v>653129.73</v>
      </c>
      <c r="P892" s="706">
        <v>0</v>
      </c>
      <c r="Q892" s="706">
        <v>0</v>
      </c>
      <c r="R892" s="706">
        <v>0</v>
      </c>
      <c r="S892" s="706">
        <v>77715.44</v>
      </c>
      <c r="T892" s="706">
        <v>77715.44</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G64601</v>
      </c>
      <c r="AK892" s="905" t="str">
        <f t="shared" si="87"/>
        <v>COUT-AUTO OCC.GM N-CERT</v>
      </c>
      <c r="AL892" s="905">
        <f>IFERROR(INDEX(G892:R892,1,MATCH(Parametres!$B$3,G$1:R$1,0)-1)*IF(OR(F892="L",F892="S",F892="I"),-1,1),"")</f>
        <v>607565.01</v>
      </c>
      <c r="AM892" s="905">
        <f t="shared" si="88"/>
        <v>14158.489999999991</v>
      </c>
      <c r="AN892" s="905">
        <f>INDEX(G892:R892,1,MATCH(Parametres!$B$3,G$1:R$1,0))*IF(OR(F892="L",F892="S",F892="I"),-1,1)</f>
        <v>621723.5</v>
      </c>
      <c r="AO892" s="487" t="str">
        <f>+VLOOKUP($AJ892,Data_Validation!$A:$D,1,0)</f>
        <v>G64601</v>
      </c>
      <c r="AP892" s="487" t="str">
        <f>+VLOOKUP($AJ892,Data_Validation!$A:$D,3,0)</f>
        <v>Véhicules usagés</v>
      </c>
      <c r="AQ892" s="487" t="str">
        <f>+VLOOKUP($AJ892,Data_Validation!$A:$D,4,0)</f>
        <v>Non Certifié</v>
      </c>
      <c r="AR892" s="487" t="s">
        <v>299</v>
      </c>
      <c r="AS892" s="487">
        <f>+VLOOKUP($AJ892,Data_Validation!$A:$E,5,0)</f>
        <v>0</v>
      </c>
      <c r="AT892" s="904" t="str">
        <f t="shared" si="89"/>
        <v>G64601</v>
      </c>
      <c r="AU892" s="488" t="str">
        <f t="shared" si="90"/>
        <v>COUT-AUTO OCC.GM N-CERT</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3388</v>
      </c>
      <c r="D893" s="706" t="s">
        <v>3389</v>
      </c>
      <c r="E893" s="706" t="s">
        <v>1143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G64602</v>
      </c>
      <c r="AK893" s="905" t="str">
        <f t="shared" si="87"/>
        <v>COUT-AUTO AUTRE MARQ</v>
      </c>
      <c r="AL893" s="905">
        <f>IFERROR(INDEX(G893:R893,1,MATCH(Parametres!$B$3,G$1:R$1,0)-1)*IF(OR(F893="L",F893="S",F893="I"),-1,1),"")</f>
        <v>0</v>
      </c>
      <c r="AM893" s="905">
        <f t="shared" si="88"/>
        <v>0</v>
      </c>
      <c r="AN893" s="905">
        <f>INDEX(G893:R893,1,MATCH(Parametres!$B$3,G$1:R$1,0))*IF(OR(F893="L",F893="S",F893="I"),-1,1)</f>
        <v>0</v>
      </c>
      <c r="AO893" s="487" t="str">
        <f>+VLOOKUP($AJ893,Data_Validation!$A:$D,1,0)</f>
        <v>G64602</v>
      </c>
      <c r="AP893" s="487" t="str">
        <f>+VLOOKUP($AJ893,Data_Validation!$A:$D,3,0)</f>
        <v>Véhicules usagés</v>
      </c>
      <c r="AQ893" s="487" t="str">
        <f>+VLOOKUP($AJ893,Data_Validation!$A:$D,4,0)</f>
        <v>Autres Marques</v>
      </c>
      <c r="AR893" s="487" t="s">
        <v>299</v>
      </c>
      <c r="AS893" s="487">
        <f>+VLOOKUP($AJ893,Data_Validation!$A:$E,5,0)</f>
        <v>0</v>
      </c>
      <c r="AT893" s="904" t="str">
        <f t="shared" si="89"/>
        <v>G64602</v>
      </c>
      <c r="AU893" s="488" t="str">
        <f t="shared" si="90"/>
        <v>COUT-AUTO AUTRE MARQ</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3147</v>
      </c>
      <c r="D894" s="706" t="s">
        <v>3148</v>
      </c>
      <c r="E894" s="706" t="s">
        <v>1143</v>
      </c>
      <c r="F894" s="706" t="s">
        <v>1152</v>
      </c>
      <c r="G894" s="706">
        <v>0</v>
      </c>
      <c r="H894" s="706">
        <v>0</v>
      </c>
      <c r="I894" s="706">
        <v>0</v>
      </c>
      <c r="J894" s="706">
        <v>0</v>
      </c>
      <c r="K894" s="706">
        <v>0</v>
      </c>
      <c r="L894" s="706">
        <v>7217.34</v>
      </c>
      <c r="M894" s="706">
        <v>7217.34</v>
      </c>
      <c r="N894" s="706">
        <v>7217.34</v>
      </c>
      <c r="O894" s="706">
        <v>7217.34</v>
      </c>
      <c r="P894" s="706">
        <v>0</v>
      </c>
      <c r="Q894" s="706">
        <v>0</v>
      </c>
      <c r="R894" s="706">
        <v>0</v>
      </c>
      <c r="S894" s="706">
        <v>902.17</v>
      </c>
      <c r="T894" s="706">
        <v>902.17</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G64603</v>
      </c>
      <c r="AK894" s="905" t="str">
        <f t="shared" si="87"/>
        <v>COUT-RACHAT BAIL AUTO</v>
      </c>
      <c r="AL894" s="905">
        <f>IFERROR(INDEX(G894:R894,1,MATCH(Parametres!$B$3,G$1:R$1,0)-1)*IF(OR(F894="L",F894="S",F894="I"),-1,1),"")</f>
        <v>7217.34</v>
      </c>
      <c r="AM894" s="905">
        <f t="shared" si="88"/>
        <v>0</v>
      </c>
      <c r="AN894" s="905">
        <f>INDEX(G894:R894,1,MATCH(Parametres!$B$3,G$1:R$1,0))*IF(OR(F894="L",F894="S",F894="I"),-1,1)</f>
        <v>7217.34</v>
      </c>
      <c r="AO894" s="487" t="str">
        <f>+VLOOKUP($AJ894,Data_Validation!$A:$D,1,0)</f>
        <v>G64603</v>
      </c>
      <c r="AP894" s="487">
        <f>+VLOOKUP($AJ894,Data_Validation!$A:$D,3,0)</f>
        <v>0</v>
      </c>
      <c r="AQ894" s="487">
        <f>+VLOOKUP($AJ894,Data_Validation!$A:$D,4,0)</f>
        <v>0</v>
      </c>
      <c r="AR894" s="487" t="s">
        <v>299</v>
      </c>
      <c r="AS894" s="487">
        <f>+VLOOKUP($AJ894,Data_Validation!$A:$E,5,0)</f>
        <v>0</v>
      </c>
      <c r="AT894" s="904" t="str">
        <f t="shared" si="89"/>
        <v>G64603</v>
      </c>
      <c r="AU894" s="488" t="str">
        <f t="shared" si="90"/>
        <v>COUT-RACHAT BAIL AUTO</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2788</v>
      </c>
      <c r="D895" s="706" t="s">
        <v>2789</v>
      </c>
      <c r="E895" s="706" t="s">
        <v>1143</v>
      </c>
      <c r="F895" s="706" t="s">
        <v>1152</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G64620</v>
      </c>
      <c r="AK895" s="905" t="str">
        <f t="shared" si="87"/>
        <v>COUT-LOC.AUTO USAGE OPT.</v>
      </c>
      <c r="AL895" s="905">
        <f>IFERROR(INDEX(G895:R895,1,MATCH(Parametres!$B$3,G$1:R$1,0)-1)*IF(OR(F895="L",F895="S",F895="I"),-1,1),"")</f>
        <v>0</v>
      </c>
      <c r="AM895" s="1047">
        <f t="shared" si="88"/>
        <v>0</v>
      </c>
      <c r="AN895" s="905">
        <f>INDEX(G895:R895,1,MATCH(Parametres!$B$3,G$1:R$1,0))*IF(OR(F895="L",F895="S",F895="I"),-1,1)</f>
        <v>0</v>
      </c>
      <c r="AO895" s="487" t="str">
        <f>+VLOOKUP($AJ895,Data_Validation!$A:$D,1,0)</f>
        <v>G64620</v>
      </c>
      <c r="AP895" s="487" t="str">
        <f>+VLOOKUP($AJ895,Data_Validation!$A:$D,3,0)</f>
        <v>Véhicules usagés</v>
      </c>
      <c r="AQ895" s="487" t="str">
        <f>+VLOOKUP($AJ895,Data_Validation!$A:$D,4,0)</f>
        <v>Certifié</v>
      </c>
      <c r="AR895" s="487" t="s">
        <v>299</v>
      </c>
      <c r="AS895" s="487">
        <f>+VLOOKUP($AJ895,Data_Validation!$A:$E,5,0)</f>
        <v>0</v>
      </c>
      <c r="AT895" s="904" t="str">
        <f t="shared" si="89"/>
        <v>G64620</v>
      </c>
      <c r="AU895" s="488" t="str">
        <f t="shared" si="90"/>
        <v>COUT-LOC.AUTO USAGE OPT.</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customHeight="1">
      <c r="A896" s="706" t="s">
        <v>1148</v>
      </c>
      <c r="B896" s="706">
        <v>2026</v>
      </c>
      <c r="C896" s="706" t="s">
        <v>2790</v>
      </c>
      <c r="D896" s="706" t="s">
        <v>2791</v>
      </c>
      <c r="E896" s="706" t="s">
        <v>333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G64700</v>
      </c>
      <c r="AK896" s="905" t="str">
        <f t="shared" si="87"/>
        <v>REMISE NEUF VOIT.DET.OPT</v>
      </c>
      <c r="AL896" s="905">
        <f>IFERROR(INDEX(G896:R896,1,MATCH(Parametres!$B$3,G$1:R$1,0)-1)*IF(OR(F896="L",F896="S",F896="I"),-1,1),"")</f>
        <v>0</v>
      </c>
      <c r="AM896" s="905">
        <f t="shared" si="88"/>
        <v>0</v>
      </c>
      <c r="AN896" s="905">
        <f>INDEX(G896:R896,1,MATCH(Parametres!$B$3,G$1:R$1,0))*IF(OR(F896="L",F896="S",F896="I"),-1,1)</f>
        <v>0</v>
      </c>
      <c r="AO896" s="487" t="str">
        <f>+VLOOKUP($AJ896,Data_Validation!$A:$D,1,0)</f>
        <v>G64700</v>
      </c>
      <c r="AP896" s="487">
        <f>+VLOOKUP($AJ896,Data_Validation!$A:$D,3,0)</f>
        <v>0</v>
      </c>
      <c r="AQ896" s="487">
        <f>+VLOOKUP($AJ896,Data_Validation!$A:$D,4,0)</f>
        <v>0</v>
      </c>
      <c r="AR896" s="487" t="s">
        <v>299</v>
      </c>
      <c r="AS896" s="487">
        <f>+VLOOKUP($AJ896,Data_Validation!$A:$E,5,0)</f>
        <v>0</v>
      </c>
      <c r="AT896" s="904" t="str">
        <f t="shared" si="89"/>
        <v>G64700</v>
      </c>
      <c r="AU896" s="488" t="str">
        <f t="shared" si="90"/>
        <v>REMISE NEUF VOIT.DET.OPT</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customHeight="1">
      <c r="A897" s="706" t="s">
        <v>1148</v>
      </c>
      <c r="B897" s="706">
        <v>2026</v>
      </c>
      <c r="C897" s="706" t="s">
        <v>2792</v>
      </c>
      <c r="D897" s="706" t="s">
        <v>2793</v>
      </c>
      <c r="E897" s="706" t="s">
        <v>333</v>
      </c>
      <c r="F897" s="706" t="s">
        <v>1152</v>
      </c>
      <c r="G897" s="706">
        <v>0</v>
      </c>
      <c r="H897" s="706">
        <v>0</v>
      </c>
      <c r="I897" s="706">
        <v>0</v>
      </c>
      <c r="J897" s="706">
        <v>0</v>
      </c>
      <c r="K897" s="706">
        <v>0</v>
      </c>
      <c r="L897" s="706">
        <v>0</v>
      </c>
      <c r="M897" s="706">
        <v>0</v>
      </c>
      <c r="N897" s="706">
        <v>0</v>
      </c>
      <c r="O897" s="706">
        <v>0</v>
      </c>
      <c r="P897" s="706">
        <v>0</v>
      </c>
      <c r="Q897" s="706">
        <v>0</v>
      </c>
      <c r="R897" s="706">
        <v>0</v>
      </c>
      <c r="S897" s="706">
        <v>0</v>
      </c>
      <c r="T897" s="706">
        <v>0</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G64701</v>
      </c>
      <c r="AK897" s="905" t="str">
        <f t="shared" si="87"/>
        <v>REMISE NEUF VOIT.DET.AUTR</v>
      </c>
      <c r="AL897" s="905">
        <f>IFERROR(INDEX(G897:R897,1,MATCH(Parametres!$B$3,G$1:R$1,0)-1)*IF(OR(F897="L",F897="S",F897="I"),-1,1),"")</f>
        <v>0</v>
      </c>
      <c r="AM897" s="905">
        <f t="shared" si="88"/>
        <v>0</v>
      </c>
      <c r="AN897" s="905">
        <f>INDEX(G897:R897,1,MATCH(Parametres!$B$3,G$1:R$1,0))*IF(OR(F897="L",F897="S",F897="I"),-1,1)</f>
        <v>0</v>
      </c>
      <c r="AO897" s="487" t="str">
        <f>+VLOOKUP($AJ897,Data_Validation!$A:$D,1,0)</f>
        <v>G64701</v>
      </c>
      <c r="AP897" s="487">
        <f>+VLOOKUP($AJ897,Data_Validation!$A:$D,3,0)</f>
        <v>0</v>
      </c>
      <c r="AQ897" s="487">
        <f>+VLOOKUP($AJ897,Data_Validation!$A:$D,4,0)</f>
        <v>0</v>
      </c>
      <c r="AR897" s="487" t="s">
        <v>299</v>
      </c>
      <c r="AS897" s="487">
        <f>+VLOOKUP($AJ897,Data_Validation!$A:$E,5,0)</f>
        <v>0</v>
      </c>
      <c r="AT897" s="904" t="str">
        <f t="shared" si="89"/>
        <v>G64701</v>
      </c>
      <c r="AU897" s="488" t="str">
        <f t="shared" si="90"/>
        <v>REMISE NEUF VOIT.DET.AUTR</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2794</v>
      </c>
      <c r="D898" s="706" t="s">
        <v>2795</v>
      </c>
      <c r="E898" s="706" t="s">
        <v>333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G64720</v>
      </c>
      <c r="AK898" s="905" t="str">
        <f t="shared" si="87"/>
        <v>REM.NEUF LOC.AUTO DET.OPT</v>
      </c>
      <c r="AL898" s="905">
        <f>IFERROR(INDEX(G898:R898,1,MATCH(Parametres!$B$3,G$1:R$1,0)-1)*IF(OR(F898="L",F898="S",F898="I"),-1,1),"")</f>
        <v>0</v>
      </c>
      <c r="AM898" s="905">
        <f t="shared" si="88"/>
        <v>0</v>
      </c>
      <c r="AN898" s="905">
        <f>INDEX(G898:R898,1,MATCH(Parametres!$B$3,G$1:R$1,0))*IF(OR(F898="L",F898="S",F898="I"),-1,1)</f>
        <v>0</v>
      </c>
      <c r="AO898" s="487" t="str">
        <f>+VLOOKUP($AJ898,Data_Validation!$A:$D,1,0)</f>
        <v>G64720</v>
      </c>
      <c r="AP898" s="487">
        <f>+VLOOKUP($AJ898,Data_Validation!$A:$D,3,0)</f>
        <v>0</v>
      </c>
      <c r="AQ898" s="487">
        <f>+VLOOKUP($AJ898,Data_Validation!$A:$D,4,0)</f>
        <v>0</v>
      </c>
      <c r="AR898" s="487" t="s">
        <v>299</v>
      </c>
      <c r="AS898" s="487">
        <f>+VLOOKUP($AJ898,Data_Validation!$A:$E,5,0)</f>
        <v>0</v>
      </c>
      <c r="AT898" s="904" t="str">
        <f t="shared" si="89"/>
        <v>G64720</v>
      </c>
      <c r="AU898" s="488" t="str">
        <f t="shared" si="90"/>
        <v>REM.NEUF LOC.AUTO DET.OPT</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customHeight="1">
      <c r="A899" s="706" t="s">
        <v>1148</v>
      </c>
      <c r="B899" s="706">
        <v>2026</v>
      </c>
      <c r="C899" s="706" t="s">
        <v>2796</v>
      </c>
      <c r="D899" s="706" t="s">
        <v>2797</v>
      </c>
      <c r="E899" s="706" t="s">
        <v>1143</v>
      </c>
      <c r="F899" s="706" t="s">
        <v>1152</v>
      </c>
      <c r="G899" s="706">
        <v>8607.98</v>
      </c>
      <c r="H899" s="706">
        <v>117294.94</v>
      </c>
      <c r="I899" s="706">
        <v>305950.17</v>
      </c>
      <c r="J899" s="706">
        <v>398583.17</v>
      </c>
      <c r="K899" s="706">
        <v>349464.12</v>
      </c>
      <c r="L899" s="706">
        <v>442024.39</v>
      </c>
      <c r="M899" s="706">
        <v>479154.39</v>
      </c>
      <c r="N899" s="706">
        <v>575496.04</v>
      </c>
      <c r="O899" s="706">
        <v>581347.04</v>
      </c>
      <c r="P899" s="706">
        <v>0</v>
      </c>
      <c r="Q899" s="706">
        <v>0</v>
      </c>
      <c r="R899" s="706">
        <v>0</v>
      </c>
      <c r="S899" s="706">
        <v>71937.009999999995</v>
      </c>
      <c r="T899" s="706">
        <v>71937.009999999995</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G64800</v>
      </c>
      <c r="AK899" s="905" t="str">
        <f t="shared" si="87"/>
        <v>COUT-AUTOS USAGES EN GROS</v>
      </c>
      <c r="AL899" s="905">
        <f>IFERROR(INDEX(G899:R899,1,MATCH(Parametres!$B$3,G$1:R$1,0)-1)*IF(OR(F899="L",F899="S",F899="I"),-1,1),"")</f>
        <v>479154.39</v>
      </c>
      <c r="AM899" s="905">
        <f t="shared" si="88"/>
        <v>96341.650000000023</v>
      </c>
      <c r="AN899" s="905">
        <f>INDEX(G899:R899,1,MATCH(Parametres!$B$3,G$1:R$1,0))*IF(OR(F899="L",F899="S",F899="I"),-1,1)</f>
        <v>575496.04</v>
      </c>
      <c r="AO899" s="487" t="str">
        <f>+VLOOKUP($AJ899,Data_Validation!$A:$D,1,0)</f>
        <v>G64800</v>
      </c>
      <c r="AP899" s="487" t="str">
        <f>+VLOOKUP($AJ899,Data_Validation!$A:$D,3,0)</f>
        <v>Véhicules usagés</v>
      </c>
      <c r="AQ899" s="487" t="str">
        <f>+VLOOKUP($AJ899,Data_Validation!$A:$D,4,0)</f>
        <v>Ventes au Gros</v>
      </c>
      <c r="AR899" s="487" t="s">
        <v>299</v>
      </c>
      <c r="AS899" s="487">
        <f>+VLOOKUP($AJ899,Data_Validation!$A:$E,5,0)</f>
        <v>0</v>
      </c>
      <c r="AT899" s="904" t="str">
        <f t="shared" si="89"/>
        <v>G64800</v>
      </c>
      <c r="AU899" s="488" t="str">
        <f t="shared" si="90"/>
        <v>COUT-AUTOS USAGES EN GROS</v>
      </c>
      <c r="AV899" s="899">
        <f>IFERROR(INDEX(V899:AG899,1,MATCH(Parametres!$B$3,V$1:AG$1,0)-1)*IF(OR(C899="L",C899="S",C899="I"),-1,1),"")</f>
        <v>0</v>
      </c>
      <c r="AW899" s="899">
        <f t="shared" si="91"/>
        <v>0</v>
      </c>
      <c r="AX899" s="899">
        <f>INDEX(V899:AG899,1,MATCH(Parametres!$B$3,V$1:AG$1,0))*IF(OR(C899="L",C899="S",C899="I"),-1,1)</f>
        <v>0</v>
      </c>
      <c r="AY899" s="487" t="s">
        <v>337</v>
      </c>
      <c r="AZ899" s="487">
        <f>+VLOOKUP($AJ899,Data_Validation!$A:$E,5,0)</f>
        <v>0</v>
      </c>
    </row>
    <row r="900" spans="1:52" ht="15" customHeight="1">
      <c r="A900" s="706" t="s">
        <v>1148</v>
      </c>
      <c r="B900" s="706">
        <v>2026</v>
      </c>
      <c r="C900" s="706" t="s">
        <v>2798</v>
      </c>
      <c r="D900" s="706" t="s">
        <v>2799</v>
      </c>
      <c r="E900" s="706" t="s">
        <v>333</v>
      </c>
      <c r="F900" s="706" t="s">
        <v>1152</v>
      </c>
      <c r="G900" s="706">
        <v>0</v>
      </c>
      <c r="H900" s="706">
        <v>0</v>
      </c>
      <c r="I900" s="706">
        <v>0</v>
      </c>
      <c r="J900" s="706">
        <v>0</v>
      </c>
      <c r="K900" s="706">
        <v>0</v>
      </c>
      <c r="L900" s="706">
        <v>0</v>
      </c>
      <c r="M900" s="706">
        <v>0</v>
      </c>
      <c r="N900" s="706">
        <v>0</v>
      </c>
      <c r="O900" s="706">
        <v>0</v>
      </c>
      <c r="P900" s="706">
        <v>0</v>
      </c>
      <c r="Q900" s="706">
        <v>0</v>
      </c>
      <c r="R900" s="706">
        <v>0</v>
      </c>
      <c r="S900" s="706">
        <v>0</v>
      </c>
      <c r="T900" s="706">
        <v>0</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G64900</v>
      </c>
      <c r="AK900" s="905" t="str">
        <f t="shared" si="87"/>
        <v>RECTIFICATION STOCK AUTO</v>
      </c>
      <c r="AL900" s="905">
        <f>IFERROR(INDEX(G900:R900,1,MATCH(Parametres!$B$3,G$1:R$1,0)-1)*IF(OR(F900="L",F900="S",F900="I"),-1,1),"")</f>
        <v>0</v>
      </c>
      <c r="AM900" s="905">
        <f t="shared" si="88"/>
        <v>0</v>
      </c>
      <c r="AN900" s="905">
        <f>INDEX(G900:R900,1,MATCH(Parametres!$B$3,G$1:R$1,0))*IF(OR(F900="L",F900="S",F900="I"),-1,1)</f>
        <v>0</v>
      </c>
      <c r="AO900" s="487" t="str">
        <f>+VLOOKUP($AJ900,Data_Validation!$A:$D,1,0)</f>
        <v>G64900</v>
      </c>
      <c r="AP900" s="487">
        <f>+VLOOKUP($AJ900,Data_Validation!$A:$D,3,0)</f>
        <v>0</v>
      </c>
      <c r="AQ900" s="487">
        <f>+VLOOKUP($AJ900,Data_Validation!$A:$D,4,0)</f>
        <v>0</v>
      </c>
      <c r="AR900" s="487" t="s">
        <v>299</v>
      </c>
      <c r="AS900" s="487">
        <f>+VLOOKUP($AJ900,Data_Validation!$A:$E,5,0)</f>
        <v>0</v>
      </c>
      <c r="AT900" s="904" t="str">
        <f t="shared" si="89"/>
        <v>G64900</v>
      </c>
      <c r="AU900" s="488" t="str">
        <f t="shared" si="90"/>
        <v>RECTIFICATION STOCK AUTO</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2800</v>
      </c>
      <c r="D901" s="706" t="s">
        <v>3390</v>
      </c>
      <c r="E901" s="706" t="s">
        <v>1143</v>
      </c>
      <c r="F901" s="706" t="s">
        <v>1152</v>
      </c>
      <c r="G901" s="706">
        <v>41059.599999999999</v>
      </c>
      <c r="H901" s="706">
        <v>349469.58</v>
      </c>
      <c r="I901" s="706">
        <v>1233604.7</v>
      </c>
      <c r="J901" s="706">
        <v>2065159.12</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G65000</v>
      </c>
      <c r="AK901" s="905" t="str">
        <f t="shared" si="87"/>
        <v>COUT-OCC.CAMION DET CERTI</v>
      </c>
      <c r="AL901" s="905">
        <f>IFERROR(INDEX(G901:R901,1,MATCH(Parametres!$B$3,G$1:R$1,0)-1)*IF(OR(F901="L",F901="S",F901="I"),-1,1),"")</f>
        <v>0</v>
      </c>
      <c r="AM901" s="905">
        <f t="shared" si="88"/>
        <v>0</v>
      </c>
      <c r="AN901" s="905">
        <f>INDEX(G901:R901,1,MATCH(Parametres!$B$3,G$1:R$1,0))*IF(OR(F901="L",F901="S",F901="I"),-1,1)</f>
        <v>0</v>
      </c>
      <c r="AO901" s="487" t="str">
        <f>+VLOOKUP($AJ901,Data_Validation!$A:$D,1,0)</f>
        <v>G65000</v>
      </c>
      <c r="AP901" s="487" t="str">
        <f>+VLOOKUP($AJ901,Data_Validation!$A:$D,3,0)</f>
        <v>Véhicules usagés</v>
      </c>
      <c r="AQ901" s="487" t="str">
        <f>+VLOOKUP($AJ901,Data_Validation!$A:$D,4,0)</f>
        <v>Ventes au Gros</v>
      </c>
      <c r="AR901" s="487" t="s">
        <v>299</v>
      </c>
      <c r="AS901" s="487" t="str">
        <f>+VLOOKUP($AJ901,Data_Validation!$A:$E,5,0)</f>
        <v>Oui</v>
      </c>
      <c r="AT901" s="904" t="str">
        <f t="shared" si="89"/>
        <v>G65000</v>
      </c>
      <c r="AU901" s="488" t="str">
        <f t="shared" si="90"/>
        <v>COUT-OCC.CAMION DET CERTI</v>
      </c>
      <c r="AV901" s="899">
        <f>IFERROR(INDEX(V901:AG901,1,MATCH(Parametres!$B$3,V$1:AG$1,0)-1)*IF(OR(C901="L",C901="S",C901="I"),-1,1),"")</f>
        <v>0</v>
      </c>
      <c r="AW901" s="899">
        <f t="shared" si="91"/>
        <v>0</v>
      </c>
      <c r="AX901" s="899">
        <f>INDEX(V901:AG901,1,MATCH(Parametres!$B$3,V$1:AG$1,0))*IF(OR(C901="L",C901="S",C901="I"),-1,1)</f>
        <v>0</v>
      </c>
      <c r="AY901" s="487" t="s">
        <v>337</v>
      </c>
      <c r="AZ901" s="487" t="str">
        <f>+VLOOKUP($AJ901,Data_Validation!$A:$E,5,0)</f>
        <v>Oui</v>
      </c>
    </row>
    <row r="902" spans="1:52" ht="15" customHeight="1">
      <c r="A902" s="706" t="s">
        <v>1148</v>
      </c>
      <c r="B902" s="706">
        <v>2026</v>
      </c>
      <c r="C902" s="706" t="s">
        <v>2802</v>
      </c>
      <c r="D902" s="706" t="s">
        <v>3391</v>
      </c>
      <c r="E902" s="706" t="s">
        <v>1143</v>
      </c>
      <c r="F902" s="706" t="s">
        <v>1152</v>
      </c>
      <c r="G902" s="706">
        <v>437492.78</v>
      </c>
      <c r="H902" s="706">
        <v>686180.56</v>
      </c>
      <c r="I902" s="706">
        <v>1224288.25</v>
      </c>
      <c r="J902" s="706">
        <v>2082692.23</v>
      </c>
      <c r="K902" s="706">
        <v>2979869.09</v>
      </c>
      <c r="L902" s="706">
        <v>3600566.98</v>
      </c>
      <c r="M902" s="706">
        <v>4301841.68</v>
      </c>
      <c r="N902" s="706">
        <v>5077999.76</v>
      </c>
      <c r="O902" s="706">
        <v>5359097.7300000004</v>
      </c>
      <c r="P902" s="706">
        <v>0</v>
      </c>
      <c r="Q902" s="706">
        <v>0</v>
      </c>
      <c r="R902" s="706">
        <v>0</v>
      </c>
      <c r="S902" s="706">
        <v>634749.97</v>
      </c>
      <c r="T902" s="706">
        <v>634749.97</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G65001</v>
      </c>
      <c r="AK902" s="905" t="str">
        <f t="shared" si="87"/>
        <v>COUT-CAMION OCC.GM N-CERT</v>
      </c>
      <c r="AL902" s="905">
        <f>IFERROR(INDEX(G902:R902,1,MATCH(Parametres!$B$3,G$1:R$1,0)-1)*IF(OR(F902="L",F902="S",F902="I"),-1,1),"")</f>
        <v>4301841.68</v>
      </c>
      <c r="AM902" s="905">
        <f t="shared" si="88"/>
        <v>776158.08000000007</v>
      </c>
      <c r="AN902" s="905">
        <f>INDEX(G902:R902,1,MATCH(Parametres!$B$3,G$1:R$1,0))*IF(OR(F902="L",F902="S",F902="I"),-1,1)</f>
        <v>5077999.76</v>
      </c>
      <c r="AO902" s="487" t="str">
        <f>+VLOOKUP($AJ902,Data_Validation!$A:$D,1,0)</f>
        <v>G65001</v>
      </c>
      <c r="AP902" s="487" t="str">
        <f>+VLOOKUP($AJ902,Data_Validation!$A:$D,3,0)</f>
        <v>Véhicules usagés</v>
      </c>
      <c r="AQ902" s="487" t="str">
        <f>+VLOOKUP($AJ902,Data_Validation!$A:$D,4,0)</f>
        <v>Non Certifié</v>
      </c>
      <c r="AR902" s="487" t="s">
        <v>299</v>
      </c>
      <c r="AS902" s="487">
        <f>+VLOOKUP($AJ902,Data_Validation!$A:$E,5,0)</f>
        <v>0</v>
      </c>
      <c r="AT902" s="904" t="str">
        <f t="shared" si="89"/>
        <v>G65001</v>
      </c>
      <c r="AU902" s="488" t="str">
        <f t="shared" si="90"/>
        <v>COUT-CAMION OCC.GM N-CERT</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customHeight="1">
      <c r="A903" s="706" t="s">
        <v>1148</v>
      </c>
      <c r="B903" s="706">
        <v>2026</v>
      </c>
      <c r="C903" s="706" t="s">
        <v>3392</v>
      </c>
      <c r="D903" s="706" t="s">
        <v>3393</v>
      </c>
      <c r="E903" s="706" t="s">
        <v>1143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G65002</v>
      </c>
      <c r="AK903" s="905" t="str">
        <f t="shared" si="87"/>
        <v>COUT- CAMION AUTRE MARQ</v>
      </c>
      <c r="AL903" s="905">
        <f>IFERROR(INDEX(G903:R903,1,MATCH(Parametres!$B$3,G$1:R$1,0)-1)*IF(OR(F903="L",F903="S",F903="I"),-1,1),"")</f>
        <v>0</v>
      </c>
      <c r="AM903" s="905">
        <f t="shared" si="88"/>
        <v>0</v>
      </c>
      <c r="AN903" s="905">
        <f>INDEX(G903:R903,1,MATCH(Parametres!$B$3,G$1:R$1,0))*IF(OR(F903="L",F903="S",F903="I"),-1,1)</f>
        <v>0</v>
      </c>
      <c r="AO903" s="487" t="str">
        <f>+VLOOKUP($AJ903,Data_Validation!$A:$D,1,0)</f>
        <v>G65002</v>
      </c>
      <c r="AP903" s="487" t="str">
        <f>+VLOOKUP($AJ903,Data_Validation!$A:$D,3,0)</f>
        <v>Véhicules usagés</v>
      </c>
      <c r="AQ903" s="487" t="str">
        <f>+VLOOKUP($AJ903,Data_Validation!$A:$D,4,0)</f>
        <v>Autres Marques</v>
      </c>
      <c r="AR903" s="487" t="s">
        <v>299</v>
      </c>
      <c r="AS903" s="487">
        <f>+VLOOKUP($AJ903,Data_Validation!$A:$E,5,0)</f>
        <v>0</v>
      </c>
      <c r="AT903" s="904" t="str">
        <f t="shared" si="89"/>
        <v>G65002</v>
      </c>
      <c r="AU903" s="488" t="str">
        <f t="shared" si="90"/>
        <v>COUT- CAMION AUTRE MARQ</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customHeight="1">
      <c r="A904" s="706" t="s">
        <v>1148</v>
      </c>
      <c r="B904" s="706">
        <v>2026</v>
      </c>
      <c r="C904" s="706" t="s">
        <v>3394</v>
      </c>
      <c r="D904" s="706" t="s">
        <v>3395</v>
      </c>
      <c r="E904" s="706" t="s">
        <v>1143</v>
      </c>
      <c r="F904" s="706" t="s">
        <v>1152</v>
      </c>
      <c r="G904" s="706">
        <v>0</v>
      </c>
      <c r="H904" s="706">
        <v>0</v>
      </c>
      <c r="I904" s="706">
        <v>0</v>
      </c>
      <c r="J904" s="706">
        <v>0</v>
      </c>
      <c r="K904" s="706">
        <v>0</v>
      </c>
      <c r="L904" s="706">
        <v>0</v>
      </c>
      <c r="M904" s="706">
        <v>163049.32</v>
      </c>
      <c r="N904" s="706">
        <v>336173.43</v>
      </c>
      <c r="O904" s="706">
        <v>336173.43</v>
      </c>
      <c r="P904" s="706">
        <v>0</v>
      </c>
      <c r="Q904" s="706">
        <v>0</v>
      </c>
      <c r="R904" s="706">
        <v>0</v>
      </c>
      <c r="S904" s="706">
        <v>42021.68</v>
      </c>
      <c r="T904" s="706">
        <v>42021.68</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G65003</v>
      </c>
      <c r="AK904" s="905" t="str">
        <f t="shared" si="87"/>
        <v>COUT-RACHAT BAIL CAMION</v>
      </c>
      <c r="AL904" s="905">
        <f>IFERROR(INDEX(G904:R904,1,MATCH(Parametres!$B$3,G$1:R$1,0)-1)*IF(OR(F904="L",F904="S",F904="I"),-1,1),"")</f>
        <v>163049.32</v>
      </c>
      <c r="AM904" s="905">
        <f t="shared" si="88"/>
        <v>173124.11</v>
      </c>
      <c r="AN904" s="905">
        <f>INDEX(G904:R904,1,MATCH(Parametres!$B$3,G$1:R$1,0))*IF(OR(F904="L",F904="S",F904="I"),-1,1)</f>
        <v>336173.43</v>
      </c>
      <c r="AO904" s="487" t="str">
        <f>+VLOOKUP($AJ904,Data_Validation!$A:$D,1,0)</f>
        <v>G65003</v>
      </c>
      <c r="AP904" s="487">
        <f>+VLOOKUP($AJ904,Data_Validation!$A:$D,3,0)</f>
        <v>0</v>
      </c>
      <c r="AQ904" s="487">
        <f>+VLOOKUP($AJ904,Data_Validation!$A:$D,4,0)</f>
        <v>0</v>
      </c>
      <c r="AR904" s="487" t="s">
        <v>299</v>
      </c>
      <c r="AS904" s="487">
        <f>+VLOOKUP($AJ904,Data_Validation!$A:$E,5,0)</f>
        <v>0</v>
      </c>
      <c r="AT904" s="904" t="str">
        <f t="shared" si="89"/>
        <v>G65003</v>
      </c>
      <c r="AU904" s="488" t="str">
        <f t="shared" si="90"/>
        <v>COUT-RACHAT BAIL CAMION</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2804</v>
      </c>
      <c r="D905" s="706" t="s">
        <v>2805</v>
      </c>
      <c r="E905" s="706" t="s">
        <v>1143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G65020</v>
      </c>
      <c r="AK905" s="905" t="str">
        <f t="shared" si="87"/>
        <v>COUT-LOC.CAM.USAGE OPT.</v>
      </c>
      <c r="AL905" s="905">
        <f>IFERROR(INDEX(G905:R905,1,MATCH(Parametres!$B$3,G$1:R$1,0)-1)*IF(OR(F905="L",F905="S",F905="I"),-1,1),"")</f>
        <v>0</v>
      </c>
      <c r="AM905" s="1047">
        <f t="shared" si="88"/>
        <v>0</v>
      </c>
      <c r="AN905" s="905">
        <f>INDEX(G905:R905,1,MATCH(Parametres!$B$3,G$1:R$1,0))*IF(OR(F905="L",F905="S",F905="I"),-1,1)</f>
        <v>0</v>
      </c>
      <c r="AO905" s="487" t="e">
        <f>+VLOOKUP($AJ905,Data_Validation!$A:$D,1,0)</f>
        <v>#N/A</v>
      </c>
      <c r="AP905" s="487" t="e">
        <f>+VLOOKUP($AJ905,Data_Validation!$A:$D,3,0)</f>
        <v>#N/A</v>
      </c>
      <c r="AQ905" s="487" t="e">
        <f>+VLOOKUP($AJ905,Data_Validation!$A:$D,4,0)</f>
        <v>#N/A</v>
      </c>
      <c r="AR905" s="487" t="s">
        <v>299</v>
      </c>
      <c r="AS905" s="487" t="e">
        <f>+VLOOKUP($AJ905,Data_Validation!$A:$E,5,0)</f>
        <v>#N/A</v>
      </c>
      <c r="AT905" s="904" t="str">
        <f t="shared" si="89"/>
        <v>G65020</v>
      </c>
      <c r="AU905" s="488" t="str">
        <f t="shared" si="90"/>
        <v>COUT-LOC.CAM.USAGE OPT.</v>
      </c>
      <c r="AV905" s="899">
        <f>IFERROR(INDEX(V905:AG905,1,MATCH(Parametres!$B$3,V$1:AG$1,0)-1)*IF(OR(C905="L",C905="S",C905="I"),-1,1),"")</f>
        <v>0</v>
      </c>
      <c r="AW905" s="899">
        <f t="shared" si="91"/>
        <v>0</v>
      </c>
      <c r="AX905" s="899">
        <f>INDEX(V905:AG905,1,MATCH(Parametres!$B$3,V$1:AG$1,0))*IF(OR(C905="L",C905="S",C905="I"),-1,1)</f>
        <v>0</v>
      </c>
      <c r="AY905" s="487" t="s">
        <v>337</v>
      </c>
      <c r="AZ905" s="487" t="e">
        <f>+VLOOKUP($AJ905,Data_Validation!$A:$E,5,0)</f>
        <v>#N/A</v>
      </c>
    </row>
    <row r="906" spans="1:52" ht="15" customHeight="1">
      <c r="A906" s="706" t="s">
        <v>1148</v>
      </c>
      <c r="B906" s="706">
        <v>2026</v>
      </c>
      <c r="C906" s="706" t="s">
        <v>2806</v>
      </c>
      <c r="D906" s="706" t="s">
        <v>2807</v>
      </c>
      <c r="E906" s="706" t="s">
        <v>333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G65100</v>
      </c>
      <c r="AK906" s="905" t="str">
        <f t="shared" si="87"/>
        <v>REMISE NEUF CAM.DET.OPT.</v>
      </c>
      <c r="AL906" s="905">
        <f>IFERROR(INDEX(G906:R906,1,MATCH(Parametres!$B$3,G$1:R$1,0)-1)*IF(OR(F906="L",F906="S",F906="I"),-1,1),"")</f>
        <v>0</v>
      </c>
      <c r="AM906" s="1047">
        <f t="shared" si="88"/>
        <v>0</v>
      </c>
      <c r="AN906" s="905">
        <f>INDEX(G906:R906,1,MATCH(Parametres!$B$3,G$1:R$1,0))*IF(OR(F906="L",F906="S",F906="I"),-1,1)</f>
        <v>0</v>
      </c>
      <c r="AO906" s="487" t="str">
        <f>+VLOOKUP($AJ906,Data_Validation!$A:$D,1,0)</f>
        <v>G65100</v>
      </c>
      <c r="AP906" s="487">
        <f>+VLOOKUP($AJ906,Data_Validation!$A:$D,3,0)</f>
        <v>0</v>
      </c>
      <c r="AQ906" s="487">
        <f>+VLOOKUP($AJ906,Data_Validation!$A:$D,4,0)</f>
        <v>0</v>
      </c>
      <c r="AR906" s="487" t="s">
        <v>299</v>
      </c>
      <c r="AS906" s="487">
        <f>+VLOOKUP($AJ906,Data_Validation!$A:$E,5,0)</f>
        <v>0</v>
      </c>
      <c r="AT906" s="904" t="str">
        <f t="shared" si="89"/>
        <v>G65100</v>
      </c>
      <c r="AU906" s="488" t="str">
        <f t="shared" si="90"/>
        <v>REMISE NEUF CAM.DET.OPT.</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customHeight="1">
      <c r="A907" s="706" t="s">
        <v>1148</v>
      </c>
      <c r="B907" s="706">
        <v>2026</v>
      </c>
      <c r="C907" s="706" t="s">
        <v>2808</v>
      </c>
      <c r="D907" s="706" t="s">
        <v>2809</v>
      </c>
      <c r="E907" s="706" t="s">
        <v>333</v>
      </c>
      <c r="F907" s="706" t="s">
        <v>1152</v>
      </c>
      <c r="G907" s="706">
        <v>0</v>
      </c>
      <c r="H907" s="706">
        <v>0</v>
      </c>
      <c r="I907" s="706">
        <v>0</v>
      </c>
      <c r="J907" s="706">
        <v>0</v>
      </c>
      <c r="K907" s="706">
        <v>0</v>
      </c>
      <c r="L907" s="706">
        <v>0</v>
      </c>
      <c r="M907" s="706">
        <v>0</v>
      </c>
      <c r="N907" s="706">
        <v>0</v>
      </c>
      <c r="O907" s="706">
        <v>0</v>
      </c>
      <c r="P907" s="706">
        <v>0</v>
      </c>
      <c r="Q907" s="706">
        <v>0</v>
      </c>
      <c r="R907" s="706">
        <v>0</v>
      </c>
      <c r="S907" s="706">
        <v>0</v>
      </c>
      <c r="T907" s="706">
        <v>0</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G65101</v>
      </c>
      <c r="AK907" s="905" t="str">
        <f t="shared" si="87"/>
        <v>REMISE NEUF CAM.DET.AUTRE</v>
      </c>
      <c r="AL907" s="905">
        <f>IFERROR(INDEX(G907:R907,1,MATCH(Parametres!$B$3,G$1:R$1,0)-1)*IF(OR(F907="L",F907="S",F907="I"),-1,1),"")</f>
        <v>0</v>
      </c>
      <c r="AM907" s="1047">
        <f t="shared" si="88"/>
        <v>0</v>
      </c>
      <c r="AN907" s="905">
        <f>INDEX(G907:R907,1,MATCH(Parametres!$B$3,G$1:R$1,0))*IF(OR(F907="L",F907="S",F907="I"),-1,1)</f>
        <v>0</v>
      </c>
      <c r="AO907" s="487" t="str">
        <f>+VLOOKUP($AJ907,Data_Validation!$A:$D,1,0)</f>
        <v>G65101</v>
      </c>
      <c r="AP907" s="487">
        <f>+VLOOKUP($AJ907,Data_Validation!$A:$D,3,0)</f>
        <v>0</v>
      </c>
      <c r="AQ907" s="487">
        <f>+VLOOKUP($AJ907,Data_Validation!$A:$D,4,0)</f>
        <v>0</v>
      </c>
      <c r="AR907" s="487" t="s">
        <v>299</v>
      </c>
      <c r="AS907" s="487">
        <f>+VLOOKUP($AJ907,Data_Validation!$A:$E,5,0)</f>
        <v>0</v>
      </c>
      <c r="AT907" s="904" t="str">
        <f t="shared" si="89"/>
        <v>G65101</v>
      </c>
      <c r="AU907" s="488" t="str">
        <f t="shared" si="90"/>
        <v>REMISE NEUF CAM.DET.AUTRE</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2810</v>
      </c>
      <c r="D908" s="706" t="s">
        <v>2811</v>
      </c>
      <c r="E908" s="706" t="s">
        <v>333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G65120</v>
      </c>
      <c r="AK908" s="905" t="str">
        <f t="shared" si="87"/>
        <v>REM.NEUF LOC.CAM.DET.OPT.</v>
      </c>
      <c r="AL908" s="905">
        <f>IFERROR(INDEX(G908:R908,1,MATCH(Parametres!$B$3,G$1:R$1,0)-1)*IF(OR(F908="L",F908="S",F908="I"),-1,1),"")</f>
        <v>0</v>
      </c>
      <c r="AM908" s="905">
        <f t="shared" si="88"/>
        <v>0</v>
      </c>
      <c r="AN908" s="905">
        <f>INDEX(G908:R908,1,MATCH(Parametres!$B$3,G$1:R$1,0))*IF(OR(F908="L",F908="S",F908="I"),-1,1)</f>
        <v>0</v>
      </c>
      <c r="AO908" s="487" t="str">
        <f>+VLOOKUP($AJ908,Data_Validation!$A:$D,1,0)</f>
        <v>G65120</v>
      </c>
      <c r="AP908" s="487">
        <f>+VLOOKUP($AJ908,Data_Validation!$A:$D,3,0)</f>
        <v>0</v>
      </c>
      <c r="AQ908" s="487">
        <f>+VLOOKUP($AJ908,Data_Validation!$A:$D,4,0)</f>
        <v>0</v>
      </c>
      <c r="AR908" s="487" t="s">
        <v>299</v>
      </c>
      <c r="AS908" s="487">
        <f>+VLOOKUP($AJ908,Data_Validation!$A:$E,5,0)</f>
        <v>0</v>
      </c>
      <c r="AT908" s="904" t="str">
        <f t="shared" si="89"/>
        <v>G65120</v>
      </c>
      <c r="AU908" s="488" t="str">
        <f t="shared" si="90"/>
        <v>REM.NEUF LOC.CAM.DET.OPT.</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customHeight="1">
      <c r="A909" s="706" t="s">
        <v>1148</v>
      </c>
      <c r="B909" s="706">
        <v>2026</v>
      </c>
      <c r="C909" s="706" t="s">
        <v>2812</v>
      </c>
      <c r="D909" s="706" t="s">
        <v>2813</v>
      </c>
      <c r="E909" s="706" t="s">
        <v>1143</v>
      </c>
      <c r="F909" s="706" t="s">
        <v>1152</v>
      </c>
      <c r="G909" s="706">
        <v>2051010.87</v>
      </c>
      <c r="H909" s="706">
        <v>3639591.88</v>
      </c>
      <c r="I909" s="706">
        <v>6799634.4299999997</v>
      </c>
      <c r="J909" s="706">
        <v>9640410.0500000007</v>
      </c>
      <c r="K909" s="706">
        <v>4652358.87</v>
      </c>
      <c r="L909" s="706">
        <v>5323087.83</v>
      </c>
      <c r="M909" s="706">
        <v>5849809.9699999997</v>
      </c>
      <c r="N909" s="706">
        <v>6790500.3099999996</v>
      </c>
      <c r="O909" s="706">
        <v>7154581.5</v>
      </c>
      <c r="P909" s="706">
        <v>0</v>
      </c>
      <c r="Q909" s="706">
        <v>0</v>
      </c>
      <c r="R909" s="706">
        <v>0</v>
      </c>
      <c r="S909" s="706">
        <v>848812.54</v>
      </c>
      <c r="T909" s="706">
        <v>848812.54</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G65200</v>
      </c>
      <c r="AK909" s="905" t="str">
        <f t="shared" si="87"/>
        <v>COUT-CAM. OCCASION GROS</v>
      </c>
      <c r="AL909" s="905">
        <f>IFERROR(INDEX(G909:R909,1,MATCH(Parametres!$B$3,G$1:R$1,0)-1)*IF(OR(F909="L",F909="S",F909="I"),-1,1),"")</f>
        <v>5849809.9699999997</v>
      </c>
      <c r="AM909" s="1047">
        <f t="shared" si="88"/>
        <v>940690.33999999985</v>
      </c>
      <c r="AN909" s="905">
        <f>INDEX(G909:R909,1,MATCH(Parametres!$B$3,G$1:R$1,0))*IF(OR(F909="L",F909="S",F909="I"),-1,1)</f>
        <v>6790500.3099999996</v>
      </c>
      <c r="AO909" s="487" t="str">
        <f>+VLOOKUP($AJ909,Data_Validation!$A:$D,1,0)</f>
        <v>G65200</v>
      </c>
      <c r="AP909" s="487" t="str">
        <f>+VLOOKUP($AJ909,Data_Validation!$A:$D,3,0)</f>
        <v>Véhicules usagés</v>
      </c>
      <c r="AQ909" s="487" t="str">
        <f>+VLOOKUP($AJ909,Data_Validation!$A:$D,4,0)</f>
        <v>Ventes au Gros</v>
      </c>
      <c r="AR909" s="487" t="s">
        <v>299</v>
      </c>
      <c r="AS909" s="487">
        <f>+VLOOKUP($AJ909,Data_Validation!$A:$E,5,0)</f>
        <v>0</v>
      </c>
      <c r="AT909" s="904" t="str">
        <f t="shared" si="89"/>
        <v>G65200</v>
      </c>
      <c r="AU909" s="488" t="str">
        <f t="shared" si="90"/>
        <v>COUT-CAM. OCCASION GROS</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customHeight="1">
      <c r="A910" s="706" t="s">
        <v>1148</v>
      </c>
      <c r="B910" s="706">
        <v>2026</v>
      </c>
      <c r="C910" s="706" t="s">
        <v>2814</v>
      </c>
      <c r="D910" s="706" t="s">
        <v>2815</v>
      </c>
      <c r="E910" s="706" t="s">
        <v>1143</v>
      </c>
      <c r="F910" s="706" t="s">
        <v>1152</v>
      </c>
      <c r="G910" s="706">
        <v>6696533.3300000001</v>
      </c>
      <c r="H910" s="706">
        <v>7234033.3300000001</v>
      </c>
      <c r="I910" s="706">
        <v>10174343.33</v>
      </c>
      <c r="J910" s="706">
        <v>15978053.33</v>
      </c>
      <c r="K910" s="706">
        <v>17890973.329999998</v>
      </c>
      <c r="L910" s="706">
        <v>19641398.329999998</v>
      </c>
      <c r="M910" s="706">
        <v>21384898.329999998</v>
      </c>
      <c r="N910" s="706">
        <v>22514263.329999998</v>
      </c>
      <c r="O910" s="706">
        <v>22886763.329999998</v>
      </c>
      <c r="P910" s="706">
        <v>0</v>
      </c>
      <c r="Q910" s="706">
        <v>0</v>
      </c>
      <c r="R910" s="706">
        <v>0</v>
      </c>
      <c r="S910" s="706">
        <v>2814282.92</v>
      </c>
      <c r="T910" s="706">
        <v>2814282.92</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G65201</v>
      </c>
      <c r="AK910" s="905" t="str">
        <f t="shared" si="87"/>
        <v>COUT - WHOLESALE W</v>
      </c>
      <c r="AL910" s="905">
        <f>IFERROR(INDEX(G910:R910,1,MATCH(Parametres!$B$3,G$1:R$1,0)-1)*IF(OR(F910="L",F910="S",F910="I"),-1,1),"")</f>
        <v>21384898.329999998</v>
      </c>
      <c r="AM910" s="905">
        <f t="shared" si="88"/>
        <v>1129365</v>
      </c>
      <c r="AN910" s="905">
        <f>INDEX(G910:R910,1,MATCH(Parametres!$B$3,G$1:R$1,0))*IF(OR(F910="L",F910="S",F910="I"),-1,1)</f>
        <v>22514263.329999998</v>
      </c>
      <c r="AO910" s="487" t="str">
        <f>+VLOOKUP($AJ910,Data_Validation!$A:$D,1,0)</f>
        <v>G65201</v>
      </c>
      <c r="AP910" s="487" t="str">
        <f>+VLOOKUP($AJ910,Data_Validation!$A:$D,3,0)</f>
        <v>Wholesale autres</v>
      </c>
      <c r="AQ910" s="487" t="str">
        <f>+VLOOKUP($AJ910,Data_Validation!$A:$D,4,0)</f>
        <v>Wholesale Luxueux</v>
      </c>
      <c r="AR910" s="487" t="s">
        <v>299</v>
      </c>
      <c r="AS910" s="487">
        <f>+VLOOKUP($AJ910,Data_Validation!$A:$E,5,0)</f>
        <v>0</v>
      </c>
      <c r="AT910" s="904" t="str">
        <f t="shared" si="89"/>
        <v>G65201</v>
      </c>
      <c r="AU910" s="488" t="str">
        <f t="shared" si="90"/>
        <v>COUT - WHOLESALE W</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customHeight="1">
      <c r="A911" s="706" t="s">
        <v>1148</v>
      </c>
      <c r="B911" s="706">
        <v>2026</v>
      </c>
      <c r="C911" s="706" t="s">
        <v>3158</v>
      </c>
      <c r="D911" s="706" t="s">
        <v>3157</v>
      </c>
      <c r="E911" s="706" t="s">
        <v>1143</v>
      </c>
      <c r="F911" s="706" t="s">
        <v>1152</v>
      </c>
      <c r="G911" s="706">
        <v>0</v>
      </c>
      <c r="H911" s="706">
        <v>0</v>
      </c>
      <c r="I911" s="706">
        <v>0</v>
      </c>
      <c r="J911" s="706">
        <v>0</v>
      </c>
      <c r="K911" s="706">
        <v>1473800</v>
      </c>
      <c r="L911" s="706">
        <v>2064800</v>
      </c>
      <c r="M911" s="706">
        <v>2064800</v>
      </c>
      <c r="N911" s="706">
        <v>2064800</v>
      </c>
      <c r="O911" s="706">
        <v>2064800</v>
      </c>
      <c r="P911" s="706">
        <v>0</v>
      </c>
      <c r="Q911" s="706">
        <v>0</v>
      </c>
      <c r="R911" s="706">
        <v>0</v>
      </c>
      <c r="S911" s="706">
        <v>258100</v>
      </c>
      <c r="T911" s="706">
        <v>258100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G65202</v>
      </c>
      <c r="AK911" s="905" t="str">
        <f t="shared" si="87"/>
        <v>VTES- WHOLESALES M</v>
      </c>
      <c r="AL911" s="905">
        <f>IFERROR(INDEX(G911:R911,1,MATCH(Parametres!$B$3,G$1:R$1,0)-1)*IF(OR(F911="L",F911="S",F911="I"),-1,1),"")</f>
        <v>2064800</v>
      </c>
      <c r="AM911" s="905">
        <f t="shared" si="88"/>
        <v>0</v>
      </c>
      <c r="AN911" s="905">
        <f>INDEX(G911:R911,1,MATCH(Parametres!$B$3,G$1:R$1,0))*IF(OR(F911="L",F911="S",F911="I"),-1,1)</f>
        <v>2064800</v>
      </c>
      <c r="AO911" s="487" t="str">
        <f>+VLOOKUP($AJ911,Data_Validation!$A:$D,1,0)</f>
        <v>G65202</v>
      </c>
      <c r="AP911" s="487" t="str">
        <f>+VLOOKUP($AJ911,Data_Validation!$A:$D,3,0)</f>
        <v>Wholesale autres</v>
      </c>
      <c r="AQ911" s="487" t="str">
        <f>+VLOOKUP($AJ911,Data_Validation!$A:$D,4,0)</f>
        <v>Wholesale Luxueux</v>
      </c>
      <c r="AR911" s="487" t="s">
        <v>299</v>
      </c>
      <c r="AS911" s="487">
        <f>+VLOOKUP($AJ911,Data_Validation!$A:$E,5,0)</f>
        <v>0</v>
      </c>
      <c r="AT911" s="904" t="str">
        <f t="shared" si="89"/>
        <v>G65202</v>
      </c>
      <c r="AU911" s="488" t="str">
        <f t="shared" si="90"/>
        <v>VTES- WHOLESALES M</v>
      </c>
      <c r="AV911" s="899">
        <f>IFERROR(INDEX(V911:AG911,1,MATCH(Parametres!$B$3,V$1:AG$1,0)-1)*IF(OR(C911="L",C911="S",C911="I"),-1,1),"")</f>
        <v>0</v>
      </c>
      <c r="AW911" s="899">
        <f t="shared" si="91"/>
        <v>0</v>
      </c>
      <c r="AX911" s="899">
        <f>INDEX(V911:AG911,1,MATCH(Parametres!$B$3,V$1:AG$1,0))*IF(OR(C911="L",C911="S",C911="I"),-1,1)</f>
        <v>0</v>
      </c>
      <c r="AY911" s="487" t="s">
        <v>337</v>
      </c>
      <c r="AZ911" s="487">
        <f>+VLOOKUP($AJ911,Data_Validation!$A:$E,5,0)</f>
        <v>0</v>
      </c>
    </row>
    <row r="912" spans="1:52" ht="15" customHeight="1">
      <c r="A912" s="706" t="s">
        <v>1148</v>
      </c>
      <c r="B912" s="706">
        <v>2026</v>
      </c>
      <c r="C912" s="706" t="s">
        <v>2816</v>
      </c>
      <c r="D912" s="706" t="s">
        <v>2817</v>
      </c>
      <c r="E912" s="706" t="s">
        <v>333</v>
      </c>
      <c r="F912" s="706" t="s">
        <v>1152</v>
      </c>
      <c r="G912" s="706">
        <v>0</v>
      </c>
      <c r="H912" s="706">
        <v>0</v>
      </c>
      <c r="I912" s="706">
        <v>0</v>
      </c>
      <c r="J912" s="706">
        <v>0</v>
      </c>
      <c r="K912" s="706">
        <v>0</v>
      </c>
      <c r="L912" s="706">
        <v>0</v>
      </c>
      <c r="M912" s="706">
        <v>0</v>
      </c>
      <c r="N912" s="706">
        <v>0</v>
      </c>
      <c r="O912" s="706">
        <v>0</v>
      </c>
      <c r="P912" s="706">
        <v>0</v>
      </c>
      <c r="Q912" s="706">
        <v>0</v>
      </c>
      <c r="R912" s="706">
        <v>0</v>
      </c>
      <c r="S912" s="706">
        <v>0</v>
      </c>
      <c r="T912" s="706">
        <v>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G65300</v>
      </c>
      <c r="AK912" s="905" t="str">
        <f t="shared" si="87"/>
        <v>RECTIFICATION/STOCK/TRUCK</v>
      </c>
      <c r="AL912" s="905">
        <f>IFERROR(INDEX(G912:R912,1,MATCH(Parametres!$B$3,G$1:R$1,0)-1)*IF(OR(F912="L",F912="S",F912="I"),-1,1),"")</f>
        <v>0</v>
      </c>
      <c r="AM912" s="905">
        <f t="shared" si="88"/>
        <v>0</v>
      </c>
      <c r="AN912" s="905">
        <f>INDEX(G912:R912,1,MATCH(Parametres!$B$3,G$1:R$1,0))*IF(OR(F912="L",F912="S",F912="I"),-1,1)</f>
        <v>0</v>
      </c>
      <c r="AO912" s="487" t="str">
        <f>+VLOOKUP($AJ912,Data_Validation!$A:$D,1,0)</f>
        <v>G65300</v>
      </c>
      <c r="AP912" s="487">
        <f>+VLOOKUP($AJ912,Data_Validation!$A:$D,3,0)</f>
        <v>0</v>
      </c>
      <c r="AQ912" s="487">
        <f>+VLOOKUP($AJ912,Data_Validation!$A:$D,4,0)</f>
        <v>0</v>
      </c>
      <c r="AR912" s="487" t="s">
        <v>299</v>
      </c>
      <c r="AS912" s="487">
        <f>+VLOOKUP($AJ912,Data_Validation!$A:$E,5,0)</f>
        <v>0</v>
      </c>
      <c r="AT912" s="904" t="str">
        <f t="shared" si="89"/>
        <v>G65300</v>
      </c>
      <c r="AU912" s="488" t="str">
        <f t="shared" si="90"/>
        <v>RECTIFICATION/STOCK/TRUCK</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customHeight="1">
      <c r="A913" s="706" t="s">
        <v>1148</v>
      </c>
      <c r="B913" s="706">
        <v>2026</v>
      </c>
      <c r="C913" s="706" t="s">
        <v>2818</v>
      </c>
      <c r="D913" s="706" t="s">
        <v>2819</v>
      </c>
      <c r="E913" s="706" t="s">
        <v>333</v>
      </c>
      <c r="F913" s="706" t="s">
        <v>1152</v>
      </c>
      <c r="G913" s="706">
        <v>18498</v>
      </c>
      <c r="H913" s="706">
        <v>22917.759999999998</v>
      </c>
      <c r="I913" s="706">
        <v>31986.76</v>
      </c>
      <c r="J913" s="706">
        <v>54598.76</v>
      </c>
      <c r="K913" s="706">
        <v>72597.759999999995</v>
      </c>
      <c r="L913" s="706">
        <v>89481.76</v>
      </c>
      <c r="M913" s="706">
        <v>89481.76</v>
      </c>
      <c r="N913" s="706">
        <v>99492.76</v>
      </c>
      <c r="O913" s="706">
        <v>99492.76</v>
      </c>
      <c r="P913" s="706">
        <v>0</v>
      </c>
      <c r="Q913" s="706">
        <v>0</v>
      </c>
      <c r="R913" s="706">
        <v>0</v>
      </c>
      <c r="S913" s="706">
        <v>12436.6</v>
      </c>
      <c r="T913" s="706">
        <v>12436.6</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G65400</v>
      </c>
      <c r="AK913" s="905" t="str">
        <f t="shared" si="87"/>
        <v>COUT-PLAN PROTECTION USAG</v>
      </c>
      <c r="AL913" s="905">
        <f>IFERROR(INDEX(G913:R913,1,MATCH(Parametres!$B$3,G$1:R$1,0)-1)*IF(OR(F913="L",F913="S",F913="I"),-1,1),"")</f>
        <v>89481.76</v>
      </c>
      <c r="AM913" s="905">
        <f t="shared" si="88"/>
        <v>10011</v>
      </c>
      <c r="AN913" s="905">
        <f>INDEX(G913:R913,1,MATCH(Parametres!$B$3,G$1:R$1,0))*IF(OR(F913="L",F913="S",F913="I"),-1,1)</f>
        <v>99492.76</v>
      </c>
      <c r="AO913" s="487" t="str">
        <f>+VLOOKUP($AJ913,Data_Validation!$A:$D,1,0)</f>
        <v>G65400</v>
      </c>
      <c r="AP913" s="487" t="str">
        <f>+VLOOKUP($AJ913,Data_Validation!$A:$D,3,0)</f>
        <v>Véhicules usagés</v>
      </c>
      <c r="AQ913" s="487" t="str">
        <f>+VLOOKUP($AJ913,Data_Validation!$A:$D,4,0)</f>
        <v>Rev. Protections</v>
      </c>
      <c r="AR913" s="487" t="s">
        <v>299</v>
      </c>
      <c r="AS913" s="487">
        <f>+VLOOKUP($AJ913,Data_Validation!$A:$E,5,0)</f>
        <v>0</v>
      </c>
      <c r="AT913" s="904" t="str">
        <f t="shared" si="89"/>
        <v>G65400</v>
      </c>
      <c r="AU913" s="488" t="str">
        <f t="shared" si="90"/>
        <v>COUT-PLAN PROTECTION USAG</v>
      </c>
      <c r="AV913" s="899">
        <f>IFERROR(INDEX(V913:AG913,1,MATCH(Parametres!$B$3,V$1:AG$1,0)-1)*IF(OR(C913="L",C913="S",C913="I"),-1,1),"")</f>
        <v>0</v>
      </c>
      <c r="AW913" s="899">
        <f t="shared" si="91"/>
        <v>0</v>
      </c>
      <c r="AX913" s="899">
        <f>INDEX(V913:AG913,1,MATCH(Parametres!$B$3,V$1:AG$1,0))*IF(OR(C913="L",C913="S",C913="I"),-1,1)</f>
        <v>0</v>
      </c>
      <c r="AY913" s="487" t="s">
        <v>337</v>
      </c>
      <c r="AZ913" s="487">
        <f>+VLOOKUP($AJ913,Data_Validation!$A:$E,5,0)</f>
        <v>0</v>
      </c>
    </row>
    <row r="914" spans="1:52" ht="15" customHeight="1">
      <c r="A914" s="706" t="s">
        <v>1148</v>
      </c>
      <c r="B914" s="706">
        <v>2026</v>
      </c>
      <c r="C914" s="706" t="s">
        <v>3396</v>
      </c>
      <c r="D914" s="706" t="s">
        <v>3397</v>
      </c>
      <c r="E914" s="706" t="s">
        <v>333</v>
      </c>
      <c r="F914" s="706" t="s">
        <v>1152</v>
      </c>
      <c r="G914" s="706">
        <v>0</v>
      </c>
      <c r="H914" s="706">
        <v>0</v>
      </c>
      <c r="I914" s="706">
        <v>0</v>
      </c>
      <c r="J914" s="706">
        <v>0</v>
      </c>
      <c r="K914" s="706">
        <v>0</v>
      </c>
      <c r="L914" s="706">
        <v>0</v>
      </c>
      <c r="M914" s="706">
        <v>5911</v>
      </c>
      <c r="N914" s="706">
        <v>6168.43</v>
      </c>
      <c r="O914" s="706">
        <v>6168.43</v>
      </c>
      <c r="P914" s="706">
        <v>0</v>
      </c>
      <c r="Q914" s="706">
        <v>0</v>
      </c>
      <c r="R914" s="706">
        <v>0</v>
      </c>
      <c r="S914" s="706">
        <v>771.05</v>
      </c>
      <c r="T914" s="706">
        <v>771.05</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G65401</v>
      </c>
      <c r="AK914" s="905" t="str">
        <f t="shared" si="87"/>
        <v>COUT ANTIROUILLE USAGE</v>
      </c>
      <c r="AL914" s="905">
        <f>IFERROR(INDEX(G914:R914,1,MATCH(Parametres!$B$3,G$1:R$1,0)-1)*IF(OR(F914="L",F914="S",F914="I"),-1,1),"")</f>
        <v>5911</v>
      </c>
      <c r="AM914" s="905">
        <f t="shared" si="88"/>
        <v>257.43000000000029</v>
      </c>
      <c r="AN914" s="905">
        <f>INDEX(G914:R914,1,MATCH(Parametres!$B$3,G$1:R$1,0))*IF(OR(F914="L",F914="S",F914="I"),-1,1)</f>
        <v>6168.43</v>
      </c>
      <c r="AO914" s="487" t="str">
        <f>+VLOOKUP($AJ914,Data_Validation!$A:$D,1,0)</f>
        <v>G65401</v>
      </c>
      <c r="AP914" s="487" t="str">
        <f>+VLOOKUP($AJ914,Data_Validation!$A:$D,3,0)</f>
        <v>Véhicules usagés</v>
      </c>
      <c r="AQ914" s="487" t="str">
        <f>+VLOOKUP($AJ914,Data_Validation!$A:$D,4,0)</f>
        <v>Rev. Protections</v>
      </c>
      <c r="AR914" s="487" t="s">
        <v>299</v>
      </c>
      <c r="AS914" s="487">
        <f>+VLOOKUP($AJ914,Data_Validation!$A:$E,5,0)</f>
        <v>0</v>
      </c>
      <c r="AT914" s="904" t="str">
        <f t="shared" si="89"/>
        <v>G65401</v>
      </c>
      <c r="AU914" s="488" t="str">
        <f t="shared" si="90"/>
        <v>COUT ANTIROUILLE USAGE</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customHeight="1">
      <c r="A915" s="706" t="s">
        <v>1148</v>
      </c>
      <c r="B915" s="706">
        <v>2026</v>
      </c>
      <c r="C915" s="706" t="s">
        <v>3398</v>
      </c>
      <c r="D915" s="706" t="s">
        <v>3399</v>
      </c>
      <c r="E915" s="706" t="s">
        <v>333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G65403</v>
      </c>
      <c r="AK915" s="905" t="str">
        <f t="shared" si="87"/>
        <v>COUT VITRE-PEINT-TISS- US</v>
      </c>
      <c r="AL915" s="905">
        <f>IFERROR(INDEX(G915:R915,1,MATCH(Parametres!$B$3,G$1:R$1,0)-1)*IF(OR(F915="L",F915="S",F915="I"),-1,1),"")</f>
        <v>0</v>
      </c>
      <c r="AM915" s="905">
        <f t="shared" si="88"/>
        <v>0</v>
      </c>
      <c r="AN915" s="905">
        <f>INDEX(G915:R915,1,MATCH(Parametres!$B$3,G$1:R$1,0))*IF(OR(F915="L",F915="S",F915="I"),-1,1)</f>
        <v>0</v>
      </c>
      <c r="AO915" s="487" t="e">
        <f>+VLOOKUP($AJ915,Data_Validation!$A:$D,1,0)</f>
        <v>#N/A</v>
      </c>
      <c r="AP915" s="487" t="e">
        <f>+VLOOKUP($AJ915,Data_Validation!$A:$D,3,0)</f>
        <v>#N/A</v>
      </c>
      <c r="AQ915" s="487" t="e">
        <f>+VLOOKUP($AJ915,Data_Validation!$A:$D,4,0)</f>
        <v>#N/A</v>
      </c>
      <c r="AR915" s="487" t="s">
        <v>299</v>
      </c>
      <c r="AS915" s="487" t="e">
        <f>+VLOOKUP($AJ915,Data_Validation!$A:$E,5,0)</f>
        <v>#N/A</v>
      </c>
      <c r="AT915" s="904" t="str">
        <f t="shared" si="89"/>
        <v>G65403</v>
      </c>
      <c r="AU915" s="488" t="str">
        <f t="shared" si="90"/>
        <v>COUT VITRE-PEINT-TISS- US</v>
      </c>
      <c r="AV915" s="899">
        <f>IFERROR(INDEX(V915:AG915,1,MATCH(Parametres!$B$3,V$1:AG$1,0)-1)*IF(OR(C915="L",C915="S",C915="I"),-1,1),"")</f>
        <v>0</v>
      </c>
      <c r="AW915" s="899">
        <f t="shared" si="91"/>
        <v>0</v>
      </c>
      <c r="AX915" s="899">
        <f>INDEX(V915:AG915,1,MATCH(Parametres!$B$3,V$1:AG$1,0))*IF(OR(C915="L",C915="S",C915="I"),-1,1)</f>
        <v>0</v>
      </c>
      <c r="AY915" s="487" t="s">
        <v>337</v>
      </c>
      <c r="AZ915" s="487" t="e">
        <f>+VLOOKUP($AJ915,Data_Validation!$A:$E,5,0)</f>
        <v>#N/A</v>
      </c>
    </row>
    <row r="916" spans="1:52" ht="15" customHeight="1">
      <c r="A916" s="706" t="s">
        <v>1148</v>
      </c>
      <c r="B916" s="706">
        <v>2026</v>
      </c>
      <c r="C916" s="706" t="s">
        <v>3400</v>
      </c>
      <c r="D916" s="706" t="s">
        <v>3401</v>
      </c>
      <c r="E916" s="706" t="s">
        <v>333</v>
      </c>
      <c r="F916" s="706" t="s">
        <v>1152</v>
      </c>
      <c r="G916" s="706">
        <v>0</v>
      </c>
      <c r="H916" s="706">
        <v>0</v>
      </c>
      <c r="I916" s="706">
        <v>0</v>
      </c>
      <c r="J916" s="706">
        <v>0</v>
      </c>
      <c r="K916" s="706">
        <v>0</v>
      </c>
      <c r="L916" s="706">
        <v>0</v>
      </c>
      <c r="M916" s="706">
        <v>760</v>
      </c>
      <c r="N916" s="706">
        <v>760</v>
      </c>
      <c r="O916" s="706">
        <v>760</v>
      </c>
      <c r="P916" s="706">
        <v>0</v>
      </c>
      <c r="Q916" s="706">
        <v>0</v>
      </c>
      <c r="R916" s="706">
        <v>0</v>
      </c>
      <c r="S916" s="706">
        <v>95</v>
      </c>
      <c r="T916" s="706">
        <v>95</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G65405</v>
      </c>
      <c r="AK916" s="905" t="str">
        <f t="shared" si="87"/>
        <v>COUT ANTIVOL-TAG -OCC</v>
      </c>
      <c r="AL916" s="905">
        <f>IFERROR(INDEX(G916:R916,1,MATCH(Parametres!$B$3,G$1:R$1,0)-1)*IF(OR(F916="L",F916="S",F916="I"),-1,1),"")</f>
        <v>760</v>
      </c>
      <c r="AM916" s="905">
        <f t="shared" si="88"/>
        <v>0</v>
      </c>
      <c r="AN916" s="905">
        <f>INDEX(G916:R916,1,MATCH(Parametres!$B$3,G$1:R$1,0))*IF(OR(F916="L",F916="S",F916="I"),-1,1)</f>
        <v>760</v>
      </c>
      <c r="AO916" s="487" t="str">
        <f>+VLOOKUP($AJ916,Data_Validation!$A:$D,1,0)</f>
        <v>G65405</v>
      </c>
      <c r="AP916" s="487" t="str">
        <f>+VLOOKUP($AJ916,Data_Validation!$A:$D,3,0)</f>
        <v>Véhicules usagés</v>
      </c>
      <c r="AQ916" s="487" t="str">
        <f>+VLOOKUP($AJ916,Data_Validation!$A:$D,4,0)</f>
        <v>Rev. Protections</v>
      </c>
      <c r="AR916" s="487" t="s">
        <v>299</v>
      </c>
      <c r="AS916" s="487">
        <f>+VLOOKUP($AJ916,Data_Validation!$A:$E,5,0)</f>
        <v>0</v>
      </c>
      <c r="AT916" s="904" t="str">
        <f t="shared" si="89"/>
        <v>G65405</v>
      </c>
      <c r="AU916" s="488" t="str">
        <f t="shared" si="90"/>
        <v>COUT ANTIVOL-TAG -OCC</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customHeight="1">
      <c r="A917" s="706" t="s">
        <v>1148</v>
      </c>
      <c r="B917" s="706">
        <v>2026</v>
      </c>
      <c r="C917" s="706" t="s">
        <v>2820</v>
      </c>
      <c r="D917" s="706" t="s">
        <v>2821</v>
      </c>
      <c r="E917" s="706" t="s">
        <v>1143</v>
      </c>
      <c r="F917" s="706" t="s">
        <v>1152</v>
      </c>
      <c r="G917" s="706">
        <v>0</v>
      </c>
      <c r="H917" s="706">
        <v>0</v>
      </c>
      <c r="I917" s="706">
        <v>0</v>
      </c>
      <c r="J917" s="706">
        <v>0</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G65500</v>
      </c>
      <c r="AK917" s="905" t="str">
        <f t="shared" si="87"/>
        <v>RETOUR DE LOCATION-COUT</v>
      </c>
      <c r="AL917" s="905">
        <f>IFERROR(INDEX(G917:R917,1,MATCH(Parametres!$B$3,G$1:R$1,0)-1)*IF(OR(F917="L",F917="S",F917="I"),-1,1),"")</f>
        <v>0</v>
      </c>
      <c r="AM917" s="1047">
        <f t="shared" si="88"/>
        <v>0</v>
      </c>
      <c r="AN917" s="905">
        <f>INDEX(G917:R917,1,MATCH(Parametres!$B$3,G$1:R$1,0))*IF(OR(F917="L",F917="S",F917="I"),-1,1)</f>
        <v>0</v>
      </c>
      <c r="AO917" s="487" t="str">
        <f>+VLOOKUP($AJ917,Data_Validation!$A:$D,1,0)</f>
        <v>G65500</v>
      </c>
      <c r="AP917" s="487" t="str">
        <f>+VLOOKUP($AJ917,Data_Validation!$A:$D,3,0)</f>
        <v>Véhicules usagés</v>
      </c>
      <c r="AQ917" s="487" t="str">
        <f>+VLOOKUP($AJ917,Data_Validation!$A:$D,4,0)</f>
        <v>Rev. Protections</v>
      </c>
      <c r="AR917" s="487" t="s">
        <v>299</v>
      </c>
      <c r="AS917" s="487">
        <f>+VLOOKUP($AJ917,Data_Validation!$A:$E,5,0)</f>
        <v>0</v>
      </c>
      <c r="AT917" s="904" t="str">
        <f t="shared" si="89"/>
        <v>G65500</v>
      </c>
      <c r="AU917" s="488" t="str">
        <f t="shared" si="90"/>
        <v>RETOUR DE LOCATION-COUT</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2822</v>
      </c>
      <c r="D918" s="706" t="s">
        <v>2823</v>
      </c>
      <c r="E918" s="706" t="s">
        <v>333</v>
      </c>
      <c r="F918" s="706" t="s">
        <v>1152</v>
      </c>
      <c r="G918" s="706">
        <v>1523.9</v>
      </c>
      <c r="H918" s="706">
        <v>1523.9</v>
      </c>
      <c r="I918" s="706">
        <v>2473.8000000000002</v>
      </c>
      <c r="J918" s="706">
        <v>2473.8000000000002</v>
      </c>
      <c r="K918" s="706">
        <v>2473.8000000000002</v>
      </c>
      <c r="L918" s="706">
        <v>2473.8000000000002</v>
      </c>
      <c r="M918" s="706">
        <v>2473.8000000000002</v>
      </c>
      <c r="N918" s="706">
        <v>6127.8</v>
      </c>
      <c r="O918" s="706">
        <v>6127.8</v>
      </c>
      <c r="P918" s="706">
        <v>0</v>
      </c>
      <c r="Q918" s="706">
        <v>0</v>
      </c>
      <c r="R918" s="706">
        <v>0</v>
      </c>
      <c r="S918" s="706">
        <v>765.98</v>
      </c>
      <c r="T918" s="706">
        <v>765.98</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G65600</v>
      </c>
      <c r="AK918" s="905" t="str">
        <f t="shared" si="87"/>
        <v>COUT-REMPLACEMENT USAGES</v>
      </c>
      <c r="AL918" s="905">
        <f>IFERROR(INDEX(G918:R918,1,MATCH(Parametres!$B$3,G$1:R$1,0)-1)*IF(OR(F918="L",F918="S",F918="I"),-1,1),"")</f>
        <v>2473.8000000000002</v>
      </c>
      <c r="AM918" s="1047">
        <f t="shared" si="88"/>
        <v>3654</v>
      </c>
      <c r="AN918" s="905">
        <f>INDEX(G918:R918,1,MATCH(Parametres!$B$3,G$1:R$1,0))*IF(OR(F918="L",F918="S",F918="I"),-1,1)</f>
        <v>6127.8</v>
      </c>
      <c r="AO918" s="487" t="str">
        <f>+VLOOKUP($AJ918,Data_Validation!$A:$D,1,0)</f>
        <v>G65600</v>
      </c>
      <c r="AP918" s="487" t="str">
        <f>+VLOOKUP($AJ918,Data_Validation!$A:$D,3,0)</f>
        <v>Véhicules usagés</v>
      </c>
      <c r="AQ918" s="487" t="str">
        <f>+VLOOKUP($AJ918,Data_Validation!$A:$D,4,0)</f>
        <v>Rev. Protections</v>
      </c>
      <c r="AR918" s="487" t="s">
        <v>299</v>
      </c>
      <c r="AS918" s="487">
        <f>+VLOOKUP($AJ918,Data_Validation!$A:$E,5,0)</f>
        <v>0</v>
      </c>
      <c r="AT918" s="904" t="str">
        <f t="shared" si="89"/>
        <v>G65600</v>
      </c>
      <c r="AU918" s="488" t="str">
        <f t="shared" si="90"/>
        <v>COUT-REMPLACEMENT USAGES</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customHeight="1">
      <c r="A919" s="706" t="s">
        <v>1148</v>
      </c>
      <c r="B919" s="706">
        <v>2026</v>
      </c>
      <c r="C919" s="706" t="s">
        <v>2824</v>
      </c>
      <c r="D919" s="706" t="s">
        <v>2825</v>
      </c>
      <c r="E919" s="706" t="s">
        <v>1152</v>
      </c>
      <c r="F919" s="706" t="s">
        <v>1152</v>
      </c>
      <c r="G919" s="706">
        <v>0</v>
      </c>
      <c r="H919" s="706">
        <v>11481.43</v>
      </c>
      <c r="I919" s="706">
        <v>11481.43</v>
      </c>
      <c r="J919" s="706">
        <v>11481.43</v>
      </c>
      <c r="K919" s="706">
        <v>0</v>
      </c>
      <c r="L919" s="706">
        <v>0</v>
      </c>
      <c r="M919" s="706">
        <v>0</v>
      </c>
      <c r="N919" s="706">
        <v>0</v>
      </c>
      <c r="O919" s="706">
        <v>0</v>
      </c>
      <c r="P919" s="706">
        <v>0</v>
      </c>
      <c r="Q919" s="706">
        <v>0</v>
      </c>
      <c r="R919" s="706">
        <v>0</v>
      </c>
      <c r="S919" s="706">
        <v>0</v>
      </c>
      <c r="T919" s="706">
        <v>0</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G65601</v>
      </c>
      <c r="AK919" s="905" t="str">
        <f t="shared" si="87"/>
        <v>COUT VEH U.S.A</v>
      </c>
      <c r="AL919" s="905">
        <f>IFERROR(INDEX(G919:R919,1,MATCH(Parametres!$B$3,G$1:R$1,0)-1)*IF(OR(F919="L",F919="S",F919="I"),-1,1),"")</f>
        <v>0</v>
      </c>
      <c r="AM919" s="1047">
        <f t="shared" si="88"/>
        <v>0</v>
      </c>
      <c r="AN919" s="905">
        <f>INDEX(G919:R919,1,MATCH(Parametres!$B$3,G$1:R$1,0))*IF(OR(F919="L",F919="S",F919="I"),-1,1)</f>
        <v>0</v>
      </c>
      <c r="AO919" s="487" t="str">
        <f>+VLOOKUP($AJ919,Data_Validation!$A:$D,1,0)</f>
        <v>G65601</v>
      </c>
      <c r="AP919" s="487" t="str">
        <f>+VLOOKUP($AJ919,Data_Validation!$A:$D,3,0)</f>
        <v>Wholesale autres</v>
      </c>
      <c r="AQ919" s="487" t="str">
        <f>+VLOOKUP($AJ919,Data_Validation!$A:$D,4,0)</f>
        <v>Wholesale USA</v>
      </c>
      <c r="AR919" s="487" t="s">
        <v>299</v>
      </c>
      <c r="AS919" s="487">
        <f>+VLOOKUP($AJ919,Data_Validation!$A:$E,5,0)</f>
        <v>0</v>
      </c>
      <c r="AT919" s="904" t="str">
        <f t="shared" si="89"/>
        <v>G65601</v>
      </c>
      <c r="AU919" s="488" t="str">
        <f t="shared" si="90"/>
        <v>COUT VEH U.S.A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customHeight="1">
      <c r="A920" s="706" t="s">
        <v>1148</v>
      </c>
      <c r="B920" s="706">
        <v>2026</v>
      </c>
      <c r="C920" s="706" t="s">
        <v>2826</v>
      </c>
      <c r="D920" s="706" t="s">
        <v>2827</v>
      </c>
      <c r="E920" s="706" t="s">
        <v>333</v>
      </c>
      <c r="F920" s="706" t="s">
        <v>1152</v>
      </c>
      <c r="G920" s="706">
        <v>0</v>
      </c>
      <c r="H920" s="706">
        <v>0</v>
      </c>
      <c r="I920" s="706">
        <v>0</v>
      </c>
      <c r="J920" s="706">
        <v>0</v>
      </c>
      <c r="K920" s="706">
        <v>0</v>
      </c>
      <c r="L920" s="706">
        <v>0</v>
      </c>
      <c r="M920" s="706">
        <v>0</v>
      </c>
      <c r="N920" s="706">
        <v>0</v>
      </c>
      <c r="O920" s="706">
        <v>0</v>
      </c>
      <c r="P920" s="706">
        <v>0</v>
      </c>
      <c r="Q920" s="706">
        <v>0</v>
      </c>
      <c r="R920" s="706">
        <v>0</v>
      </c>
      <c r="S920" s="706">
        <v>0</v>
      </c>
      <c r="T920" s="706">
        <v>0</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G65602</v>
      </c>
      <c r="AK920" s="905" t="str">
        <f t="shared" ref="AK920:AK983" si="93">D920</f>
        <v>COUT VENTE USA -AJUSTMENT</v>
      </c>
      <c r="AL920" s="905">
        <f>IFERROR(INDEX(G920:R920,1,MATCH(Parametres!$B$3,G$1:R$1,0)-1)*IF(OR(F920="L",F920="S",F920="I"),-1,1),"")</f>
        <v>0</v>
      </c>
      <c r="AM920" s="905">
        <f t="shared" ref="AM920:AM983" si="94">AN920-AL920</f>
        <v>0</v>
      </c>
      <c r="AN920" s="905">
        <f>INDEX(G920:R920,1,MATCH(Parametres!$B$3,G$1:R$1,0))*IF(OR(F920="L",F920="S",F920="I"),-1,1)</f>
        <v>0</v>
      </c>
      <c r="AO920" s="487" t="str">
        <f>+VLOOKUP($AJ920,Data_Validation!$A:$D,1,0)</f>
        <v>G65602</v>
      </c>
      <c r="AP920" s="487" t="str">
        <f>+VLOOKUP($AJ920,Data_Validation!$A:$D,3,0)</f>
        <v>Wholesale autres</v>
      </c>
      <c r="AQ920" s="487" t="str">
        <f>+VLOOKUP($AJ920,Data_Validation!$A:$D,4,0)</f>
        <v>Wholesale USA</v>
      </c>
      <c r="AR920" s="487" t="s">
        <v>299</v>
      </c>
      <c r="AS920" s="487">
        <f>+VLOOKUP($AJ920,Data_Validation!$A:$E,5,0)</f>
        <v>0</v>
      </c>
      <c r="AT920" s="904" t="str">
        <f t="shared" ref="AT920:AT983" si="95">C920</f>
        <v>G65602</v>
      </c>
      <c r="AU920" s="488" t="str">
        <f t="shared" ref="AU920:AU983" si="96">D920</f>
        <v>COUT VENTE USA -AJUSTMENT</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customHeight="1">
      <c r="A921" s="706" t="s">
        <v>1148</v>
      </c>
      <c r="B921" s="706">
        <v>2026</v>
      </c>
      <c r="C921" s="706" t="s">
        <v>2828</v>
      </c>
      <c r="D921" s="706" t="s">
        <v>2829</v>
      </c>
      <c r="E921" s="706" t="s">
        <v>1143</v>
      </c>
      <c r="F921" s="706" t="s">
        <v>1152</v>
      </c>
      <c r="G921" s="706">
        <v>1824174.62</v>
      </c>
      <c r="H921" s="706">
        <v>3633133.52</v>
      </c>
      <c r="I921" s="706">
        <v>7320041.8700000001</v>
      </c>
      <c r="J921" s="706">
        <v>11569668.59</v>
      </c>
      <c r="K921" s="706">
        <v>14808103.08</v>
      </c>
      <c r="L921" s="706">
        <v>17839502.09</v>
      </c>
      <c r="M921" s="706">
        <v>19917424.07</v>
      </c>
      <c r="N921" s="706">
        <v>23522381.239999998</v>
      </c>
      <c r="O921" s="706">
        <v>23893982.559999999</v>
      </c>
      <c r="P921" s="706">
        <v>0</v>
      </c>
      <c r="Q921" s="706">
        <v>0</v>
      </c>
      <c r="R921" s="706">
        <v>0</v>
      </c>
      <c r="S921" s="706">
        <v>2940297.66</v>
      </c>
      <c r="T921" s="706">
        <v>2940297.66</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G65603</v>
      </c>
      <c r="AK921" s="905" t="str">
        <f t="shared" si="93"/>
        <v>COUTANT VENTES USA</v>
      </c>
      <c r="AL921" s="905">
        <f>IFERROR(INDEX(G921:R921,1,MATCH(Parametres!$B$3,G$1:R$1,0)-1)*IF(OR(F921="L",F921="S",F921="I"),-1,1),"")</f>
        <v>19917424.07</v>
      </c>
      <c r="AM921" s="905">
        <f t="shared" si="94"/>
        <v>3604957.1699999981</v>
      </c>
      <c r="AN921" s="905">
        <f>INDEX(G921:R921,1,MATCH(Parametres!$B$3,G$1:R$1,0))*IF(OR(F921="L",F921="S",F921="I"),-1,1)</f>
        <v>23522381.239999998</v>
      </c>
      <c r="AO921" s="487" t="str">
        <f>+VLOOKUP($AJ921,Data_Validation!$A:$D,1,0)</f>
        <v>G65603</v>
      </c>
      <c r="AP921" s="487" t="str">
        <f>+VLOOKUP($AJ921,Data_Validation!$A:$D,3,0)</f>
        <v>Wholesale autres</v>
      </c>
      <c r="AQ921" s="487" t="str">
        <f>+VLOOKUP($AJ921,Data_Validation!$A:$D,4,0)</f>
        <v>Wholesale USA</v>
      </c>
      <c r="AR921" s="487" t="s">
        <v>299</v>
      </c>
      <c r="AS921" s="487">
        <f>+VLOOKUP($AJ921,Data_Validation!$A:$E,5,0)</f>
        <v>0</v>
      </c>
      <c r="AT921" s="904" t="str">
        <f t="shared" si="95"/>
        <v>G65603</v>
      </c>
      <c r="AU921" s="488" t="str">
        <f t="shared" si="96"/>
        <v>COUTANT VENTES USA</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customHeight="1">
      <c r="A922" s="706" t="s">
        <v>1148</v>
      </c>
      <c r="B922" s="706">
        <v>2026</v>
      </c>
      <c r="C922" s="706" t="s">
        <v>2830</v>
      </c>
      <c r="D922" s="706" t="s">
        <v>2831</v>
      </c>
      <c r="E922" s="706" t="s">
        <v>1143</v>
      </c>
      <c r="F922" s="706" t="s">
        <v>1152</v>
      </c>
      <c r="G922" s="706">
        <v>0</v>
      </c>
      <c r="H922" s="706">
        <v>0</v>
      </c>
      <c r="I922" s="706">
        <v>0</v>
      </c>
      <c r="J922" s="706">
        <v>0</v>
      </c>
      <c r="K922" s="706">
        <v>3688515.75</v>
      </c>
      <c r="L922" s="706">
        <v>5629910.8300000001</v>
      </c>
      <c r="M922" s="706">
        <v>7128148.5800000001</v>
      </c>
      <c r="N922" s="706">
        <v>8932635.0700000003</v>
      </c>
      <c r="O922" s="706">
        <v>9687566.0700000003</v>
      </c>
      <c r="P922" s="706">
        <v>0</v>
      </c>
      <c r="Q922" s="706">
        <v>0</v>
      </c>
      <c r="R922" s="706">
        <v>0</v>
      </c>
      <c r="S922" s="706">
        <v>1116579.3799999999</v>
      </c>
      <c r="T922" s="706">
        <v>1116579.3799999999</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G656031</v>
      </c>
      <c r="AK922" s="905" t="str">
        <f t="shared" si="93"/>
        <v>COUT VENTES INTERCO USA</v>
      </c>
      <c r="AL922" s="905">
        <f>IFERROR(INDEX(G922:R922,1,MATCH(Parametres!$B$3,G$1:R$1,0)-1)*IF(OR(F922="L",F922="S",F922="I"),-1,1),"")</f>
        <v>7128148.5800000001</v>
      </c>
      <c r="AM922" s="905">
        <f t="shared" si="94"/>
        <v>1804486.4900000002</v>
      </c>
      <c r="AN922" s="905">
        <f>INDEX(G922:R922,1,MATCH(Parametres!$B$3,G$1:R$1,0))*IF(OR(F922="L",F922="S",F922="I"),-1,1)</f>
        <v>8932635.0700000003</v>
      </c>
      <c r="AO922" s="487" t="str">
        <f>+VLOOKUP($AJ922,Data_Validation!$A:$D,1,0)</f>
        <v>G656031</v>
      </c>
      <c r="AP922" s="487">
        <f>+VLOOKUP($AJ922,Data_Validation!$A:$D,3,0)</f>
        <v>0</v>
      </c>
      <c r="AQ922" s="487">
        <f>+VLOOKUP($AJ922,Data_Validation!$A:$D,4,0)</f>
        <v>0</v>
      </c>
      <c r="AR922" s="487" t="s">
        <v>299</v>
      </c>
      <c r="AS922" s="487">
        <f>+VLOOKUP($AJ922,Data_Validation!$A:$E,5,0)</f>
        <v>0</v>
      </c>
      <c r="AT922" s="904" t="str">
        <f t="shared" si="95"/>
        <v>G656031</v>
      </c>
      <c r="AU922" s="488" t="str">
        <f t="shared" si="96"/>
        <v>COUT VENTES INTERCO USA</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customHeight="1">
      <c r="A923" s="706" t="s">
        <v>1148</v>
      </c>
      <c r="B923" s="706">
        <v>2026</v>
      </c>
      <c r="C923" s="706" t="s">
        <v>2832</v>
      </c>
      <c r="D923" s="706" t="s">
        <v>2833</v>
      </c>
      <c r="E923" s="706" t="s">
        <v>1143</v>
      </c>
      <c r="F923" s="706" t="s">
        <v>1152</v>
      </c>
      <c r="G923" s="706">
        <v>0</v>
      </c>
      <c r="H923" s="706">
        <v>0</v>
      </c>
      <c r="I923" s="706">
        <v>0</v>
      </c>
      <c r="J923" s="706">
        <v>0</v>
      </c>
      <c r="K923" s="706">
        <v>7618583.3200000003</v>
      </c>
      <c r="L923" s="706">
        <v>8208159.9699999997</v>
      </c>
      <c r="M923" s="706">
        <v>9019416.5299999993</v>
      </c>
      <c r="N923" s="706">
        <v>9918803.9800000004</v>
      </c>
      <c r="O923" s="706">
        <v>10338052.939999999</v>
      </c>
      <c r="P923" s="706">
        <v>0</v>
      </c>
      <c r="Q923" s="706">
        <v>0</v>
      </c>
      <c r="R923" s="706">
        <v>0</v>
      </c>
      <c r="S923" s="706">
        <v>1239850.5</v>
      </c>
      <c r="T923" s="706">
        <v>1239850.5</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G65605</v>
      </c>
      <c r="AK923" s="905" t="str">
        <f t="shared" si="93"/>
        <v>COUT VENTE WHL CANADA</v>
      </c>
      <c r="AL923" s="905">
        <f>IFERROR(INDEX(G923:R923,1,MATCH(Parametres!$B$3,G$1:R$1,0)-1)*IF(OR(F923="L",F923="S",F923="I"),-1,1),"")</f>
        <v>9019416.5299999993</v>
      </c>
      <c r="AM923" s="905">
        <f t="shared" si="94"/>
        <v>899387.45000000112</v>
      </c>
      <c r="AN923" s="905">
        <f>INDEX(G923:R923,1,MATCH(Parametres!$B$3,G$1:R$1,0))*IF(OR(F923="L",F923="S",F923="I"),-1,1)</f>
        <v>9918803.9800000004</v>
      </c>
      <c r="AO923" s="487" t="str">
        <f>+VLOOKUP($AJ923,Data_Validation!$A:$D,1,0)</f>
        <v>G65605</v>
      </c>
      <c r="AP923" s="487" t="str">
        <f>+VLOOKUP($AJ923,Data_Validation!$A:$D,3,0)</f>
        <v>Wholesale autres</v>
      </c>
      <c r="AQ923" s="487" t="str">
        <f>+VLOOKUP($AJ923,Data_Validation!$A:$D,4,0)</f>
        <v>Wholesale Canada</v>
      </c>
      <c r="AR923" s="487" t="s">
        <v>299</v>
      </c>
      <c r="AS923" s="487">
        <f>+VLOOKUP($AJ923,Data_Validation!$A:$E,5,0)</f>
        <v>0</v>
      </c>
      <c r="AT923" s="904" t="str">
        <f t="shared" si="95"/>
        <v>G65605</v>
      </c>
      <c r="AU923" s="488" t="str">
        <f t="shared" si="96"/>
        <v>COUT VENTE WHL CANADA</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2834</v>
      </c>
      <c r="D924" s="706" t="s">
        <v>2835</v>
      </c>
      <c r="E924" s="706" t="s">
        <v>333</v>
      </c>
      <c r="F924" s="706" t="s">
        <v>1152</v>
      </c>
      <c r="G924" s="706">
        <v>13446.01</v>
      </c>
      <c r="H924" s="706">
        <v>29099.53</v>
      </c>
      <c r="I924" s="706">
        <v>45415.22</v>
      </c>
      <c r="J924" s="706">
        <v>64137.919999999998</v>
      </c>
      <c r="K924" s="706">
        <v>77049</v>
      </c>
      <c r="L924" s="706">
        <v>93388.15</v>
      </c>
      <c r="M924" s="706">
        <v>110506.13</v>
      </c>
      <c r="N924" s="706">
        <v>123975</v>
      </c>
      <c r="O924" s="706">
        <v>133258.49</v>
      </c>
      <c r="P924" s="706">
        <v>0</v>
      </c>
      <c r="Q924" s="706">
        <v>0</v>
      </c>
      <c r="R924" s="706">
        <v>0</v>
      </c>
      <c r="S924" s="706">
        <v>15496.88</v>
      </c>
      <c r="T924" s="706">
        <v>15496.88</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G66010</v>
      </c>
      <c r="AK924" s="905" t="str">
        <f t="shared" si="93"/>
        <v>COUT CLIENT VOIT CAM LEG.</v>
      </c>
      <c r="AL924" s="905">
        <f>IFERROR(INDEX(G924:R924,1,MATCH(Parametres!$B$3,G$1:R$1,0)-1)*IF(OR(F924="L",F924="S",F924="I"),-1,1),"")</f>
        <v>110506.13</v>
      </c>
      <c r="AM924" s="905">
        <f t="shared" si="94"/>
        <v>13468.869999999995</v>
      </c>
      <c r="AN924" s="905">
        <f>INDEX(G924:R924,1,MATCH(Parametres!$B$3,G$1:R$1,0))*IF(OR(F924="L",F924="S",F924="I"),-1,1)</f>
        <v>123975</v>
      </c>
      <c r="AO924" s="487" t="str">
        <f>+VLOOKUP($AJ924,Data_Validation!$A:$D,1,0)</f>
        <v>G66010</v>
      </c>
      <c r="AP924" s="487" t="str">
        <f>+VLOOKUP($AJ924,Data_Validation!$A:$D,3,0)</f>
        <v>Service</v>
      </c>
      <c r="AQ924" s="487" t="str">
        <f>+VLOOKUP($AJ924,Data_Validation!$A:$D,4,0)</f>
        <v>M/O Client</v>
      </c>
      <c r="AR924" s="487" t="s">
        <v>299</v>
      </c>
      <c r="AS924" s="487">
        <f>+VLOOKUP($AJ924,Data_Validation!$A:$E,5,0)</f>
        <v>0</v>
      </c>
      <c r="AT924" s="904" t="str">
        <f t="shared" si="95"/>
        <v>G66010</v>
      </c>
      <c r="AU924" s="488" t="str">
        <f t="shared" si="96"/>
        <v>COUT CLIENT VOIT CAM LEG.</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3198</v>
      </c>
      <c r="D925" s="706" t="s">
        <v>3199</v>
      </c>
      <c r="E925" s="706" t="s">
        <v>333</v>
      </c>
      <c r="F925" s="706" t="s">
        <v>1152</v>
      </c>
      <c r="G925" s="706">
        <v>0</v>
      </c>
      <c r="H925" s="706">
        <v>0</v>
      </c>
      <c r="I925" s="706">
        <v>0</v>
      </c>
      <c r="J925" s="706">
        <v>0</v>
      </c>
      <c r="K925" s="706">
        <v>0</v>
      </c>
      <c r="L925" s="706">
        <v>3.25</v>
      </c>
      <c r="M925" s="706">
        <v>3.25</v>
      </c>
      <c r="N925" s="706">
        <v>71.05</v>
      </c>
      <c r="O925" s="706">
        <v>71.05</v>
      </c>
      <c r="P925" s="706">
        <v>0</v>
      </c>
      <c r="Q925" s="706">
        <v>0</v>
      </c>
      <c r="R925" s="706">
        <v>0</v>
      </c>
      <c r="S925" s="706">
        <v>8.8800000000000008</v>
      </c>
      <c r="T925" s="706">
        <v>8.8800000000000008</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G66015</v>
      </c>
      <c r="AK925" s="905" t="str">
        <f t="shared" si="93"/>
        <v>COUT ESTHETIQUE CLIENT</v>
      </c>
      <c r="AL925" s="905">
        <f>IFERROR(INDEX(G925:R925,1,MATCH(Parametres!$B$3,G$1:R$1,0)-1)*IF(OR(F925="L",F925="S",F925="I"),-1,1),"")</f>
        <v>3.25</v>
      </c>
      <c r="AM925" s="905">
        <f t="shared" si="94"/>
        <v>67.8</v>
      </c>
      <c r="AN925" s="905">
        <f>INDEX(G925:R925,1,MATCH(Parametres!$B$3,G$1:R$1,0))*IF(OR(F925="L",F925="S",F925="I"),-1,1)</f>
        <v>71.05</v>
      </c>
      <c r="AO925" s="487" t="str">
        <f>+VLOOKUP($AJ925,Data_Validation!$A:$D,1,0)</f>
        <v>G66015</v>
      </c>
      <c r="AP925" s="487" t="str">
        <f>+VLOOKUP($AJ925,Data_Validation!$A:$D,3,0)</f>
        <v>Service</v>
      </c>
      <c r="AQ925" s="487" t="str">
        <f>+VLOOKUP($AJ925,Data_Validation!$A:$D,4,0)</f>
        <v>M/O Client</v>
      </c>
      <c r="AR925" s="487" t="s">
        <v>299</v>
      </c>
      <c r="AS925" s="487">
        <f>+VLOOKUP($AJ925,Data_Validation!$A:$E,5,0)</f>
        <v>0</v>
      </c>
      <c r="AT925" s="904" t="str">
        <f t="shared" si="95"/>
        <v>G66015</v>
      </c>
      <c r="AU925" s="488" t="str">
        <f t="shared" si="96"/>
        <v>COUT ESTHETIQUE CLIENT</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customHeight="1">
      <c r="A926" s="706" t="s">
        <v>1148</v>
      </c>
      <c r="B926" s="706">
        <v>2026</v>
      </c>
      <c r="C926" s="706" t="s">
        <v>2836</v>
      </c>
      <c r="D926" s="706" t="s">
        <v>2837</v>
      </c>
      <c r="E926" s="706" t="s">
        <v>333</v>
      </c>
      <c r="F926" s="706" t="s">
        <v>1152</v>
      </c>
      <c r="G926" s="706">
        <v>0</v>
      </c>
      <c r="H926" s="706">
        <v>0</v>
      </c>
      <c r="I926" s="706">
        <v>0</v>
      </c>
      <c r="J926" s="706">
        <v>0</v>
      </c>
      <c r="K926" s="706">
        <v>0</v>
      </c>
      <c r="L926" s="706">
        <v>0</v>
      </c>
      <c r="M926" s="706">
        <v>0</v>
      </c>
      <c r="N926" s="706">
        <v>0</v>
      </c>
      <c r="O926" s="706">
        <v>0</v>
      </c>
      <c r="P926" s="706">
        <v>0</v>
      </c>
      <c r="Q926" s="706">
        <v>0</v>
      </c>
      <c r="R926" s="706">
        <v>0</v>
      </c>
      <c r="S926" s="706">
        <v>0</v>
      </c>
      <c r="T926" s="706">
        <v>0</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G66020</v>
      </c>
      <c r="AK926" s="905" t="str">
        <f t="shared" si="93"/>
        <v>COUT CON.SER.VOIT CAM LEG</v>
      </c>
      <c r="AL926" s="905">
        <f>IFERROR(INDEX(G926:R926,1,MATCH(Parametres!$B$3,G$1:R$1,0)-1)*IF(OR(F926="L",F926="S",F926="I"),-1,1),"")</f>
        <v>0</v>
      </c>
      <c r="AM926" s="905">
        <f t="shared" si="94"/>
        <v>0</v>
      </c>
      <c r="AN926" s="905">
        <f>INDEX(G926:R926,1,MATCH(Parametres!$B$3,G$1:R$1,0))*IF(OR(F926="L",F926="S",F926="I"),-1,1)</f>
        <v>0</v>
      </c>
      <c r="AO926" s="487" t="str">
        <f>+VLOOKUP($AJ926,Data_Validation!$A:$D,1,0)</f>
        <v>G66020</v>
      </c>
      <c r="AP926" s="487" t="str">
        <f>+VLOOKUP($AJ926,Data_Validation!$A:$D,3,0)</f>
        <v>Service</v>
      </c>
      <c r="AQ926" s="487" t="str">
        <f>+VLOOKUP($AJ926,Data_Validation!$A:$D,4,0)</f>
        <v>M/O Garantie</v>
      </c>
      <c r="AR926" s="487" t="s">
        <v>299</v>
      </c>
      <c r="AS926" s="487">
        <f>+VLOOKUP($AJ926,Data_Validation!$A:$E,5,0)</f>
        <v>0</v>
      </c>
      <c r="AT926" s="904" t="str">
        <f t="shared" si="95"/>
        <v>G66020</v>
      </c>
      <c r="AU926" s="488" t="str">
        <f t="shared" si="96"/>
        <v>COUT CON.SER.VOIT CAM LEG</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customHeight="1">
      <c r="A927" s="706" t="s">
        <v>1148</v>
      </c>
      <c r="B927" s="706">
        <v>2026</v>
      </c>
      <c r="C927" s="706" t="s">
        <v>2838</v>
      </c>
      <c r="D927" s="706" t="s">
        <v>2839</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G66030</v>
      </c>
      <c r="AK927" s="905" t="str">
        <f t="shared" si="93"/>
        <v>COUT-M.D.PLAN PROT.A.AUTO</v>
      </c>
      <c r="AL927" s="905">
        <f>IFERROR(INDEX(G927:R927,1,MATCH(Parametres!$B$3,G$1:R$1,0)-1)*IF(OR(F927="L",F927="S",F927="I"),-1,1),"")</f>
        <v>0</v>
      </c>
      <c r="AM927" s="905">
        <f t="shared" si="94"/>
        <v>0</v>
      </c>
      <c r="AN927" s="905">
        <f>INDEX(G927:R927,1,MATCH(Parametres!$B$3,G$1:R$1,0))*IF(OR(F927="L",F927="S",F927="I"),-1,1)</f>
        <v>0</v>
      </c>
      <c r="AO927" s="487" t="e">
        <f>+VLOOKUP($AJ927,Data_Validation!$A:$D,1,0)</f>
        <v>#N/A</v>
      </c>
      <c r="AP927" s="487" t="e">
        <f>+VLOOKUP($AJ927,Data_Validation!$A:$D,3,0)</f>
        <v>#N/A</v>
      </c>
      <c r="AQ927" s="487" t="e">
        <f>+VLOOKUP($AJ927,Data_Validation!$A:$D,4,0)</f>
        <v>#N/A</v>
      </c>
      <c r="AR927" s="487" t="s">
        <v>299</v>
      </c>
      <c r="AS927" s="487" t="e">
        <f>+VLOOKUP($AJ927,Data_Validation!$A:$E,5,0)</f>
        <v>#N/A</v>
      </c>
      <c r="AT927" s="904" t="str">
        <f t="shared" si="95"/>
        <v>G66030</v>
      </c>
      <c r="AU927" s="488" t="str">
        <f t="shared" si="96"/>
        <v>COUT-M.D.PLAN PROT.A.AUTO</v>
      </c>
      <c r="AV927" s="899">
        <f>IFERROR(INDEX(V927:AG927,1,MATCH(Parametres!$B$3,V$1:AG$1,0)-1)*IF(OR(C927="L",C927="S",C927="I"),-1,1),"")</f>
        <v>0</v>
      </c>
      <c r="AW927" s="899">
        <f t="shared" si="97"/>
        <v>0</v>
      </c>
      <c r="AX927" s="899">
        <f>INDEX(V927:AG927,1,MATCH(Parametres!$B$3,V$1:AG$1,0))*IF(OR(C927="L",C927="S",C927="I"),-1,1)</f>
        <v>0</v>
      </c>
      <c r="AY927" s="487" t="s">
        <v>337</v>
      </c>
      <c r="AZ927" s="487" t="e">
        <f>+VLOOKUP($AJ927,Data_Validation!$A:$E,5,0)</f>
        <v>#N/A</v>
      </c>
    </row>
    <row r="928" spans="1:52" ht="15" customHeight="1">
      <c r="A928" s="706" t="s">
        <v>1148</v>
      </c>
      <c r="B928" s="706">
        <v>2026</v>
      </c>
      <c r="C928" s="706" t="s">
        <v>2840</v>
      </c>
      <c r="D928" s="706" t="s">
        <v>2841</v>
      </c>
      <c r="E928" s="706" t="s">
        <v>333</v>
      </c>
      <c r="F928" s="706" t="s">
        <v>1152</v>
      </c>
      <c r="G928" s="706">
        <v>518.16</v>
      </c>
      <c r="H928" s="706">
        <v>817.18</v>
      </c>
      <c r="I928" s="706">
        <v>937.18</v>
      </c>
      <c r="J928" s="706">
        <v>1459.1</v>
      </c>
      <c r="K928" s="706">
        <v>2870.89</v>
      </c>
      <c r="L928" s="706">
        <v>3656.76</v>
      </c>
      <c r="M928" s="706">
        <v>4083.31</v>
      </c>
      <c r="N928" s="706">
        <v>4505.42</v>
      </c>
      <c r="O928" s="706">
        <v>5039.59</v>
      </c>
      <c r="P928" s="706">
        <v>0</v>
      </c>
      <c r="Q928" s="706">
        <v>0</v>
      </c>
      <c r="R928" s="706">
        <v>0</v>
      </c>
      <c r="S928" s="706">
        <v>563.17999999999995</v>
      </c>
      <c r="T928" s="706">
        <v>563.17999999999995</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G66040</v>
      </c>
      <c r="AK928" s="905" t="str">
        <f t="shared" si="93"/>
        <v>COUT SER RAP.VOIT CAM LEG</v>
      </c>
      <c r="AL928" s="905">
        <f>IFERROR(INDEX(G928:R928,1,MATCH(Parametres!$B$3,G$1:R$1,0)-1)*IF(OR(F928="L",F928="S",F928="I"),-1,1),"")</f>
        <v>4083.31</v>
      </c>
      <c r="AM928" s="905">
        <f t="shared" si="94"/>
        <v>422.11000000000013</v>
      </c>
      <c r="AN928" s="905">
        <f>INDEX(G928:R928,1,MATCH(Parametres!$B$3,G$1:R$1,0))*IF(OR(F928="L",F928="S",F928="I"),-1,1)</f>
        <v>4505.42</v>
      </c>
      <c r="AO928" s="487" t="str">
        <f>+VLOOKUP($AJ928,Data_Validation!$A:$D,1,0)</f>
        <v>G66040</v>
      </c>
      <c r="AP928" s="487" t="str">
        <f>+VLOOKUP($AJ928,Data_Validation!$A:$D,3,0)</f>
        <v>Service</v>
      </c>
      <c r="AQ928" s="487" t="str">
        <f>+VLOOKUP($AJ928,Data_Validation!$A:$D,4,0)</f>
        <v>M/O Client</v>
      </c>
      <c r="AR928" s="487" t="s">
        <v>299</v>
      </c>
      <c r="AS928" s="487">
        <f>+VLOOKUP($AJ928,Data_Validation!$A:$E,5,0)</f>
        <v>0</v>
      </c>
      <c r="AT928" s="904" t="str">
        <f t="shared" si="95"/>
        <v>G66040</v>
      </c>
      <c r="AU928" s="488" t="str">
        <f t="shared" si="96"/>
        <v>COUT SER RAP.VOIT CAM LEG</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customHeight="1">
      <c r="A929" s="706" t="s">
        <v>1148</v>
      </c>
      <c r="B929" s="706">
        <v>2026</v>
      </c>
      <c r="C929" s="706" t="s">
        <v>3402</v>
      </c>
      <c r="D929" s="706" t="s">
        <v>3403</v>
      </c>
      <c r="E929" s="706" t="s">
        <v>333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G66050</v>
      </c>
      <c r="AK929" s="905" t="str">
        <f t="shared" si="93"/>
        <v>COUT M-0 ELECTRIQUE   CLT</v>
      </c>
      <c r="AL929" s="905">
        <f>IFERROR(INDEX(G929:R929,1,MATCH(Parametres!$B$3,G$1:R$1,0)-1)*IF(OR(F929="L",F929="S",F929="I"),-1,1),"")</f>
        <v>0</v>
      </c>
      <c r="AM929" s="905">
        <f t="shared" si="94"/>
        <v>0</v>
      </c>
      <c r="AN929" s="905">
        <f>INDEX(G929:R929,1,MATCH(Parametres!$B$3,G$1:R$1,0))*IF(OR(F929="L",F929="S",F929="I"),-1,1)</f>
        <v>0</v>
      </c>
      <c r="AO929" s="487" t="e">
        <f>+VLOOKUP($AJ929,Data_Validation!$A:$D,1,0)</f>
        <v>#N/A</v>
      </c>
      <c r="AP929" s="487" t="e">
        <f>+VLOOKUP($AJ929,Data_Validation!$A:$D,3,0)</f>
        <v>#N/A</v>
      </c>
      <c r="AQ929" s="487" t="e">
        <f>+VLOOKUP($AJ929,Data_Validation!$A:$D,4,0)</f>
        <v>#N/A</v>
      </c>
      <c r="AR929" s="487" t="s">
        <v>299</v>
      </c>
      <c r="AS929" s="487" t="e">
        <f>+VLOOKUP($AJ929,Data_Validation!$A:$E,5,0)</f>
        <v>#N/A</v>
      </c>
      <c r="AT929" s="904" t="str">
        <f t="shared" si="95"/>
        <v>G66050</v>
      </c>
      <c r="AU929" s="488" t="str">
        <f t="shared" si="96"/>
        <v>COUT M-0 ELECTRIQUE   CLT</v>
      </c>
      <c r="AV929" s="899">
        <f>IFERROR(INDEX(V929:AG929,1,MATCH(Parametres!$B$3,V$1:AG$1,0)-1)*IF(OR(C929="L",C929="S",C929="I"),-1,1),"")</f>
        <v>0</v>
      </c>
      <c r="AW929" s="899">
        <f t="shared" si="97"/>
        <v>0</v>
      </c>
      <c r="AX929" s="899">
        <f>INDEX(V929:AG929,1,MATCH(Parametres!$B$3,V$1:AG$1,0))*IF(OR(C929="L",C929="S",C929="I"),-1,1)</f>
        <v>0</v>
      </c>
      <c r="AY929" s="487" t="s">
        <v>337</v>
      </c>
      <c r="AZ929" s="487" t="e">
        <f>+VLOOKUP($AJ929,Data_Validation!$A:$E,5,0)</f>
        <v>#N/A</v>
      </c>
    </row>
    <row r="930" spans="1:52" ht="15" customHeight="1">
      <c r="A930" s="706" t="s">
        <v>1148</v>
      </c>
      <c r="B930" s="706">
        <v>2026</v>
      </c>
      <c r="C930" s="706" t="s">
        <v>2842</v>
      </c>
      <c r="D930" s="706" t="s">
        <v>3404</v>
      </c>
      <c r="E930" s="706" t="s">
        <v>333</v>
      </c>
      <c r="F930" s="706" t="s">
        <v>1152</v>
      </c>
      <c r="G930" s="706">
        <v>20932.87</v>
      </c>
      <c r="H930" s="706">
        <v>42417.59</v>
      </c>
      <c r="I930" s="706">
        <v>67392.460000000006</v>
      </c>
      <c r="J930" s="706">
        <v>93090.14</v>
      </c>
      <c r="K930" s="706">
        <v>109633.39</v>
      </c>
      <c r="L930" s="706">
        <v>114844.03</v>
      </c>
      <c r="M930" s="706">
        <v>121207.03</v>
      </c>
      <c r="N930" s="706">
        <v>125683.29</v>
      </c>
      <c r="O930" s="706">
        <v>130280.02</v>
      </c>
      <c r="P930" s="706">
        <v>0</v>
      </c>
      <c r="Q930" s="706">
        <v>0</v>
      </c>
      <c r="R930" s="706">
        <v>0</v>
      </c>
      <c r="S930" s="706">
        <v>15710.41</v>
      </c>
      <c r="T930" s="706">
        <v>15710.41</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G66110</v>
      </c>
      <c r="AK930" s="905" t="str">
        <f t="shared" si="93"/>
        <v>COUT M-D'O CLIENT S.A.A.Q</v>
      </c>
      <c r="AL930" s="905">
        <f>IFERROR(INDEX(G930:R930,1,MATCH(Parametres!$B$3,G$1:R$1,0)-1)*IF(OR(F930="L",F930="S",F930="I"),-1,1),"")</f>
        <v>121207.03</v>
      </c>
      <c r="AM930" s="905">
        <f t="shared" si="94"/>
        <v>4476.2599999999948</v>
      </c>
      <c r="AN930" s="905">
        <f>INDEX(G930:R930,1,MATCH(Parametres!$B$3,G$1:R$1,0))*IF(OR(F930="L",F930="S",F930="I"),-1,1)</f>
        <v>125683.29</v>
      </c>
      <c r="AO930" s="487" t="str">
        <f>+VLOOKUP($AJ930,Data_Validation!$A:$D,1,0)</f>
        <v>G66110</v>
      </c>
      <c r="AP930" s="487" t="str">
        <f>+VLOOKUP($AJ930,Data_Validation!$A:$D,3,0)</f>
        <v>SAAQ</v>
      </c>
      <c r="AQ930" s="487" t="str">
        <f>+VLOOKUP($AJ930,Data_Validation!$A:$D,4,0)</f>
        <v>Inspection - Véhicules Légers</v>
      </c>
      <c r="AR930" s="487" t="s">
        <v>299</v>
      </c>
      <c r="AS930" s="487">
        <f>+VLOOKUP($AJ930,Data_Validation!$A:$E,5,0)</f>
        <v>0</v>
      </c>
      <c r="AT930" s="904" t="str">
        <f t="shared" si="95"/>
        <v>G66110</v>
      </c>
      <c r="AU930" s="488" t="str">
        <f t="shared" si="96"/>
        <v>COUT M-D'O CLIENT S.A.A.Q</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customHeight="1">
      <c r="A931" s="706" t="s">
        <v>1148</v>
      </c>
      <c r="B931" s="706">
        <v>2026</v>
      </c>
      <c r="C931" s="706" t="s">
        <v>3405</v>
      </c>
      <c r="D931" s="706" t="s">
        <v>3406</v>
      </c>
      <c r="E931" s="706" t="s">
        <v>333</v>
      </c>
      <c r="F931" s="706" t="s">
        <v>1152</v>
      </c>
      <c r="G931" s="706">
        <v>0</v>
      </c>
      <c r="H931" s="706">
        <v>0</v>
      </c>
      <c r="I931" s="706">
        <v>0</v>
      </c>
      <c r="J931" s="706">
        <v>0</v>
      </c>
      <c r="K931" s="706">
        <v>0</v>
      </c>
      <c r="L931" s="706">
        <v>0</v>
      </c>
      <c r="M931" s="706">
        <v>0</v>
      </c>
      <c r="N931" s="706">
        <v>0</v>
      </c>
      <c r="O931" s="706">
        <v>0</v>
      </c>
      <c r="P931" s="706">
        <v>0</v>
      </c>
      <c r="Q931" s="706">
        <v>0</v>
      </c>
      <c r="R931" s="706">
        <v>0</v>
      </c>
      <c r="S931" s="706">
        <v>0</v>
      </c>
      <c r="T931" s="706">
        <v>0</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G66111</v>
      </c>
      <c r="AK931" s="905" t="str">
        <f t="shared" si="93"/>
        <v>COUT M-O CLIENT FLOTTES</v>
      </c>
      <c r="AL931" s="905">
        <f>IFERROR(INDEX(G931:R931,1,MATCH(Parametres!$B$3,G$1:R$1,0)-1)*IF(OR(F931="L",F931="S",F931="I"),-1,1),"")</f>
        <v>0</v>
      </c>
      <c r="AM931" s="905">
        <f t="shared" si="94"/>
        <v>0</v>
      </c>
      <c r="AN931" s="905">
        <f>INDEX(G931:R931,1,MATCH(Parametres!$B$3,G$1:R$1,0))*IF(OR(F931="L",F931="S",F931="I"),-1,1)</f>
        <v>0</v>
      </c>
      <c r="AO931" s="487" t="e">
        <f>+VLOOKUP($AJ931,Data_Validation!$A:$D,1,0)</f>
        <v>#N/A</v>
      </c>
      <c r="AP931" s="487" t="e">
        <f>+VLOOKUP($AJ931,Data_Validation!$A:$D,3,0)</f>
        <v>#N/A</v>
      </c>
      <c r="AQ931" s="487" t="e">
        <f>+VLOOKUP($AJ931,Data_Validation!$A:$D,4,0)</f>
        <v>#N/A</v>
      </c>
      <c r="AR931" s="487" t="s">
        <v>299</v>
      </c>
      <c r="AS931" s="487" t="e">
        <f>+VLOOKUP($AJ931,Data_Validation!$A:$E,5,0)</f>
        <v>#N/A</v>
      </c>
      <c r="AT931" s="904" t="str">
        <f t="shared" si="95"/>
        <v>G66111</v>
      </c>
      <c r="AU931" s="488" t="str">
        <f t="shared" si="96"/>
        <v>COUT M-O CLIENT FLOTTES</v>
      </c>
      <c r="AV931" s="899">
        <f>IFERROR(INDEX(V931:AG931,1,MATCH(Parametres!$B$3,V$1:AG$1,0)-1)*IF(OR(C931="L",C931="S",C931="I"),-1,1),"")</f>
        <v>0</v>
      </c>
      <c r="AW931" s="899">
        <f t="shared" si="97"/>
        <v>0</v>
      </c>
      <c r="AX931" s="899">
        <f>INDEX(V931:AG931,1,MATCH(Parametres!$B$3,V$1:AG$1,0))*IF(OR(C931="L",C931="S",C931="I"),-1,1)</f>
        <v>0</v>
      </c>
      <c r="AY931" s="487" t="s">
        <v>337</v>
      </c>
      <c r="AZ931" s="487" t="e">
        <f>+VLOOKUP($AJ931,Data_Validation!$A:$E,5,0)</f>
        <v>#N/A</v>
      </c>
    </row>
    <row r="932" spans="1:52" ht="15" customHeight="1">
      <c r="A932" s="706" t="s">
        <v>1148</v>
      </c>
      <c r="B932" s="706">
        <v>2026</v>
      </c>
      <c r="C932" s="706" t="s">
        <v>2844</v>
      </c>
      <c r="D932" s="706" t="s">
        <v>2845</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G66120</v>
      </c>
      <c r="AK932" s="905" t="str">
        <f t="shared" si="93"/>
        <v>COUT CLAIM CAMIONS MOYEN</v>
      </c>
      <c r="AL932" s="905">
        <f>IFERROR(INDEX(G932:R932,1,MATCH(Parametres!$B$3,G$1:R$1,0)-1)*IF(OR(F932="L",F932="S",F932="I"),-1,1),"")</f>
        <v>0</v>
      </c>
      <c r="AM932" s="905">
        <f t="shared" si="94"/>
        <v>0</v>
      </c>
      <c r="AN932" s="905">
        <f>INDEX(G932:R932,1,MATCH(Parametres!$B$3,G$1:R$1,0))*IF(OR(F932="L",F932="S",F932="I"),-1,1)</f>
        <v>0</v>
      </c>
      <c r="AO932" s="487" t="str">
        <f>+VLOOKUP($AJ932,Data_Validation!$A:$D,1,0)</f>
        <v>G66120</v>
      </c>
      <c r="AP932" s="487" t="str">
        <f>+VLOOKUP($AJ932,Data_Validation!$A:$D,3,0)</f>
        <v>SAAQ</v>
      </c>
      <c r="AQ932" s="487" t="str">
        <f>+VLOOKUP($AJ932,Data_Validation!$A:$D,4,0)</f>
        <v>Inspection - Véhicules Interne</v>
      </c>
      <c r="AR932" s="487" t="s">
        <v>299</v>
      </c>
      <c r="AS932" s="487">
        <f>+VLOOKUP($AJ932,Data_Validation!$A:$E,5,0)</f>
        <v>0</v>
      </c>
      <c r="AT932" s="904" t="str">
        <f t="shared" si="95"/>
        <v>G66120</v>
      </c>
      <c r="AU932" s="488" t="str">
        <f t="shared" si="96"/>
        <v>COUT CLAIM CAMIONS MOYEN</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customHeight="1">
      <c r="A933" s="706" t="s">
        <v>1148</v>
      </c>
      <c r="B933" s="706">
        <v>2026</v>
      </c>
      <c r="C933" s="706" t="s">
        <v>2846</v>
      </c>
      <c r="D933" s="706" t="s">
        <v>2847</v>
      </c>
      <c r="E933" s="706" t="s">
        <v>333</v>
      </c>
      <c r="F933" s="706" t="s">
        <v>1152</v>
      </c>
      <c r="G933" s="706">
        <v>0</v>
      </c>
      <c r="H933" s="706">
        <v>0</v>
      </c>
      <c r="I933" s="706">
        <v>0</v>
      </c>
      <c r="J933" s="706">
        <v>0</v>
      </c>
      <c r="K933" s="706">
        <v>6127.11</v>
      </c>
      <c r="L933" s="706">
        <v>23905.25</v>
      </c>
      <c r="M933" s="706">
        <v>42839.58</v>
      </c>
      <c r="N933" s="706">
        <v>58299.6</v>
      </c>
      <c r="O933" s="706">
        <v>68647.899999999994</v>
      </c>
      <c r="P933" s="706">
        <v>0</v>
      </c>
      <c r="Q933" s="706">
        <v>0</v>
      </c>
      <c r="R933" s="706">
        <v>0</v>
      </c>
      <c r="S933" s="706">
        <v>7287.45</v>
      </c>
      <c r="T933" s="706">
        <v>7287.45</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G66140</v>
      </c>
      <c r="AK933" s="905" t="str">
        <f t="shared" si="93"/>
        <v>COUT SER RAP.CAMION MOYEN</v>
      </c>
      <c r="AL933" s="905">
        <f>IFERROR(INDEX(G933:R933,1,MATCH(Parametres!$B$3,G$1:R$1,0)-1)*IF(OR(F933="L",F933="S",F933="I"),-1,1),"")</f>
        <v>42839.58</v>
      </c>
      <c r="AM933" s="905">
        <f t="shared" si="94"/>
        <v>15460.019999999997</v>
      </c>
      <c r="AN933" s="905">
        <f>INDEX(G933:R933,1,MATCH(Parametres!$B$3,G$1:R$1,0))*IF(OR(F933="L",F933="S",F933="I"),-1,1)</f>
        <v>58299.6</v>
      </c>
      <c r="AO933" s="487" t="str">
        <f>+VLOOKUP($AJ933,Data_Validation!$A:$D,1,0)</f>
        <v>G66140</v>
      </c>
      <c r="AP933" s="487" t="str">
        <f>+VLOOKUP($AJ933,Data_Validation!$A:$D,3,0)</f>
        <v>SAAQ</v>
      </c>
      <c r="AQ933" s="487" t="str">
        <f>+VLOOKUP($AJ933,Data_Validation!$A:$D,4,0)</f>
        <v>Inspection - Véhicules Lourds</v>
      </c>
      <c r="AR933" s="487" t="s">
        <v>299</v>
      </c>
      <c r="AS933" s="487">
        <f>+VLOOKUP($AJ933,Data_Validation!$A:$E,5,0)</f>
        <v>0</v>
      </c>
      <c r="AT933" s="904" t="str">
        <f t="shared" si="95"/>
        <v>G66140</v>
      </c>
      <c r="AU933" s="488" t="str">
        <f t="shared" si="96"/>
        <v>COUT SER RAP.CAMION MOYEN</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3407</v>
      </c>
      <c r="D934" s="706" t="s">
        <v>3408</v>
      </c>
      <c r="E934" s="706" t="s">
        <v>333</v>
      </c>
      <c r="F934" s="706" t="s">
        <v>1152</v>
      </c>
      <c r="G934" s="706">
        <v>0</v>
      </c>
      <c r="H934" s="706">
        <v>0</v>
      </c>
      <c r="I934" s="706">
        <v>0</v>
      </c>
      <c r="J934" s="706">
        <v>0</v>
      </c>
      <c r="K934" s="706">
        <v>0</v>
      </c>
      <c r="L934" s="706">
        <v>0</v>
      </c>
      <c r="M934" s="706">
        <v>0</v>
      </c>
      <c r="N934" s="706">
        <v>0</v>
      </c>
      <c r="O934" s="706">
        <v>0</v>
      </c>
      <c r="P934" s="706">
        <v>0</v>
      </c>
      <c r="Q934" s="706">
        <v>0</v>
      </c>
      <c r="R934" s="706">
        <v>0</v>
      </c>
      <c r="S934" s="706">
        <v>0</v>
      </c>
      <c r="T934" s="706">
        <v>0</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G66150</v>
      </c>
      <c r="AK934" s="905" t="str">
        <f t="shared" si="93"/>
        <v>COUT M-O ELECTIQUE FLOTTE</v>
      </c>
      <c r="AL934" s="905">
        <f>IFERROR(INDEX(G934:R934,1,MATCH(Parametres!$B$3,G$1:R$1,0)-1)*IF(OR(F934="L",F934="S",F934="I"),-1,1),"")</f>
        <v>0</v>
      </c>
      <c r="AM934" s="905">
        <f t="shared" si="94"/>
        <v>0</v>
      </c>
      <c r="AN934" s="905">
        <f>INDEX(G934:R934,1,MATCH(Parametres!$B$3,G$1:R$1,0))*IF(OR(F934="L",F934="S",F934="I"),-1,1)</f>
        <v>0</v>
      </c>
      <c r="AO934" s="487" t="e">
        <f>+VLOOKUP($AJ934,Data_Validation!$A:$D,1,0)</f>
        <v>#N/A</v>
      </c>
      <c r="AP934" s="487" t="e">
        <f>+VLOOKUP($AJ934,Data_Validation!$A:$D,3,0)</f>
        <v>#N/A</v>
      </c>
      <c r="AQ934" s="487" t="e">
        <f>+VLOOKUP($AJ934,Data_Validation!$A:$D,4,0)</f>
        <v>#N/A</v>
      </c>
      <c r="AR934" s="487" t="s">
        <v>299</v>
      </c>
      <c r="AS934" s="487" t="e">
        <f>+VLOOKUP($AJ934,Data_Validation!$A:$E,5,0)</f>
        <v>#N/A</v>
      </c>
      <c r="AT934" s="904" t="str">
        <f t="shared" si="95"/>
        <v>G66150</v>
      </c>
      <c r="AU934" s="488" t="str">
        <f t="shared" si="96"/>
        <v>COUT M-O ELECTIQUE FLOTTE</v>
      </c>
      <c r="AV934" s="899">
        <f>IFERROR(INDEX(V934:AG934,1,MATCH(Parametres!$B$3,V$1:AG$1,0)-1)*IF(OR(C934="L",C934="S",C934="I"),-1,1),"")</f>
        <v>0</v>
      </c>
      <c r="AW934" s="899">
        <f t="shared" si="97"/>
        <v>0</v>
      </c>
      <c r="AX934" s="899">
        <f>INDEX(V934:AG934,1,MATCH(Parametres!$B$3,V$1:AG$1,0))*IF(OR(C934="L",C934="S",C934="I"),-1,1)</f>
        <v>0</v>
      </c>
      <c r="AY934" s="487" t="s">
        <v>337</v>
      </c>
      <c r="AZ934" s="487" t="e">
        <f>+VLOOKUP($AJ934,Data_Validation!$A:$E,5,0)</f>
        <v>#N/A</v>
      </c>
    </row>
    <row r="935" spans="1:52" ht="15" customHeight="1">
      <c r="A935" s="706" t="s">
        <v>1148</v>
      </c>
      <c r="B935" s="706">
        <v>2026</v>
      </c>
      <c r="C935" s="706" t="s">
        <v>2848</v>
      </c>
      <c r="D935" s="706" t="s">
        <v>2849</v>
      </c>
      <c r="E935" s="706" t="s">
        <v>333</v>
      </c>
      <c r="F935" s="706" t="s">
        <v>1152</v>
      </c>
      <c r="G935" s="706">
        <v>14191.43</v>
      </c>
      <c r="H935" s="706">
        <v>29244.7</v>
      </c>
      <c r="I935" s="706">
        <v>50520.5</v>
      </c>
      <c r="J935" s="706">
        <v>67066.95</v>
      </c>
      <c r="K935" s="706">
        <v>77880.88</v>
      </c>
      <c r="L935" s="706">
        <v>105207.05</v>
      </c>
      <c r="M935" s="706">
        <v>120217.07</v>
      </c>
      <c r="N935" s="706">
        <v>141418.87</v>
      </c>
      <c r="O935" s="706">
        <v>148005.74</v>
      </c>
      <c r="P935" s="706">
        <v>0</v>
      </c>
      <c r="Q935" s="706">
        <v>0</v>
      </c>
      <c r="R935" s="706">
        <v>0</v>
      </c>
      <c r="S935" s="706">
        <v>17677.36</v>
      </c>
      <c r="T935" s="706">
        <v>17677.36</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G66200</v>
      </c>
      <c r="AK935" s="905" t="str">
        <f t="shared" si="93"/>
        <v>COUT-M.D. GARANTIE</v>
      </c>
      <c r="AL935" s="905">
        <f>IFERROR(INDEX(G935:R935,1,MATCH(Parametres!$B$3,G$1:R$1,0)-1)*IF(OR(F935="L",F935="S",F935="I"),-1,1),"")</f>
        <v>120217.07</v>
      </c>
      <c r="AM935" s="905">
        <f t="shared" si="94"/>
        <v>21201.799999999988</v>
      </c>
      <c r="AN935" s="905">
        <f>INDEX(G935:R935,1,MATCH(Parametres!$B$3,G$1:R$1,0))*IF(OR(F935="L",F935="S",F935="I"),-1,1)</f>
        <v>141418.87</v>
      </c>
      <c r="AO935" s="487" t="str">
        <f>+VLOOKUP($AJ935,Data_Validation!$A:$D,1,0)</f>
        <v>G66200</v>
      </c>
      <c r="AP935" s="487" t="str">
        <f>+VLOOKUP($AJ935,Data_Validation!$A:$D,3,0)</f>
        <v>Service</v>
      </c>
      <c r="AQ935" s="487" t="str">
        <f>+VLOOKUP($AJ935,Data_Validation!$A:$D,4,0)</f>
        <v>M/O Garantie</v>
      </c>
      <c r="AR935" s="487" t="s">
        <v>299</v>
      </c>
      <c r="AS935" s="487">
        <f>+VLOOKUP($AJ935,Data_Validation!$A:$E,5,0)</f>
        <v>0</v>
      </c>
      <c r="AT935" s="904" t="str">
        <f t="shared" si="95"/>
        <v>G66200</v>
      </c>
      <c r="AU935" s="488" t="str">
        <f t="shared" si="96"/>
        <v>COUT-M.D. GARANTIE</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customHeight="1">
      <c r="A936" s="706" t="s">
        <v>1148</v>
      </c>
      <c r="B936" s="706">
        <v>2026</v>
      </c>
      <c r="C936" s="706" t="s">
        <v>2850</v>
      </c>
      <c r="D936" s="706" t="s">
        <v>2851</v>
      </c>
      <c r="E936" s="706" t="s">
        <v>333</v>
      </c>
      <c r="F936" s="706" t="s">
        <v>1152</v>
      </c>
      <c r="G936" s="706">
        <v>13086.47</v>
      </c>
      <c r="H936" s="706">
        <v>27742.02</v>
      </c>
      <c r="I936" s="706">
        <v>45448.12</v>
      </c>
      <c r="J936" s="706">
        <v>63048.71</v>
      </c>
      <c r="K936" s="706">
        <v>78622.61</v>
      </c>
      <c r="L936" s="706">
        <v>96597.02</v>
      </c>
      <c r="M936" s="706">
        <v>110820.52</v>
      </c>
      <c r="N936" s="706">
        <v>123704.96000000001</v>
      </c>
      <c r="O936" s="706">
        <v>132197.34</v>
      </c>
      <c r="P936" s="706">
        <v>0</v>
      </c>
      <c r="Q936" s="706">
        <v>0</v>
      </c>
      <c r="R936" s="706">
        <v>0</v>
      </c>
      <c r="S936" s="706">
        <v>15463.12</v>
      </c>
      <c r="T936" s="706">
        <v>15463.12</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G66300</v>
      </c>
      <c r="AK936" s="905" t="str">
        <f t="shared" si="93"/>
        <v>COUT-M.D. INTERNE</v>
      </c>
      <c r="AL936" s="905">
        <f>IFERROR(INDEX(G936:R936,1,MATCH(Parametres!$B$3,G$1:R$1,0)-1)*IF(OR(F936="L",F936="S",F936="I"),-1,1),"")</f>
        <v>110820.52</v>
      </c>
      <c r="AM936" s="905">
        <f t="shared" si="94"/>
        <v>12884.440000000002</v>
      </c>
      <c r="AN936" s="905">
        <f>INDEX(G936:R936,1,MATCH(Parametres!$B$3,G$1:R$1,0))*IF(OR(F936="L",F936="S",F936="I"),-1,1)</f>
        <v>123704.96000000001</v>
      </c>
      <c r="AO936" s="487" t="str">
        <f>+VLOOKUP($AJ936,Data_Validation!$A:$D,1,0)</f>
        <v>G66300</v>
      </c>
      <c r="AP936" s="487" t="str">
        <f>+VLOOKUP($AJ936,Data_Validation!$A:$D,3,0)</f>
        <v>Service</v>
      </c>
      <c r="AQ936" s="487" t="str">
        <f>+VLOOKUP($AJ936,Data_Validation!$A:$D,4,0)</f>
        <v>M/O Interne</v>
      </c>
      <c r="AR936" s="487" t="s">
        <v>299</v>
      </c>
      <c r="AS936" s="487">
        <f>+VLOOKUP($AJ936,Data_Validation!$A:$E,5,0)</f>
        <v>0</v>
      </c>
      <c r="AT936" s="904" t="str">
        <f t="shared" si="95"/>
        <v>G66300</v>
      </c>
      <c r="AU936" s="488" t="str">
        <f t="shared" si="96"/>
        <v>COUT-M.D. INTERNE</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customHeight="1">
      <c r="A937" s="706" t="s">
        <v>1148</v>
      </c>
      <c r="B937" s="706">
        <v>2026</v>
      </c>
      <c r="C937" s="706" t="s">
        <v>3409</v>
      </c>
      <c r="D937" s="706" t="s">
        <v>3410</v>
      </c>
      <c r="E937" s="706" t="s">
        <v>333</v>
      </c>
      <c r="F937" s="706" t="s">
        <v>1152</v>
      </c>
      <c r="G937" s="706">
        <v>0</v>
      </c>
      <c r="H937" s="706">
        <v>0</v>
      </c>
      <c r="I937" s="706">
        <v>0</v>
      </c>
      <c r="J937" s="706">
        <v>0</v>
      </c>
      <c r="K937" s="706">
        <v>0</v>
      </c>
      <c r="L937" s="706">
        <v>0</v>
      </c>
      <c r="M937" s="706">
        <v>0</v>
      </c>
      <c r="N937" s="706">
        <v>0</v>
      </c>
      <c r="O937" s="706">
        <v>1334.23</v>
      </c>
      <c r="P937" s="706">
        <v>0</v>
      </c>
      <c r="Q937" s="706">
        <v>0</v>
      </c>
      <c r="R937" s="706">
        <v>0</v>
      </c>
      <c r="S937" s="706">
        <v>0</v>
      </c>
      <c r="T937" s="706">
        <v>0</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G66305</v>
      </c>
      <c r="AK937" s="905" t="str">
        <f t="shared" si="93"/>
        <v>COUT ESTHETIQUE INTERNE</v>
      </c>
      <c r="AL937" s="905">
        <f>IFERROR(INDEX(G937:R937,1,MATCH(Parametres!$B$3,G$1:R$1,0)-1)*IF(OR(F937="L",F937="S",F937="I"),-1,1),"")</f>
        <v>0</v>
      </c>
      <c r="AM937" s="905">
        <f t="shared" si="94"/>
        <v>0</v>
      </c>
      <c r="AN937" s="905">
        <f>INDEX(G937:R937,1,MATCH(Parametres!$B$3,G$1:R$1,0))*IF(OR(F937="L",F937="S",F937="I"),-1,1)</f>
        <v>0</v>
      </c>
      <c r="AO937" s="487" t="e">
        <f>+VLOOKUP($AJ937,Data_Validation!$A:$D,1,0)</f>
        <v>#N/A</v>
      </c>
      <c r="AP937" s="487" t="e">
        <f>+VLOOKUP($AJ937,Data_Validation!$A:$D,3,0)</f>
        <v>#N/A</v>
      </c>
      <c r="AQ937" s="487" t="e">
        <f>+VLOOKUP($AJ937,Data_Validation!$A:$D,4,0)</f>
        <v>#N/A</v>
      </c>
      <c r="AR937" s="487" t="s">
        <v>299</v>
      </c>
      <c r="AS937" s="487" t="e">
        <f>+VLOOKUP($AJ937,Data_Validation!$A:$E,5,0)</f>
        <v>#N/A</v>
      </c>
      <c r="AT937" s="904" t="str">
        <f t="shared" si="95"/>
        <v>G66305</v>
      </c>
      <c r="AU937" s="488" t="str">
        <f t="shared" si="96"/>
        <v>COUT ESTHETIQUE INTERNE</v>
      </c>
      <c r="AV937" s="899">
        <f>IFERROR(INDEX(V937:AG937,1,MATCH(Parametres!$B$3,V$1:AG$1,0)-1)*IF(OR(C937="L",C937="S",C937="I"),-1,1),"")</f>
        <v>0</v>
      </c>
      <c r="AW937" s="899">
        <f t="shared" si="97"/>
        <v>0</v>
      </c>
      <c r="AX937" s="899">
        <f>INDEX(V937:AG937,1,MATCH(Parametres!$B$3,V$1:AG$1,0))*IF(OR(C937="L",C937="S",C937="I"),-1,1)</f>
        <v>0</v>
      </c>
      <c r="AY937" s="487" t="s">
        <v>337</v>
      </c>
      <c r="AZ937" s="487" t="e">
        <f>+VLOOKUP($AJ937,Data_Validation!$A:$E,5,0)</f>
        <v>#N/A</v>
      </c>
    </row>
    <row r="938" spans="1:52" ht="15" customHeight="1">
      <c r="A938" s="706" t="s">
        <v>1148</v>
      </c>
      <c r="B938" s="706">
        <v>2026</v>
      </c>
      <c r="C938" s="706" t="s">
        <v>2852</v>
      </c>
      <c r="D938" s="706" t="s">
        <v>2853</v>
      </c>
      <c r="E938" s="706" t="s">
        <v>333</v>
      </c>
      <c r="F938" s="706" t="s">
        <v>1152</v>
      </c>
      <c r="G938" s="706">
        <v>481.76</v>
      </c>
      <c r="H938" s="706">
        <v>594.08000000000004</v>
      </c>
      <c r="I938" s="706">
        <v>664.46</v>
      </c>
      <c r="J938" s="706">
        <v>705.77</v>
      </c>
      <c r="K938" s="706">
        <v>830.53</v>
      </c>
      <c r="L938" s="706">
        <v>830.53</v>
      </c>
      <c r="M938" s="706">
        <v>1007.73</v>
      </c>
      <c r="N938" s="706">
        <v>1220.79</v>
      </c>
      <c r="O938" s="706">
        <v>1220.79</v>
      </c>
      <c r="P938" s="706">
        <v>0</v>
      </c>
      <c r="Q938" s="706">
        <v>0</v>
      </c>
      <c r="R938" s="706">
        <v>0</v>
      </c>
      <c r="S938" s="706">
        <v>152.6</v>
      </c>
      <c r="T938" s="706">
        <v>152.6</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G66320</v>
      </c>
      <c r="AK938" s="905" t="str">
        <f t="shared" si="93"/>
        <v>COUT-MO INTERNE CAM MOYEN</v>
      </c>
      <c r="AL938" s="905">
        <f>IFERROR(INDEX(G938:R938,1,MATCH(Parametres!$B$3,G$1:R$1,0)-1)*IF(OR(F938="L",F938="S",F938="I"),-1,1),"")</f>
        <v>1007.73</v>
      </c>
      <c r="AM938" s="905">
        <f t="shared" si="94"/>
        <v>213.05999999999995</v>
      </c>
      <c r="AN938" s="905">
        <f>INDEX(G938:R938,1,MATCH(Parametres!$B$3,G$1:R$1,0))*IF(OR(F938="L",F938="S",F938="I"),-1,1)</f>
        <v>1220.79</v>
      </c>
      <c r="AO938" s="487" t="str">
        <f>+VLOOKUP($AJ938,Data_Validation!$A:$D,1,0)</f>
        <v>G66320</v>
      </c>
      <c r="AP938" s="487" t="str">
        <f>+VLOOKUP($AJ938,Data_Validation!$A:$D,3,0)</f>
        <v>SAAQ</v>
      </c>
      <c r="AQ938" s="487" t="str">
        <f>+VLOOKUP($AJ938,Data_Validation!$A:$D,4,0)</f>
        <v>Inspection - Véhicules Interne</v>
      </c>
      <c r="AR938" s="487" t="s">
        <v>299</v>
      </c>
      <c r="AS938" s="487">
        <f>+VLOOKUP($AJ938,Data_Validation!$A:$E,5,0)</f>
        <v>0</v>
      </c>
      <c r="AT938" s="904" t="str">
        <f t="shared" si="95"/>
        <v>G66320</v>
      </c>
      <c r="AU938" s="488" t="str">
        <f t="shared" si="96"/>
        <v>COUT-MO INTERNE CAM MOYEN</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customHeight="1">
      <c r="A939" s="706" t="s">
        <v>1148</v>
      </c>
      <c r="B939" s="706">
        <v>2026</v>
      </c>
      <c r="C939" s="706" t="s">
        <v>2854</v>
      </c>
      <c r="D939" s="706" t="s">
        <v>2855</v>
      </c>
      <c r="E939" s="706" t="s">
        <v>333</v>
      </c>
      <c r="F939" s="706" t="s">
        <v>1152</v>
      </c>
      <c r="G939" s="706">
        <v>3682.15</v>
      </c>
      <c r="H939" s="706">
        <v>8560.8700000000008</v>
      </c>
      <c r="I939" s="706">
        <v>15429.87</v>
      </c>
      <c r="J939" s="706">
        <v>19268.740000000002</v>
      </c>
      <c r="K939" s="706">
        <v>22629.65</v>
      </c>
      <c r="L939" s="706">
        <v>26304.38</v>
      </c>
      <c r="M939" s="706">
        <v>28991.73</v>
      </c>
      <c r="N939" s="706">
        <v>32830.910000000003</v>
      </c>
      <c r="O939" s="706">
        <v>34311.56</v>
      </c>
      <c r="P939" s="706">
        <v>0</v>
      </c>
      <c r="Q939" s="706">
        <v>0</v>
      </c>
      <c r="R939" s="706">
        <v>0</v>
      </c>
      <c r="S939" s="706">
        <v>4103.8599999999997</v>
      </c>
      <c r="T939" s="706">
        <v>4103.8599999999997</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G66400</v>
      </c>
      <c r="AK939" s="905" t="str">
        <f t="shared" si="93"/>
        <v>COUT-M.D. INSP.</v>
      </c>
      <c r="AL939" s="905">
        <f>IFERROR(INDEX(G939:R939,1,MATCH(Parametres!$B$3,G$1:R$1,0)-1)*IF(OR(F939="L",F939="S",F939="I"),-1,1),"")</f>
        <v>28991.73</v>
      </c>
      <c r="AM939" s="905">
        <f t="shared" si="94"/>
        <v>3839.1800000000039</v>
      </c>
      <c r="AN939" s="905">
        <f>INDEX(G939:R939,1,MATCH(Parametres!$B$3,G$1:R$1,0))*IF(OR(F939="L",F939="S",F939="I"),-1,1)</f>
        <v>32830.910000000003</v>
      </c>
      <c r="AO939" s="487" t="str">
        <f>+VLOOKUP($AJ939,Data_Validation!$A:$D,1,0)</f>
        <v>G66400</v>
      </c>
      <c r="AP939" s="487" t="str">
        <f>+VLOOKUP($AJ939,Data_Validation!$A:$D,3,0)</f>
        <v>Service</v>
      </c>
      <c r="AQ939" s="487" t="str">
        <f>+VLOOKUP($AJ939,Data_Validation!$A:$D,4,0)</f>
        <v>M/O Interne</v>
      </c>
      <c r="AR939" s="487" t="s">
        <v>299</v>
      </c>
      <c r="AS939" s="487">
        <f>+VLOOKUP($AJ939,Data_Validation!$A:$E,5,0)</f>
        <v>0</v>
      </c>
      <c r="AT939" s="904" t="str">
        <f t="shared" si="95"/>
        <v>G66400</v>
      </c>
      <c r="AU939" s="488" t="str">
        <f t="shared" si="96"/>
        <v>COUT-M.D. INSP.</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2856</v>
      </c>
      <c r="D940" s="706" t="s">
        <v>2857</v>
      </c>
      <c r="E940" s="706" t="s">
        <v>333</v>
      </c>
      <c r="F940" s="706" t="s">
        <v>1152</v>
      </c>
      <c r="G940" s="706">
        <v>0</v>
      </c>
      <c r="H940" s="706">
        <v>0</v>
      </c>
      <c r="I940" s="706">
        <v>0</v>
      </c>
      <c r="J940" s="706">
        <v>0</v>
      </c>
      <c r="K940" s="706">
        <v>0</v>
      </c>
      <c r="L940" s="706">
        <v>0</v>
      </c>
      <c r="M940" s="706">
        <v>0</v>
      </c>
      <c r="N940" s="706">
        <v>0</v>
      </c>
      <c r="O940" s="706">
        <v>0</v>
      </c>
      <c r="P940" s="706">
        <v>0</v>
      </c>
      <c r="Q940" s="706">
        <v>0</v>
      </c>
      <c r="R940" s="706">
        <v>0</v>
      </c>
      <c r="S940" s="706">
        <v>0</v>
      </c>
      <c r="T940" s="706">
        <v>0</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G66420</v>
      </c>
      <c r="AK940" s="905" t="str">
        <f t="shared" si="93"/>
        <v>COUT-MO INSPECTON PDI</v>
      </c>
      <c r="AL940" s="905">
        <f>IFERROR(INDEX(G940:R940,1,MATCH(Parametres!$B$3,G$1:R$1,0)-1)*IF(OR(F940="L",F940="S",F940="I"),-1,1),"")</f>
        <v>0</v>
      </c>
      <c r="AM940" s="905">
        <f t="shared" si="94"/>
        <v>0</v>
      </c>
      <c r="AN940" s="905">
        <f>INDEX(G940:R940,1,MATCH(Parametres!$B$3,G$1:R$1,0))*IF(OR(F940="L",F940="S",F940="I"),-1,1)</f>
        <v>0</v>
      </c>
      <c r="AO940" s="487" t="e">
        <f>+VLOOKUP($AJ940,Data_Validation!$A:$D,1,0)</f>
        <v>#N/A</v>
      </c>
      <c r="AP940" s="487" t="e">
        <f>+VLOOKUP($AJ940,Data_Validation!$A:$D,3,0)</f>
        <v>#N/A</v>
      </c>
      <c r="AQ940" s="487" t="e">
        <f>+VLOOKUP($AJ940,Data_Validation!$A:$D,4,0)</f>
        <v>#N/A</v>
      </c>
      <c r="AR940" s="487" t="s">
        <v>299</v>
      </c>
      <c r="AS940" s="487" t="e">
        <f>+VLOOKUP($AJ940,Data_Validation!$A:$E,5,0)</f>
        <v>#N/A</v>
      </c>
      <c r="AT940" s="904" t="str">
        <f t="shared" si="95"/>
        <v>G66420</v>
      </c>
      <c r="AU940" s="488" t="str">
        <f t="shared" si="96"/>
        <v>COUT-MO INSPECTON PDI</v>
      </c>
      <c r="AV940" s="899">
        <f>IFERROR(INDEX(V940:AG940,1,MATCH(Parametres!$B$3,V$1:AG$1,0)-1)*IF(OR(C940="L",C940="S",C940="I"),-1,1),"")</f>
        <v>0</v>
      </c>
      <c r="AW940" s="899">
        <f t="shared" si="97"/>
        <v>0</v>
      </c>
      <c r="AX940" s="899">
        <f>INDEX(V940:AG940,1,MATCH(Parametres!$B$3,V$1:AG$1,0))*IF(OR(C940="L",C940="S",C940="I"),-1,1)</f>
        <v>0</v>
      </c>
      <c r="AY940" s="487" t="s">
        <v>337</v>
      </c>
      <c r="AZ940" s="487" t="e">
        <f>+VLOOKUP($AJ940,Data_Validation!$A:$E,5,0)</f>
        <v>#N/A</v>
      </c>
    </row>
    <row r="941" spans="1:52" ht="15" customHeight="1">
      <c r="A941" s="706" t="s">
        <v>1148</v>
      </c>
      <c r="B941" s="706">
        <v>2026</v>
      </c>
      <c r="C941" s="706" t="s">
        <v>2858</v>
      </c>
      <c r="D941" s="706" t="s">
        <v>2859</v>
      </c>
      <c r="E941" s="706" t="s">
        <v>333</v>
      </c>
      <c r="F941" s="706" t="s">
        <v>1152</v>
      </c>
      <c r="G941" s="706">
        <v>-249.81</v>
      </c>
      <c r="H941" s="706">
        <v>-2752.08</v>
      </c>
      <c r="I941" s="706">
        <v>969.52</v>
      </c>
      <c r="J941" s="706">
        <v>9033.7199999999993</v>
      </c>
      <c r="K941" s="706">
        <v>8671.65</v>
      </c>
      <c r="L941" s="706">
        <v>9332.99</v>
      </c>
      <c r="M941" s="706">
        <v>9492.4</v>
      </c>
      <c r="N941" s="706">
        <v>14887.04</v>
      </c>
      <c r="O941" s="706">
        <v>14887.04</v>
      </c>
      <c r="P941" s="706">
        <v>0</v>
      </c>
      <c r="Q941" s="706">
        <v>0</v>
      </c>
      <c r="R941" s="706">
        <v>0</v>
      </c>
      <c r="S941" s="706">
        <v>1860.88</v>
      </c>
      <c r="T941" s="706">
        <v>1860.88</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G66500</v>
      </c>
      <c r="AK941" s="905" t="str">
        <f t="shared" si="93"/>
        <v>TEMPS PERDU SERVICE</v>
      </c>
      <c r="AL941" s="905">
        <f>IFERROR(INDEX(G941:R941,1,MATCH(Parametres!$B$3,G$1:R$1,0)-1)*IF(OR(F941="L",F941="S",F941="I"),-1,1),"")</f>
        <v>9492.4</v>
      </c>
      <c r="AM941" s="905">
        <f t="shared" si="94"/>
        <v>5394.6400000000012</v>
      </c>
      <c r="AN941" s="905">
        <f>INDEX(G941:R941,1,MATCH(Parametres!$B$3,G$1:R$1,0))*IF(OR(F941="L",F941="S",F941="I"),-1,1)</f>
        <v>14887.04</v>
      </c>
      <c r="AO941" s="487" t="str">
        <f>+VLOOKUP($AJ941,Data_Validation!$A:$D,1,0)</f>
        <v>G66500</v>
      </c>
      <c r="AP941" s="487" t="str">
        <f>+VLOOKUP($AJ941,Data_Validation!$A:$D,3,0)</f>
        <v>Service</v>
      </c>
      <c r="AQ941" s="487" t="str">
        <f>+VLOOKUP($AJ941,Data_Validation!$A:$D,4,0)</f>
        <v>Ajustement M/O</v>
      </c>
      <c r="AR941" s="487" t="s">
        <v>299</v>
      </c>
      <c r="AS941" s="487">
        <f>+VLOOKUP($AJ941,Data_Validation!$A:$E,5,0)</f>
        <v>0</v>
      </c>
      <c r="AT941" s="904" t="str">
        <f t="shared" si="95"/>
        <v>G66500</v>
      </c>
      <c r="AU941" s="488" t="str">
        <f t="shared" si="96"/>
        <v>TEMPS PERDU SERVICE</v>
      </c>
      <c r="AV941" s="899">
        <f>IFERROR(INDEX(V941:AG941,1,MATCH(Parametres!$B$3,V$1:AG$1,0)-1)*IF(OR(C941="L",C941="S",C941="I"),-1,1),"")</f>
        <v>0</v>
      </c>
      <c r="AW941" s="899">
        <f t="shared" si="97"/>
        <v>0</v>
      </c>
      <c r="AX941" s="899">
        <f>INDEX(V941:AG941,1,MATCH(Parametres!$B$3,V$1:AG$1,0))*IF(OR(C941="L",C941="S",C941="I"),-1,1)</f>
        <v>0</v>
      </c>
      <c r="AY941" s="487" t="s">
        <v>337</v>
      </c>
      <c r="AZ941" s="487">
        <f>+VLOOKUP($AJ941,Data_Validation!$A:$E,5,0)</f>
        <v>0</v>
      </c>
    </row>
    <row r="942" spans="1:52" ht="15" customHeight="1">
      <c r="A942" s="706" t="s">
        <v>1148</v>
      </c>
      <c r="B942" s="706">
        <v>2026</v>
      </c>
      <c r="C942" s="706" t="s">
        <v>3411</v>
      </c>
      <c r="D942" s="706" t="s">
        <v>3412</v>
      </c>
      <c r="E942" s="706" t="s">
        <v>333</v>
      </c>
      <c r="F942" s="706" t="s">
        <v>1152</v>
      </c>
      <c r="G942" s="706">
        <v>0</v>
      </c>
      <c r="H942" s="706">
        <v>0</v>
      </c>
      <c r="I942" s="706">
        <v>0</v>
      </c>
      <c r="J942" s="706">
        <v>0</v>
      </c>
      <c r="K942" s="706">
        <v>0</v>
      </c>
      <c r="L942" s="706">
        <v>0</v>
      </c>
      <c r="M942" s="706">
        <v>1417.39</v>
      </c>
      <c r="N942" s="706">
        <v>3440.71</v>
      </c>
      <c r="O942" s="706">
        <v>3440.71</v>
      </c>
      <c r="P942" s="706">
        <v>0</v>
      </c>
      <c r="Q942" s="706">
        <v>0</v>
      </c>
      <c r="R942" s="706">
        <v>0</v>
      </c>
      <c r="S942" s="706">
        <v>430.09</v>
      </c>
      <c r="T942" s="706">
        <v>430.09</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G66507</v>
      </c>
      <c r="AK942" s="905" t="str">
        <f t="shared" si="93"/>
        <v>TEMPS PERDU SAAQ</v>
      </c>
      <c r="AL942" s="905">
        <f>IFERROR(INDEX(G942:R942,1,MATCH(Parametres!$B$3,G$1:R$1,0)-1)*IF(OR(F942="L",F942="S",F942="I"),-1,1),"")</f>
        <v>1417.39</v>
      </c>
      <c r="AM942" s="905">
        <f t="shared" si="94"/>
        <v>2023.32</v>
      </c>
      <c r="AN942" s="905">
        <f>INDEX(G942:R942,1,MATCH(Parametres!$B$3,G$1:R$1,0))*IF(OR(F942="L",F942="S",F942="I"),-1,1)</f>
        <v>3440.71</v>
      </c>
      <c r="AO942" s="487" t="str">
        <f>+VLOOKUP($AJ942,Data_Validation!$A:$D,1,0)</f>
        <v>G66507</v>
      </c>
      <c r="AP942" s="487" t="str">
        <f>+VLOOKUP($AJ942,Data_Validation!$A:$D,3,0)</f>
        <v>SAAQ</v>
      </c>
      <c r="AQ942" s="487" t="str">
        <f>+VLOOKUP($AJ942,Data_Validation!$A:$D,4,0)</f>
        <v>Ajustement M/O SAAQ</v>
      </c>
      <c r="AR942" s="487" t="s">
        <v>299</v>
      </c>
      <c r="AS942" s="487">
        <f>+VLOOKUP($AJ942,Data_Validation!$A:$E,5,0)</f>
        <v>0</v>
      </c>
      <c r="AT942" s="904" t="str">
        <f t="shared" si="95"/>
        <v>G66507</v>
      </c>
      <c r="AU942" s="488" t="str">
        <f t="shared" si="96"/>
        <v>TEMPS PERDU SAAQ</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customHeight="1">
      <c r="A943" s="706" t="s">
        <v>1148</v>
      </c>
      <c r="B943" s="706">
        <v>2026</v>
      </c>
      <c r="C943" s="706" t="s">
        <v>2860</v>
      </c>
      <c r="D943" s="706" t="s">
        <v>2861</v>
      </c>
      <c r="E943" s="706" t="s">
        <v>333</v>
      </c>
      <c r="F943" s="706" t="s">
        <v>1152</v>
      </c>
      <c r="G943" s="706">
        <v>3932.85</v>
      </c>
      <c r="H943" s="706">
        <v>16561.11</v>
      </c>
      <c r="I943" s="706">
        <v>30890.93</v>
      </c>
      <c r="J943" s="706">
        <v>38338.85</v>
      </c>
      <c r="K943" s="706">
        <v>49545.99</v>
      </c>
      <c r="L943" s="706">
        <v>58561.65</v>
      </c>
      <c r="M943" s="706">
        <v>65919.59</v>
      </c>
      <c r="N943" s="706">
        <v>79048</v>
      </c>
      <c r="O943" s="706">
        <v>84400.46</v>
      </c>
      <c r="P943" s="706">
        <v>0</v>
      </c>
      <c r="Q943" s="706">
        <v>0</v>
      </c>
      <c r="R943" s="706">
        <v>0</v>
      </c>
      <c r="S943" s="706">
        <v>9881</v>
      </c>
      <c r="T943" s="706">
        <v>9881</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G66600</v>
      </c>
      <c r="AK943" s="905" t="str">
        <f t="shared" si="93"/>
        <v>COUT-SOUS-CONTRATS SERV.</v>
      </c>
      <c r="AL943" s="905">
        <f>IFERROR(INDEX(G943:R943,1,MATCH(Parametres!$B$3,G$1:R$1,0)-1)*IF(OR(F943="L",F943="S",F943="I"),-1,1),"")</f>
        <v>65919.59</v>
      </c>
      <c r="AM943" s="905">
        <f t="shared" si="94"/>
        <v>13128.410000000003</v>
      </c>
      <c r="AN943" s="905">
        <f>INDEX(G943:R943,1,MATCH(Parametres!$B$3,G$1:R$1,0))*IF(OR(F943="L",F943="S",F943="I"),-1,1)</f>
        <v>79048</v>
      </c>
      <c r="AO943" s="487" t="str">
        <f>+VLOOKUP($AJ943,Data_Validation!$A:$D,1,0)</f>
        <v>G66600</v>
      </c>
      <c r="AP943" s="487" t="str">
        <f>+VLOOKUP($AJ943,Data_Validation!$A:$D,3,0)</f>
        <v>Service</v>
      </c>
      <c r="AQ943" s="487" t="str">
        <f>+VLOOKUP($AJ943,Data_Validation!$A:$D,4,0)</f>
        <v>Sous-traitement</v>
      </c>
      <c r="AR943" s="487" t="s">
        <v>299</v>
      </c>
      <c r="AS943" s="487">
        <f>+VLOOKUP($AJ943,Data_Validation!$A:$E,5,0)</f>
        <v>0</v>
      </c>
      <c r="AT943" s="904" t="str">
        <f t="shared" si="95"/>
        <v>G66600</v>
      </c>
      <c r="AU943" s="488" t="str">
        <f t="shared" si="96"/>
        <v>COUT-SOUS-CONTRATS SERV.</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customHeight="1">
      <c r="A944" s="706" t="s">
        <v>1148</v>
      </c>
      <c r="B944" s="706">
        <v>2026</v>
      </c>
      <c r="C944" s="706" t="s">
        <v>2862</v>
      </c>
      <c r="D944" s="706" t="s">
        <v>3135</v>
      </c>
      <c r="E944" s="706" t="s">
        <v>333</v>
      </c>
      <c r="F944" s="706" t="s">
        <v>1152</v>
      </c>
      <c r="G944" s="706">
        <v>0</v>
      </c>
      <c r="H944" s="706">
        <v>0</v>
      </c>
      <c r="I944" s="706">
        <v>0</v>
      </c>
      <c r="J944" s="706">
        <v>0</v>
      </c>
      <c r="K944" s="706">
        <v>0</v>
      </c>
      <c r="L944" s="706">
        <v>0</v>
      </c>
      <c r="M944" s="706">
        <v>0</v>
      </c>
      <c r="N944" s="706">
        <v>0</v>
      </c>
      <c r="O944" s="706">
        <v>0</v>
      </c>
      <c r="P944" s="706">
        <v>0</v>
      </c>
      <c r="Q944" s="706">
        <v>0</v>
      </c>
      <c r="R944" s="706">
        <v>0</v>
      </c>
      <c r="S944" s="706">
        <v>0</v>
      </c>
      <c r="T944" s="706">
        <v>0</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G66610</v>
      </c>
      <c r="AK944" s="905" t="str">
        <f t="shared" si="93"/>
        <v>COUT-SOUS-TRAITANCE SAAQ</v>
      </c>
      <c r="AL944" s="905">
        <f>IFERROR(INDEX(G944:R944,1,MATCH(Parametres!$B$3,G$1:R$1,0)-1)*IF(OR(F944="L",F944="S",F944="I"),-1,1),"")</f>
        <v>0</v>
      </c>
      <c r="AM944" s="905">
        <f t="shared" si="94"/>
        <v>0</v>
      </c>
      <c r="AN944" s="905">
        <f>INDEX(G944:R944,1,MATCH(Parametres!$B$3,G$1:R$1,0))*IF(OR(F944="L",F944="S",F944="I"),-1,1)</f>
        <v>0</v>
      </c>
      <c r="AO944" s="487" t="str">
        <f>+VLOOKUP($AJ944,Data_Validation!$A:$D,1,0)</f>
        <v>G66610</v>
      </c>
      <c r="AP944" s="487" t="str">
        <f>+VLOOKUP($AJ944,Data_Validation!$A:$D,3,0)</f>
        <v>SAAQ</v>
      </c>
      <c r="AQ944" s="487" t="str">
        <f>+VLOOKUP($AJ944,Data_Validation!$A:$D,4,0)</f>
        <v>Inspection - Véhicules Interne</v>
      </c>
      <c r="AR944" s="487" t="s">
        <v>299</v>
      </c>
      <c r="AS944" s="487">
        <f>+VLOOKUP($AJ944,Data_Validation!$A:$E,5,0)</f>
        <v>0</v>
      </c>
      <c r="AT944" s="904" t="str">
        <f t="shared" si="95"/>
        <v>G66610</v>
      </c>
      <c r="AU944" s="488" t="str">
        <f t="shared" si="96"/>
        <v>COUT-SOUS-TRAITANCE SAAQ</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2864</v>
      </c>
      <c r="D945" s="706" t="s">
        <v>2865</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G66611</v>
      </c>
      <c r="AK945" s="905" t="str">
        <f t="shared" si="93"/>
        <v>SUPER VITRE COUT SUBLET</v>
      </c>
      <c r="AL945" s="905">
        <f>IFERROR(INDEX(G945:R945,1,MATCH(Parametres!$B$3,G$1:R$1,0)-1)*IF(OR(F945="L",F945="S",F945="I"),-1,1),"")</f>
        <v>0</v>
      </c>
      <c r="AM945" s="905">
        <f t="shared" si="94"/>
        <v>0</v>
      </c>
      <c r="AN945" s="905">
        <f>INDEX(G945:R945,1,MATCH(Parametres!$B$3,G$1:R$1,0))*IF(OR(F945="L",F945="S",F945="I"),-1,1)</f>
        <v>0</v>
      </c>
      <c r="AO945" s="487" t="e">
        <f>+VLOOKUP($AJ945,Data_Validation!$A:$D,1,0)</f>
        <v>#N/A</v>
      </c>
      <c r="AP945" s="487" t="e">
        <f>+VLOOKUP($AJ945,Data_Validation!$A:$D,3,0)</f>
        <v>#N/A</v>
      </c>
      <c r="AQ945" s="487" t="e">
        <f>+VLOOKUP($AJ945,Data_Validation!$A:$D,4,0)</f>
        <v>#N/A</v>
      </c>
      <c r="AR945" s="487" t="s">
        <v>299</v>
      </c>
      <c r="AS945" s="487" t="e">
        <f>+VLOOKUP($AJ945,Data_Validation!$A:$E,5,0)</f>
        <v>#N/A</v>
      </c>
      <c r="AT945" s="904" t="str">
        <f t="shared" si="95"/>
        <v>G66611</v>
      </c>
      <c r="AU945" s="488" t="str">
        <f t="shared" si="96"/>
        <v>SUPER VITRE COUT SUBLET</v>
      </c>
      <c r="AV945" s="899">
        <f>IFERROR(INDEX(V945:AG945,1,MATCH(Parametres!$B$3,V$1:AG$1,0)-1)*IF(OR(C945="L",C945="S",C945="I"),-1,1),"")</f>
        <v>0</v>
      </c>
      <c r="AW945" s="899">
        <f t="shared" si="97"/>
        <v>0</v>
      </c>
      <c r="AX945" s="899">
        <f>INDEX(V945:AG945,1,MATCH(Parametres!$B$3,V$1:AG$1,0))*IF(OR(C945="L",C945="S",C945="I"),-1,1)</f>
        <v>0</v>
      </c>
      <c r="AY945" s="487" t="s">
        <v>337</v>
      </c>
      <c r="AZ945" s="487" t="e">
        <f>+VLOOKUP($AJ945,Data_Validation!$A:$E,5,0)</f>
        <v>#N/A</v>
      </c>
    </row>
    <row r="946" spans="1:52" ht="15" customHeight="1">
      <c r="A946" s="706" t="s">
        <v>1148</v>
      </c>
      <c r="B946" s="706">
        <v>2026</v>
      </c>
      <c r="C946" s="706" t="s">
        <v>2866</v>
      </c>
      <c r="D946" s="706" t="s">
        <v>2867</v>
      </c>
      <c r="E946" s="706" t="s">
        <v>333</v>
      </c>
      <c r="F946" s="706" t="s">
        <v>1152</v>
      </c>
      <c r="G946" s="706">
        <v>40254.79</v>
      </c>
      <c r="H946" s="706">
        <v>81742.2</v>
      </c>
      <c r="I946" s="706">
        <v>111760.52</v>
      </c>
      <c r="J946" s="706">
        <v>138837.42000000001</v>
      </c>
      <c r="K946" s="706">
        <v>157385.72</v>
      </c>
      <c r="L946" s="706">
        <v>196092.61</v>
      </c>
      <c r="M946" s="706">
        <v>230262.99</v>
      </c>
      <c r="N946" s="706">
        <v>264285.86</v>
      </c>
      <c r="O946" s="706">
        <v>293415.92</v>
      </c>
      <c r="P946" s="706">
        <v>0</v>
      </c>
      <c r="Q946" s="706">
        <v>0</v>
      </c>
      <c r="R946" s="706">
        <v>0</v>
      </c>
      <c r="S946" s="706">
        <v>33035.730000000003</v>
      </c>
      <c r="T946" s="706">
        <v>33035.730000000003</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G66710</v>
      </c>
      <c r="AK946" s="905" t="str">
        <f t="shared" si="93"/>
        <v>COUT P&amp;A SERV.CLIENT AUTO</v>
      </c>
      <c r="AL946" s="905">
        <f>IFERROR(INDEX(G946:R946,1,MATCH(Parametres!$B$3,G$1:R$1,0)-1)*IF(OR(F946="L",F946="S",F946="I"),-1,1),"")</f>
        <v>230262.99</v>
      </c>
      <c r="AM946" s="905">
        <f t="shared" si="94"/>
        <v>34022.869999999995</v>
      </c>
      <c r="AN946" s="905">
        <f>INDEX(G946:R946,1,MATCH(Parametres!$B$3,G$1:R$1,0))*IF(OR(F946="L",F946="S",F946="I"),-1,1)</f>
        <v>264285.86</v>
      </c>
      <c r="AO946" s="487" t="str">
        <f>+VLOOKUP($AJ946,Data_Validation!$A:$D,1,0)</f>
        <v>G66710</v>
      </c>
      <c r="AP946" s="487" t="str">
        <f>+VLOOKUP($AJ946,Data_Validation!$A:$D,3,0)</f>
        <v>Pièces</v>
      </c>
      <c r="AQ946" s="487" t="str">
        <f>+VLOOKUP($AJ946,Data_Validation!$A:$D,4,0)</f>
        <v>Pièces Ro Clients</v>
      </c>
      <c r="AR946" s="487" t="s">
        <v>299</v>
      </c>
      <c r="AS946" s="487">
        <f>+VLOOKUP($AJ946,Data_Validation!$A:$E,5,0)</f>
        <v>0</v>
      </c>
      <c r="AT946" s="904" t="str">
        <f t="shared" si="95"/>
        <v>G66710</v>
      </c>
      <c r="AU946" s="488" t="str">
        <f t="shared" si="96"/>
        <v>COUT P&amp;A SERV.CLIENT AUTO</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customHeight="1">
      <c r="A947" s="706" t="s">
        <v>1148</v>
      </c>
      <c r="B947" s="706">
        <v>2026</v>
      </c>
      <c r="C947" s="706" t="s">
        <v>2868</v>
      </c>
      <c r="D947" s="706" t="s">
        <v>2869</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G66720</v>
      </c>
      <c r="AK947" s="905" t="str">
        <f t="shared" si="93"/>
        <v>COUT-P&amp;A SERV.PL.PROT.AUT</v>
      </c>
      <c r="AL947" s="905">
        <f>IFERROR(INDEX(G947:R947,1,MATCH(Parametres!$B$3,G$1:R$1,0)-1)*IF(OR(F947="L",F947="S",F947="I"),-1,1),"")</f>
        <v>0</v>
      </c>
      <c r="AM947" s="905">
        <f t="shared" si="94"/>
        <v>0</v>
      </c>
      <c r="AN947" s="905">
        <f>INDEX(G947:R947,1,MATCH(Parametres!$B$3,G$1:R$1,0))*IF(OR(F947="L",F947="S",F947="I"),-1,1)</f>
        <v>0</v>
      </c>
      <c r="AO947" s="487" t="str">
        <f>+VLOOKUP($AJ947,Data_Validation!$A:$D,1,0)</f>
        <v>G66720</v>
      </c>
      <c r="AP947" s="487" t="str">
        <f>+VLOOKUP($AJ947,Data_Validation!$A:$D,3,0)</f>
        <v>Pièces</v>
      </c>
      <c r="AQ947" s="487" t="str">
        <f>+VLOOKUP($AJ947,Data_Validation!$A:$D,4,0)</f>
        <v>Pièces Ro Clients</v>
      </c>
      <c r="AR947" s="487" t="s">
        <v>299</v>
      </c>
      <c r="AS947" s="487">
        <f>+VLOOKUP($AJ947,Data_Validation!$A:$E,5,0)</f>
        <v>0</v>
      </c>
      <c r="AT947" s="904" t="str">
        <f t="shared" si="95"/>
        <v>G66720</v>
      </c>
      <c r="AU947" s="488" t="str">
        <f t="shared" si="96"/>
        <v>COUT-P&amp;A SERV.PL.PROT.AUT</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2870</v>
      </c>
      <c r="D948" s="706" t="s">
        <v>2871</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G66740</v>
      </c>
      <c r="AK948" s="905" t="str">
        <f t="shared" si="93"/>
        <v>P&amp;A GOOD VOIT CAM LEGER</v>
      </c>
      <c r="AL948" s="905">
        <f>IFERROR(INDEX(G948:R948,1,MATCH(Parametres!$B$3,G$1:R$1,0)-1)*IF(OR(F948="L",F948="S",F948="I"),-1,1),"")</f>
        <v>0</v>
      </c>
      <c r="AM948" s="905">
        <f t="shared" si="94"/>
        <v>0</v>
      </c>
      <c r="AN948" s="905">
        <f>INDEX(G948:R948,1,MATCH(Parametres!$B$3,G$1:R$1,0))*IF(OR(F948="L",F948="S",F948="I"),-1,1)</f>
        <v>0</v>
      </c>
      <c r="AO948" s="487" t="str">
        <f>+VLOOKUP($AJ948,Data_Validation!$A:$D,1,0)</f>
        <v>G66740</v>
      </c>
      <c r="AP948" s="487">
        <f>+VLOOKUP($AJ948,Data_Validation!$A:$D,3,0)</f>
        <v>0</v>
      </c>
      <c r="AQ948" s="487">
        <f>+VLOOKUP($AJ948,Data_Validation!$A:$D,4,0)</f>
        <v>0</v>
      </c>
      <c r="AR948" s="487" t="s">
        <v>299</v>
      </c>
      <c r="AS948" s="487">
        <f>+VLOOKUP($AJ948,Data_Validation!$A:$E,5,0)</f>
        <v>0</v>
      </c>
      <c r="AT948" s="904" t="str">
        <f t="shared" si="95"/>
        <v>G66740</v>
      </c>
      <c r="AU948" s="488" t="str">
        <f t="shared" si="96"/>
        <v>P&amp;A GOOD VOIT CAM LEGER</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customHeight="1">
      <c r="A949" s="706" t="s">
        <v>1148</v>
      </c>
      <c r="B949" s="706">
        <v>2026</v>
      </c>
      <c r="C949" s="706" t="s">
        <v>2872</v>
      </c>
      <c r="D949" s="706" t="s">
        <v>2873</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G66800</v>
      </c>
      <c r="AK949" s="905" t="str">
        <f t="shared" si="93"/>
        <v>COUT-VOIT.OCC.EN GROS-DET</v>
      </c>
      <c r="AL949" s="905">
        <f>IFERROR(INDEX(G949:R949,1,MATCH(Parametres!$B$3,G$1:R$1,0)-1)*IF(OR(F949="L",F949="S",F949="I"),-1,1),"")</f>
        <v>0</v>
      </c>
      <c r="AM949" s="905">
        <f t="shared" si="94"/>
        <v>0</v>
      </c>
      <c r="AN949" s="905">
        <f>INDEX(G949:R949,1,MATCH(Parametres!$B$3,G$1:R$1,0))*IF(OR(F949="L",F949="S",F949="I"),-1,1)</f>
        <v>0</v>
      </c>
      <c r="AO949" s="487" t="str">
        <f>+VLOOKUP($AJ949,Data_Validation!$A:$D,1,0)</f>
        <v>G66800</v>
      </c>
      <c r="AP949" s="487">
        <f>+VLOOKUP($AJ949,Data_Validation!$A:$D,3,0)</f>
        <v>0</v>
      </c>
      <c r="AQ949" s="487">
        <f>+VLOOKUP($AJ949,Data_Validation!$A:$D,4,0)</f>
        <v>0</v>
      </c>
      <c r="AR949" s="487" t="s">
        <v>299</v>
      </c>
      <c r="AS949" s="487">
        <f>+VLOOKUP($AJ949,Data_Validation!$A:$E,5,0)</f>
        <v>0</v>
      </c>
      <c r="AT949" s="904" t="str">
        <f t="shared" si="95"/>
        <v>G66800</v>
      </c>
      <c r="AU949" s="488" t="str">
        <f t="shared" si="96"/>
        <v>COUT-VOIT.OCC.EN GROS-DET</v>
      </c>
      <c r="AV949" s="899">
        <f>IFERROR(INDEX(V949:AG949,1,MATCH(Parametres!$B$3,V$1:AG$1,0)-1)*IF(OR(C949="L",C949="S",C949="I"),-1,1),"")</f>
        <v>0</v>
      </c>
      <c r="AW949" s="899">
        <f t="shared" si="97"/>
        <v>0</v>
      </c>
      <c r="AX949" s="899">
        <f>INDEX(V949:AG949,1,MATCH(Parametres!$B$3,V$1:AG$1,0))*IF(OR(C949="L",C949="S",C949="I"),-1,1)</f>
        <v>0</v>
      </c>
      <c r="AY949" s="487" t="s">
        <v>337</v>
      </c>
      <c r="AZ949" s="487">
        <f>+VLOOKUP($AJ949,Data_Validation!$A:$E,5,0)</f>
        <v>0</v>
      </c>
    </row>
    <row r="950" spans="1:52" ht="15" customHeight="1">
      <c r="A950" s="706" t="s">
        <v>1148</v>
      </c>
      <c r="B950" s="706">
        <v>2026</v>
      </c>
      <c r="C950" s="706" t="s">
        <v>2874</v>
      </c>
      <c r="D950" s="706" t="s">
        <v>2875</v>
      </c>
      <c r="E950" s="706" t="s">
        <v>333</v>
      </c>
      <c r="F950" s="706" t="s">
        <v>1152</v>
      </c>
      <c r="G950" s="706">
        <v>0</v>
      </c>
      <c r="H950" s="706">
        <v>0</v>
      </c>
      <c r="I950" s="706">
        <v>0</v>
      </c>
      <c r="J950" s="706">
        <v>0</v>
      </c>
      <c r="K950" s="706">
        <v>0</v>
      </c>
      <c r="L950" s="706">
        <v>0</v>
      </c>
      <c r="M950" s="706">
        <v>0</v>
      </c>
      <c r="N950" s="706">
        <v>0</v>
      </c>
      <c r="O950" s="706">
        <v>0</v>
      </c>
      <c r="P950" s="706">
        <v>0</v>
      </c>
      <c r="Q950" s="706">
        <v>0</v>
      </c>
      <c r="R950" s="706">
        <v>0</v>
      </c>
      <c r="S950" s="706">
        <v>0</v>
      </c>
      <c r="T950" s="706">
        <v>0</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G66810</v>
      </c>
      <c r="AK950" s="905" t="str">
        <f t="shared" si="93"/>
        <v>COUT-P&amp;A SERV.CLIENT CAM.</v>
      </c>
      <c r="AL950" s="905">
        <f>IFERROR(INDEX(G950:R950,1,MATCH(Parametres!$B$3,G$1:R$1,0)-1)*IF(OR(F950="L",F950="S",F950="I"),-1,1),"")</f>
        <v>0</v>
      </c>
      <c r="AM950" s="905">
        <f t="shared" si="94"/>
        <v>0</v>
      </c>
      <c r="AN950" s="905">
        <f>INDEX(G950:R950,1,MATCH(Parametres!$B$3,G$1:R$1,0))*IF(OR(F950="L",F950="S",F950="I"),-1,1)</f>
        <v>0</v>
      </c>
      <c r="AO950" s="487" t="str">
        <f>+VLOOKUP($AJ950,Data_Validation!$A:$D,1,0)</f>
        <v>G66810</v>
      </c>
      <c r="AP950" s="487">
        <f>+VLOOKUP($AJ950,Data_Validation!$A:$D,3,0)</f>
        <v>0</v>
      </c>
      <c r="AQ950" s="487">
        <f>+VLOOKUP($AJ950,Data_Validation!$A:$D,4,0)</f>
        <v>0</v>
      </c>
      <c r="AR950" s="487" t="s">
        <v>299</v>
      </c>
      <c r="AS950" s="487">
        <f>+VLOOKUP($AJ950,Data_Validation!$A:$E,5,0)</f>
        <v>0</v>
      </c>
      <c r="AT950" s="904" t="str">
        <f t="shared" si="95"/>
        <v>G66810</v>
      </c>
      <c r="AU950" s="488" t="str">
        <f t="shared" si="96"/>
        <v>COUT-P&amp;A SERV.CLIENT CAM.</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customHeight="1">
      <c r="A951" s="706" t="s">
        <v>1148</v>
      </c>
      <c r="B951" s="706">
        <v>2026</v>
      </c>
      <c r="C951" s="706" t="s">
        <v>2876</v>
      </c>
      <c r="D951" s="706" t="s">
        <v>2877</v>
      </c>
      <c r="E951" s="706" t="s">
        <v>333</v>
      </c>
      <c r="F951" s="706" t="s">
        <v>1152</v>
      </c>
      <c r="G951" s="706">
        <v>0</v>
      </c>
      <c r="H951" s="706">
        <v>0</v>
      </c>
      <c r="I951" s="706">
        <v>0</v>
      </c>
      <c r="J951" s="706">
        <v>0</v>
      </c>
      <c r="K951" s="706">
        <v>0</v>
      </c>
      <c r="L951" s="706">
        <v>0</v>
      </c>
      <c r="M951" s="706">
        <v>0</v>
      </c>
      <c r="N951" s="706">
        <v>0</v>
      </c>
      <c r="O951" s="706">
        <v>0</v>
      </c>
      <c r="P951" s="706">
        <v>0</v>
      </c>
      <c r="Q951" s="706">
        <v>0</v>
      </c>
      <c r="R951" s="706">
        <v>0</v>
      </c>
      <c r="S951" s="706">
        <v>0</v>
      </c>
      <c r="T951" s="706">
        <v>0</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G66840</v>
      </c>
      <c r="AK951" s="905" t="str">
        <f t="shared" si="93"/>
        <v>COUT-P&amp;A GOODWRENCH CAM.</v>
      </c>
      <c r="AL951" s="905">
        <f>IFERROR(INDEX(G951:R951,1,MATCH(Parametres!$B$3,G$1:R$1,0)-1)*IF(OR(F951="L",F951="S",F951="I"),-1,1),"")</f>
        <v>0</v>
      </c>
      <c r="AM951" s="905">
        <f t="shared" si="94"/>
        <v>0</v>
      </c>
      <c r="AN951" s="905">
        <f>INDEX(G951:R951,1,MATCH(Parametres!$B$3,G$1:R$1,0))*IF(OR(F951="L",F951="S",F951="I"),-1,1)</f>
        <v>0</v>
      </c>
      <c r="AO951" s="487" t="e">
        <f>+VLOOKUP($AJ951,Data_Validation!$A:$D,1,0)</f>
        <v>#N/A</v>
      </c>
      <c r="AP951" s="487" t="e">
        <f>+VLOOKUP($AJ951,Data_Validation!$A:$D,3,0)</f>
        <v>#N/A</v>
      </c>
      <c r="AQ951" s="487" t="e">
        <f>+VLOOKUP($AJ951,Data_Validation!$A:$D,4,0)</f>
        <v>#N/A</v>
      </c>
      <c r="AR951" s="487" t="s">
        <v>299</v>
      </c>
      <c r="AS951" s="487" t="e">
        <f>+VLOOKUP($AJ951,Data_Validation!$A:$E,5,0)</f>
        <v>#N/A</v>
      </c>
      <c r="AT951" s="904" t="str">
        <f t="shared" si="95"/>
        <v>G66840</v>
      </c>
      <c r="AU951" s="488" t="str">
        <f t="shared" si="96"/>
        <v>COUT-P&amp;A GOODWRENCH CAM.</v>
      </c>
      <c r="AV951" s="899">
        <f>IFERROR(INDEX(V951:AG951,1,MATCH(Parametres!$B$3,V$1:AG$1,0)-1)*IF(OR(C951="L",C951="S",C951="I"),-1,1),"")</f>
        <v>0</v>
      </c>
      <c r="AW951" s="899">
        <f t="shared" si="97"/>
        <v>0</v>
      </c>
      <c r="AX951" s="899">
        <f>INDEX(V951:AG951,1,MATCH(Parametres!$B$3,V$1:AG$1,0))*IF(OR(C951="L",C951="S",C951="I"),-1,1)</f>
        <v>0</v>
      </c>
      <c r="AY951" s="487" t="s">
        <v>337</v>
      </c>
      <c r="AZ951" s="487" t="e">
        <f>+VLOOKUP($AJ951,Data_Validation!$A:$E,5,0)</f>
        <v>#N/A</v>
      </c>
    </row>
    <row r="952" spans="1:52" ht="15" customHeight="1">
      <c r="A952" s="706" t="s">
        <v>1148</v>
      </c>
      <c r="B952" s="706">
        <v>2026</v>
      </c>
      <c r="C952" s="706" t="s">
        <v>2878</v>
      </c>
      <c r="D952" s="706" t="s">
        <v>2879</v>
      </c>
      <c r="E952" s="706" t="s">
        <v>333</v>
      </c>
      <c r="F952" s="706" t="s">
        <v>1152</v>
      </c>
      <c r="G952" s="706">
        <v>1697.93</v>
      </c>
      <c r="H952" s="706">
        <v>605.92999999999995</v>
      </c>
      <c r="I952" s="706">
        <v>2814.77</v>
      </c>
      <c r="J952" s="706">
        <v>6319.61</v>
      </c>
      <c r="K952" s="706">
        <v>8033.4</v>
      </c>
      <c r="L952" s="706">
        <v>10284.52</v>
      </c>
      <c r="M952" s="706">
        <v>10284.52</v>
      </c>
      <c r="N952" s="706">
        <v>14481.63</v>
      </c>
      <c r="O952" s="706">
        <v>14481.63</v>
      </c>
      <c r="P952" s="706">
        <v>0</v>
      </c>
      <c r="Q952" s="706">
        <v>0</v>
      </c>
      <c r="R952" s="706">
        <v>0</v>
      </c>
      <c r="S952" s="706">
        <v>1810.2</v>
      </c>
      <c r="T952" s="706">
        <v>1810.2</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G66900</v>
      </c>
      <c r="AK952" s="905" t="str">
        <f t="shared" si="93"/>
        <v>COUT MATERIEL ATELIER</v>
      </c>
      <c r="AL952" s="905">
        <f>IFERROR(INDEX(G952:R952,1,MATCH(Parametres!$B$3,G$1:R$1,0)-1)*IF(OR(F952="L",F952="S",F952="I"),-1,1),"")</f>
        <v>10284.52</v>
      </c>
      <c r="AM952" s="905">
        <f t="shared" si="94"/>
        <v>4197.1099999999988</v>
      </c>
      <c r="AN952" s="905">
        <f>INDEX(G952:R952,1,MATCH(Parametres!$B$3,G$1:R$1,0))*IF(OR(F952="L",F952="S",F952="I"),-1,1)</f>
        <v>14481.63</v>
      </c>
      <c r="AO952" s="487" t="str">
        <f>+VLOOKUP($AJ952,Data_Validation!$A:$D,1,0)</f>
        <v>G66900</v>
      </c>
      <c r="AP952" s="487" t="str">
        <f>+VLOOKUP($AJ952,Data_Validation!$A:$D,3,0)</f>
        <v>Service</v>
      </c>
      <c r="AQ952" s="487" t="str">
        <f>+VLOOKUP($AJ952,Data_Validation!$A:$D,4,0)</f>
        <v>Sous-traitement</v>
      </c>
      <c r="AR952" s="487" t="s">
        <v>299</v>
      </c>
      <c r="AS952" s="487">
        <f>+VLOOKUP($AJ952,Data_Validation!$A:$E,5,0)</f>
        <v>0</v>
      </c>
      <c r="AT952" s="904" t="str">
        <f t="shared" si="95"/>
        <v>G66900</v>
      </c>
      <c r="AU952" s="488" t="str">
        <f t="shared" si="96"/>
        <v>COUT MATERIEL ATELIER</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customHeight="1">
      <c r="A953" s="706" t="s">
        <v>1148</v>
      </c>
      <c r="B953" s="706">
        <v>2026</v>
      </c>
      <c r="C953" s="706" t="s">
        <v>2880</v>
      </c>
      <c r="D953" s="706" t="s">
        <v>2881</v>
      </c>
      <c r="E953" s="706" t="s">
        <v>333</v>
      </c>
      <c r="F953" s="706" t="s">
        <v>1152</v>
      </c>
      <c r="G953" s="706">
        <v>0</v>
      </c>
      <c r="H953" s="706">
        <v>0</v>
      </c>
      <c r="I953" s="706">
        <v>0</v>
      </c>
      <c r="J953" s="706">
        <v>0</v>
      </c>
      <c r="K953" s="706">
        <v>1266.73</v>
      </c>
      <c r="L953" s="706">
        <v>3705.88</v>
      </c>
      <c r="M953" s="706">
        <v>5244.04</v>
      </c>
      <c r="N953" s="706">
        <v>5880.21</v>
      </c>
      <c r="O953" s="706">
        <v>7246.96</v>
      </c>
      <c r="P953" s="706">
        <v>0</v>
      </c>
      <c r="Q953" s="706">
        <v>0</v>
      </c>
      <c r="R953" s="706">
        <v>0</v>
      </c>
      <c r="S953" s="706">
        <v>735.03</v>
      </c>
      <c r="T953" s="706">
        <v>735.03</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G67000</v>
      </c>
      <c r="AK953" s="905" t="str">
        <f t="shared" si="93"/>
        <v>COUT-M.D. PEINTURE</v>
      </c>
      <c r="AL953" s="905">
        <f>IFERROR(INDEX(G953:R953,1,MATCH(Parametres!$B$3,G$1:R$1,0)-1)*IF(OR(F953="L",F953="S",F953="I"),-1,1),"")</f>
        <v>5244.04</v>
      </c>
      <c r="AM953" s="905">
        <f t="shared" si="94"/>
        <v>636.17000000000007</v>
      </c>
      <c r="AN953" s="905">
        <f>INDEX(G953:R953,1,MATCH(Parametres!$B$3,G$1:R$1,0))*IF(OR(F953="L",F953="S",F953="I"),-1,1)</f>
        <v>5880.21</v>
      </c>
      <c r="AO953" s="487" t="str">
        <f>+VLOOKUP($AJ953,Data_Validation!$A:$D,1,0)</f>
        <v>G67000</v>
      </c>
      <c r="AP953" s="487" t="str">
        <f>+VLOOKUP($AJ953,Data_Validation!$A:$D,3,0)</f>
        <v>Carrosserie</v>
      </c>
      <c r="AQ953" s="487" t="str">
        <f>+VLOOKUP($AJ953,Data_Validation!$A:$D,4,0)</f>
        <v>Carrosserie Clients</v>
      </c>
      <c r="AR953" s="487" t="s">
        <v>299</v>
      </c>
      <c r="AS953" s="487">
        <f>+VLOOKUP($AJ953,Data_Validation!$A:$E,5,0)</f>
        <v>0</v>
      </c>
      <c r="AT953" s="904" t="str">
        <f t="shared" si="95"/>
        <v>G67000</v>
      </c>
      <c r="AU953" s="488" t="str">
        <f t="shared" si="96"/>
        <v>COUT-M.D. PEINTURE</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customHeight="1">
      <c r="A954" s="706" t="s">
        <v>1148</v>
      </c>
      <c r="B954" s="706">
        <v>2026</v>
      </c>
      <c r="C954" s="706" t="s">
        <v>2882</v>
      </c>
      <c r="D954" s="706" t="s">
        <v>2883</v>
      </c>
      <c r="E954" s="706" t="s">
        <v>333</v>
      </c>
      <c r="F954" s="706" t="s">
        <v>1152</v>
      </c>
      <c r="G954" s="706">
        <v>0</v>
      </c>
      <c r="H954" s="706">
        <v>0</v>
      </c>
      <c r="I954" s="706">
        <v>0</v>
      </c>
      <c r="J954" s="706">
        <v>0</v>
      </c>
      <c r="K954" s="706">
        <v>2406.7600000000002</v>
      </c>
      <c r="L954" s="706">
        <v>4008.48</v>
      </c>
      <c r="M954" s="706">
        <v>6256.59</v>
      </c>
      <c r="N954" s="706">
        <v>7178.19</v>
      </c>
      <c r="O954" s="706">
        <v>8153.64</v>
      </c>
      <c r="P954" s="706">
        <v>0</v>
      </c>
      <c r="Q954" s="706">
        <v>0</v>
      </c>
      <c r="R954" s="706">
        <v>0</v>
      </c>
      <c r="S954" s="706">
        <v>897.27</v>
      </c>
      <c r="T954" s="706">
        <v>897.27</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G67005</v>
      </c>
      <c r="AK954" s="905" t="str">
        <f t="shared" si="93"/>
        <v>COUT -M.O CONCES. PEINTUR</v>
      </c>
      <c r="AL954" s="905">
        <f>IFERROR(INDEX(G954:R954,1,MATCH(Parametres!$B$3,G$1:R$1,0)-1)*IF(OR(F954="L",F954="S",F954="I"),-1,1),"")</f>
        <v>6256.59</v>
      </c>
      <c r="AM954" s="905">
        <f t="shared" si="94"/>
        <v>921.59999999999945</v>
      </c>
      <c r="AN954" s="905">
        <f>INDEX(G954:R954,1,MATCH(Parametres!$B$3,G$1:R$1,0))*IF(OR(F954="L",F954="S",F954="I"),-1,1)</f>
        <v>7178.19</v>
      </c>
      <c r="AO954" s="487" t="str">
        <f>+VLOOKUP($AJ954,Data_Validation!$A:$D,1,0)</f>
        <v>G67005</v>
      </c>
      <c r="AP954" s="487" t="str">
        <f>+VLOOKUP($AJ954,Data_Validation!$A:$D,3,0)</f>
        <v>Carrosserie</v>
      </c>
      <c r="AQ954" s="487" t="str">
        <f>+VLOOKUP($AJ954,Data_Validation!$A:$D,4,0)</f>
        <v>Carrosserie Concessions</v>
      </c>
      <c r="AR954" s="487" t="s">
        <v>299</v>
      </c>
      <c r="AS954" s="487">
        <f>+VLOOKUP($AJ954,Data_Validation!$A:$E,5,0)</f>
        <v>0</v>
      </c>
      <c r="AT954" s="904" t="str">
        <f t="shared" si="95"/>
        <v>G67005</v>
      </c>
      <c r="AU954" s="488" t="str">
        <f t="shared" si="96"/>
        <v>COUT -M.O CONCES. PEINTUR</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customHeight="1">
      <c r="A955" s="706" t="s">
        <v>1148</v>
      </c>
      <c r="B955" s="706">
        <v>2026</v>
      </c>
      <c r="C955" s="706" t="s">
        <v>2884</v>
      </c>
      <c r="D955" s="706" t="s">
        <v>2885</v>
      </c>
      <c r="E955" s="706" t="s">
        <v>333</v>
      </c>
      <c r="F955" s="706" t="s">
        <v>1152</v>
      </c>
      <c r="G955" s="706">
        <v>19730.259999999998</v>
      </c>
      <c r="H955" s="706">
        <v>41519.22</v>
      </c>
      <c r="I955" s="706">
        <v>61660.73</v>
      </c>
      <c r="J955" s="706">
        <v>100877.37</v>
      </c>
      <c r="K955" s="706">
        <v>107269.34</v>
      </c>
      <c r="L955" s="706">
        <v>114935.97</v>
      </c>
      <c r="M955" s="706">
        <v>124356.83</v>
      </c>
      <c r="N955" s="706">
        <v>134962.57</v>
      </c>
      <c r="O955" s="706">
        <v>140987.35</v>
      </c>
      <c r="P955" s="706">
        <v>0</v>
      </c>
      <c r="Q955" s="706">
        <v>0</v>
      </c>
      <c r="R955" s="706">
        <v>0</v>
      </c>
      <c r="S955" s="706">
        <v>16870.32</v>
      </c>
      <c r="T955" s="706">
        <v>16870.32</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G67100</v>
      </c>
      <c r="AK955" s="905" t="str">
        <f t="shared" si="93"/>
        <v>COUT-M.D. CARROSSERIE</v>
      </c>
      <c r="AL955" s="905">
        <f>IFERROR(INDEX(G955:R955,1,MATCH(Parametres!$B$3,G$1:R$1,0)-1)*IF(OR(F955="L",F955="S",F955="I"),-1,1),"")</f>
        <v>124356.83</v>
      </c>
      <c r="AM955" s="905">
        <f t="shared" si="94"/>
        <v>10605.740000000005</v>
      </c>
      <c r="AN955" s="905">
        <f>INDEX(G955:R955,1,MATCH(Parametres!$B$3,G$1:R$1,0))*IF(OR(F955="L",F955="S",F955="I"),-1,1)</f>
        <v>134962.57</v>
      </c>
      <c r="AO955" s="487" t="str">
        <f>+VLOOKUP($AJ955,Data_Validation!$A:$D,1,0)</f>
        <v>G67100</v>
      </c>
      <c r="AP955" s="487" t="str">
        <f>+VLOOKUP($AJ955,Data_Validation!$A:$D,3,0)</f>
        <v>Carrosserie</v>
      </c>
      <c r="AQ955" s="487" t="str">
        <f>+VLOOKUP($AJ955,Data_Validation!$A:$D,4,0)</f>
        <v>Carrosserie Clients</v>
      </c>
      <c r="AR955" s="487" t="s">
        <v>299</v>
      </c>
      <c r="AS955" s="487">
        <f>+VLOOKUP($AJ955,Data_Validation!$A:$E,5,0)</f>
        <v>0</v>
      </c>
      <c r="AT955" s="904" t="str">
        <f t="shared" si="95"/>
        <v>G67100</v>
      </c>
      <c r="AU955" s="488" t="str">
        <f t="shared" si="96"/>
        <v>COUT-M.D. CARROSSERIE</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customHeight="1">
      <c r="A956" s="706" t="s">
        <v>1148</v>
      </c>
      <c r="B956" s="706">
        <v>2026</v>
      </c>
      <c r="C956" s="706" t="s">
        <v>2886</v>
      </c>
      <c r="D956" s="706" t="s">
        <v>2887</v>
      </c>
      <c r="E956" s="706" t="s">
        <v>333</v>
      </c>
      <c r="F956" s="706" t="s">
        <v>1152</v>
      </c>
      <c r="G956" s="706">
        <v>0</v>
      </c>
      <c r="H956" s="706">
        <v>0</v>
      </c>
      <c r="I956" s="706">
        <v>0</v>
      </c>
      <c r="J956" s="706">
        <v>0</v>
      </c>
      <c r="K956" s="706">
        <v>5591.54</v>
      </c>
      <c r="L956" s="706">
        <v>11000.09</v>
      </c>
      <c r="M956" s="706">
        <v>19383.18</v>
      </c>
      <c r="N956" s="706">
        <v>24728.02</v>
      </c>
      <c r="O956" s="706">
        <v>27683.09</v>
      </c>
      <c r="P956" s="706">
        <v>0</v>
      </c>
      <c r="Q956" s="706">
        <v>0</v>
      </c>
      <c r="R956" s="706">
        <v>0</v>
      </c>
      <c r="S956" s="706">
        <v>3091</v>
      </c>
      <c r="T956" s="706">
        <v>3091</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G67105</v>
      </c>
      <c r="AK956" s="905" t="str">
        <f t="shared" si="93"/>
        <v>COUT-M.O CONCES. -BODY</v>
      </c>
      <c r="AL956" s="905">
        <f>IFERROR(INDEX(G956:R956,1,MATCH(Parametres!$B$3,G$1:R$1,0)-1)*IF(OR(F956="L",F956="S",F956="I"),-1,1),"")</f>
        <v>19383.18</v>
      </c>
      <c r="AM956" s="905">
        <f t="shared" si="94"/>
        <v>5344.84</v>
      </c>
      <c r="AN956" s="905">
        <f>INDEX(G956:R956,1,MATCH(Parametres!$B$3,G$1:R$1,0))*IF(OR(F956="L",F956="S",F956="I"),-1,1)</f>
        <v>24728.02</v>
      </c>
      <c r="AO956" s="487" t="str">
        <f>+VLOOKUP($AJ956,Data_Validation!$A:$D,1,0)</f>
        <v>G67105</v>
      </c>
      <c r="AP956" s="487" t="str">
        <f>+VLOOKUP($AJ956,Data_Validation!$A:$D,3,0)</f>
        <v>Carrosserie</v>
      </c>
      <c r="AQ956" s="487" t="str">
        <f>+VLOOKUP($AJ956,Data_Validation!$A:$D,4,0)</f>
        <v>Carrosserie Concessions</v>
      </c>
      <c r="AR956" s="487" t="s">
        <v>299</v>
      </c>
      <c r="AS956" s="487">
        <f>+VLOOKUP($AJ956,Data_Validation!$A:$E,5,0)</f>
        <v>0</v>
      </c>
      <c r="AT956" s="904" t="str">
        <f t="shared" si="95"/>
        <v>G67105</v>
      </c>
      <c r="AU956" s="488" t="str">
        <f t="shared" si="96"/>
        <v>COUT-M.O CONCES. -BODY</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customHeight="1">
      <c r="A957" s="706" t="s">
        <v>1148</v>
      </c>
      <c r="B957" s="706">
        <v>2026</v>
      </c>
      <c r="C957" s="706" t="s">
        <v>2888</v>
      </c>
      <c r="D957" s="706" t="s">
        <v>2889</v>
      </c>
      <c r="E957" s="706" t="s">
        <v>333</v>
      </c>
      <c r="F957" s="706" t="s">
        <v>1152</v>
      </c>
      <c r="G957" s="706">
        <v>0</v>
      </c>
      <c r="H957" s="706">
        <v>0</v>
      </c>
      <c r="I957" s="706">
        <v>0</v>
      </c>
      <c r="J957" s="706">
        <v>0</v>
      </c>
      <c r="K957" s="706">
        <v>236.84</v>
      </c>
      <c r="L957" s="706">
        <v>934.73</v>
      </c>
      <c r="M957" s="706">
        <v>1847.09</v>
      </c>
      <c r="N957" s="706">
        <v>1902.53</v>
      </c>
      <c r="O957" s="706">
        <v>2075.4</v>
      </c>
      <c r="P957" s="706">
        <v>0</v>
      </c>
      <c r="Q957" s="706">
        <v>0</v>
      </c>
      <c r="R957" s="706">
        <v>0</v>
      </c>
      <c r="S957" s="706">
        <v>237.82</v>
      </c>
      <c r="T957" s="706">
        <v>237.82</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G67110</v>
      </c>
      <c r="AK957" s="905" t="str">
        <f t="shared" si="93"/>
        <v>COUT - M.O MEC CLT BODY</v>
      </c>
      <c r="AL957" s="905">
        <f>IFERROR(INDEX(G957:R957,1,MATCH(Parametres!$B$3,G$1:R$1,0)-1)*IF(OR(F957="L",F957="S",F957="I"),-1,1),"")</f>
        <v>1847.09</v>
      </c>
      <c r="AM957" s="905">
        <f t="shared" si="94"/>
        <v>55.440000000000055</v>
      </c>
      <c r="AN957" s="905">
        <f>INDEX(G957:R957,1,MATCH(Parametres!$B$3,G$1:R$1,0))*IF(OR(F957="L",F957="S",F957="I"),-1,1)</f>
        <v>1902.53</v>
      </c>
      <c r="AO957" s="487" t="str">
        <f>+VLOOKUP($AJ957,Data_Validation!$A:$D,1,0)</f>
        <v>G67110</v>
      </c>
      <c r="AP957" s="487" t="str">
        <f>+VLOOKUP($AJ957,Data_Validation!$A:$D,3,0)</f>
        <v>Carrosserie</v>
      </c>
      <c r="AQ957" s="487" t="str">
        <f>+VLOOKUP($AJ957,Data_Validation!$A:$D,4,0)</f>
        <v>Carrosserie Clients</v>
      </c>
      <c r="AR957" s="487" t="s">
        <v>299</v>
      </c>
      <c r="AS957" s="487">
        <f>+VLOOKUP($AJ957,Data_Validation!$A:$E,5,0)</f>
        <v>0</v>
      </c>
      <c r="AT957" s="904" t="str">
        <f t="shared" si="95"/>
        <v>G67110</v>
      </c>
      <c r="AU957" s="488" t="str">
        <f t="shared" si="96"/>
        <v>COUT - M.O MEC CLT BODY</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customHeight="1">
      <c r="A958" s="706" t="s">
        <v>1148</v>
      </c>
      <c r="B958" s="706">
        <v>2026</v>
      </c>
      <c r="C958" s="706" t="s">
        <v>2890</v>
      </c>
      <c r="D958" s="706" t="s">
        <v>2891</v>
      </c>
      <c r="E958" s="706" t="s">
        <v>333</v>
      </c>
      <c r="F958" s="706" t="s">
        <v>1152</v>
      </c>
      <c r="G958" s="706">
        <v>0</v>
      </c>
      <c r="H958" s="706">
        <v>0</v>
      </c>
      <c r="I958" s="706">
        <v>0</v>
      </c>
      <c r="J958" s="706">
        <v>0</v>
      </c>
      <c r="K958" s="706">
        <v>9.7100000000000009</v>
      </c>
      <c r="L958" s="706">
        <v>9.7100000000000009</v>
      </c>
      <c r="M958" s="706">
        <v>9.7100000000000009</v>
      </c>
      <c r="N958" s="706">
        <v>9.7100000000000009</v>
      </c>
      <c r="O958" s="706">
        <v>9.7100000000000009</v>
      </c>
      <c r="P958" s="706">
        <v>0</v>
      </c>
      <c r="Q958" s="706">
        <v>0</v>
      </c>
      <c r="R958" s="706">
        <v>0</v>
      </c>
      <c r="S958" s="706">
        <v>1.21</v>
      </c>
      <c r="T958" s="706">
        <v>1.21</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G67115</v>
      </c>
      <c r="AK958" s="905" t="str">
        <f t="shared" si="93"/>
        <v>COUT -M.O CONCES MEC-BODY</v>
      </c>
      <c r="AL958" s="905">
        <f>IFERROR(INDEX(G958:R958,1,MATCH(Parametres!$B$3,G$1:R$1,0)-1)*IF(OR(F958="L",F958="S",F958="I"),-1,1),"")</f>
        <v>9.7100000000000009</v>
      </c>
      <c r="AM958" s="905">
        <f t="shared" si="94"/>
        <v>0</v>
      </c>
      <c r="AN958" s="905">
        <f>INDEX(G958:R958,1,MATCH(Parametres!$B$3,G$1:R$1,0))*IF(OR(F958="L",F958="S",F958="I"),-1,1)</f>
        <v>9.7100000000000009</v>
      </c>
      <c r="AO958" s="487" t="str">
        <f>+VLOOKUP($AJ958,Data_Validation!$A:$D,1,0)</f>
        <v>G67115</v>
      </c>
      <c r="AP958" s="487" t="str">
        <f>+VLOOKUP($AJ958,Data_Validation!$A:$D,3,0)</f>
        <v>Carrosserie</v>
      </c>
      <c r="AQ958" s="487" t="str">
        <f>+VLOOKUP($AJ958,Data_Validation!$A:$D,4,0)</f>
        <v>Carrosserie Concessions</v>
      </c>
      <c r="AR958" s="487" t="s">
        <v>299</v>
      </c>
      <c r="AS958" s="487">
        <f>+VLOOKUP($AJ958,Data_Validation!$A:$E,5,0)</f>
        <v>0</v>
      </c>
      <c r="AT958" s="904" t="str">
        <f t="shared" si="95"/>
        <v>G67115</v>
      </c>
      <c r="AU958" s="488" t="str">
        <f t="shared" si="96"/>
        <v>COUT -M.O CONCES MEC-BODY</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customHeight="1">
      <c r="A959" s="706" t="s">
        <v>1148</v>
      </c>
      <c r="B959" s="706">
        <v>2026</v>
      </c>
      <c r="C959" s="706" t="s">
        <v>2892</v>
      </c>
      <c r="D959" s="706" t="s">
        <v>2893</v>
      </c>
      <c r="E959" s="706" t="s">
        <v>333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G67125</v>
      </c>
      <c r="AK959" s="905" t="str">
        <f t="shared" si="93"/>
        <v>**RISTOURNE M.O CONC.BODY</v>
      </c>
      <c r="AL959" s="905">
        <f>IFERROR(INDEX(G959:R959,1,MATCH(Parametres!$B$3,G$1:R$1,0)-1)*IF(OR(F959="L",F959="S",F959="I"),-1,1),"")</f>
        <v>0</v>
      </c>
      <c r="AM959" s="905">
        <f t="shared" si="94"/>
        <v>0</v>
      </c>
      <c r="AN959" s="905">
        <f>INDEX(G959:R959,1,MATCH(Parametres!$B$3,G$1:R$1,0))*IF(OR(F959="L",F959="S",F959="I"),-1,1)</f>
        <v>0</v>
      </c>
      <c r="AO959" s="487" t="str">
        <f>+VLOOKUP($AJ959,Data_Validation!$A:$D,1,0)</f>
        <v>G67125</v>
      </c>
      <c r="AP959" s="487" t="str">
        <f>+VLOOKUP($AJ959,Data_Validation!$A:$D,3,0)</f>
        <v>Carrosserie</v>
      </c>
      <c r="AQ959" s="487" t="str">
        <f>+VLOOKUP($AJ959,Data_Validation!$A:$D,4,0)</f>
        <v>Carrosserie Concessions</v>
      </c>
      <c r="AR959" s="487" t="s">
        <v>299</v>
      </c>
      <c r="AS959" s="487">
        <f>+VLOOKUP($AJ959,Data_Validation!$A:$E,5,0)</f>
        <v>0</v>
      </c>
      <c r="AT959" s="904" t="str">
        <f t="shared" si="95"/>
        <v>G67125</v>
      </c>
      <c r="AU959" s="488" t="str">
        <f t="shared" si="96"/>
        <v>**RISTOURNE M.O CONC.BODY</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customHeight="1">
      <c r="A960" s="706" t="s">
        <v>1148</v>
      </c>
      <c r="B960" s="706">
        <v>2026</v>
      </c>
      <c r="C960" s="706" t="s">
        <v>2894</v>
      </c>
      <c r="D960" s="706" t="s">
        <v>2895</v>
      </c>
      <c r="E960" s="706" t="s">
        <v>333</v>
      </c>
      <c r="F960" s="706" t="s">
        <v>1152</v>
      </c>
      <c r="G960" s="706">
        <v>145.79</v>
      </c>
      <c r="H960" s="706">
        <v>145.79</v>
      </c>
      <c r="I960" s="706">
        <v>145.79</v>
      </c>
      <c r="J960" s="706">
        <v>277.94</v>
      </c>
      <c r="K960" s="706">
        <v>277.94</v>
      </c>
      <c r="L960" s="706">
        <v>277.94</v>
      </c>
      <c r="M960" s="706">
        <v>277.94</v>
      </c>
      <c r="N960" s="706">
        <v>559.96</v>
      </c>
      <c r="O960" s="706">
        <v>559.96</v>
      </c>
      <c r="P960" s="706">
        <v>0</v>
      </c>
      <c r="Q960" s="706">
        <v>0</v>
      </c>
      <c r="R960" s="706">
        <v>0</v>
      </c>
      <c r="S960" s="706">
        <v>70</v>
      </c>
      <c r="T960" s="706">
        <v>70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G67200</v>
      </c>
      <c r="AK960" s="905" t="str">
        <f t="shared" si="93"/>
        <v>COUT-M.D. B.CLAIM</v>
      </c>
      <c r="AL960" s="905">
        <f>IFERROR(INDEX(G960:R960,1,MATCH(Parametres!$B$3,G$1:R$1,0)-1)*IF(OR(F960="L",F960="S",F960="I"),-1,1),"")</f>
        <v>277.94</v>
      </c>
      <c r="AM960" s="905">
        <f t="shared" si="94"/>
        <v>282.02000000000004</v>
      </c>
      <c r="AN960" s="905">
        <f>INDEX(G960:R960,1,MATCH(Parametres!$B$3,G$1:R$1,0))*IF(OR(F960="L",F960="S",F960="I"),-1,1)</f>
        <v>559.96</v>
      </c>
      <c r="AO960" s="487" t="str">
        <f>+VLOOKUP($AJ960,Data_Validation!$A:$D,1,0)</f>
        <v>G67200</v>
      </c>
      <c r="AP960" s="487" t="str">
        <f>+VLOOKUP($AJ960,Data_Validation!$A:$D,3,0)</f>
        <v>Carrosserie</v>
      </c>
      <c r="AQ960" s="487" t="str">
        <f>+VLOOKUP($AJ960,Data_Validation!$A:$D,4,0)</f>
        <v>Carrosserie Interne</v>
      </c>
      <c r="AR960" s="487" t="s">
        <v>299</v>
      </c>
      <c r="AS960" s="487">
        <f>+VLOOKUP($AJ960,Data_Validation!$A:$E,5,0)</f>
        <v>0</v>
      </c>
      <c r="AT960" s="904" t="str">
        <f t="shared" si="95"/>
        <v>G67200</v>
      </c>
      <c r="AU960" s="488" t="str">
        <f t="shared" si="96"/>
        <v>COUT-M.D. B.CLAIM</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customHeight="1">
      <c r="A961" s="706" t="s">
        <v>1148</v>
      </c>
      <c r="B961" s="706">
        <v>2026</v>
      </c>
      <c r="C961" s="706" t="s">
        <v>2896</v>
      </c>
      <c r="D961" s="706" t="s">
        <v>2897</v>
      </c>
      <c r="E961" s="706" t="s">
        <v>333</v>
      </c>
      <c r="F961" s="706" t="s">
        <v>1152</v>
      </c>
      <c r="G961" s="706">
        <v>1978.84</v>
      </c>
      <c r="H961" s="706">
        <v>6111.77</v>
      </c>
      <c r="I961" s="706">
        <v>10074.299999999999</v>
      </c>
      <c r="J961" s="706">
        <v>13220.18</v>
      </c>
      <c r="K961" s="706">
        <v>16185.95</v>
      </c>
      <c r="L961" s="706">
        <v>18157.95</v>
      </c>
      <c r="M961" s="706">
        <v>21697.4</v>
      </c>
      <c r="N961" s="706">
        <v>23010.21</v>
      </c>
      <c r="O961" s="706">
        <v>25760.22</v>
      </c>
      <c r="P961" s="706">
        <v>0</v>
      </c>
      <c r="Q961" s="706">
        <v>0</v>
      </c>
      <c r="R961" s="706">
        <v>0</v>
      </c>
      <c r="S961" s="706">
        <v>2876.28</v>
      </c>
      <c r="T961" s="706">
        <v>2876.28</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G67300</v>
      </c>
      <c r="AK961" s="905" t="str">
        <f t="shared" si="93"/>
        <v>COUT-M.D. BODY INT.</v>
      </c>
      <c r="AL961" s="905">
        <f>IFERROR(INDEX(G961:R961,1,MATCH(Parametres!$B$3,G$1:R$1,0)-1)*IF(OR(F961="L",F961="S",F961="I"),-1,1),"")</f>
        <v>21697.4</v>
      </c>
      <c r="AM961" s="905">
        <f t="shared" si="94"/>
        <v>1312.8099999999977</v>
      </c>
      <c r="AN961" s="905">
        <f>INDEX(G961:R961,1,MATCH(Parametres!$B$3,G$1:R$1,0))*IF(OR(F961="L",F961="S",F961="I"),-1,1)</f>
        <v>23010.21</v>
      </c>
      <c r="AO961" s="487" t="str">
        <f>+VLOOKUP($AJ961,Data_Validation!$A:$D,1,0)</f>
        <v>G67300</v>
      </c>
      <c r="AP961" s="487" t="str">
        <f>+VLOOKUP($AJ961,Data_Validation!$A:$D,3,0)</f>
        <v>Carrosserie</v>
      </c>
      <c r="AQ961" s="487" t="str">
        <f>+VLOOKUP($AJ961,Data_Validation!$A:$D,4,0)</f>
        <v>Carrosserie Interne</v>
      </c>
      <c r="AR961" s="487" t="s">
        <v>299</v>
      </c>
      <c r="AS961" s="487">
        <f>+VLOOKUP($AJ961,Data_Validation!$A:$E,5,0)</f>
        <v>0</v>
      </c>
      <c r="AT961" s="904" t="str">
        <f t="shared" si="95"/>
        <v>G67300</v>
      </c>
      <c r="AU961" s="488" t="str">
        <f t="shared" si="96"/>
        <v>COUT-M.D. BODY INT.</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customHeight="1">
      <c r="A962" s="706" t="s">
        <v>1148</v>
      </c>
      <c r="B962" s="706">
        <v>2026</v>
      </c>
      <c r="C962" s="706" t="s">
        <v>2898</v>
      </c>
      <c r="D962" s="706" t="s">
        <v>2899</v>
      </c>
      <c r="E962" s="706" t="s">
        <v>333</v>
      </c>
      <c r="F962" s="706" t="s">
        <v>1152</v>
      </c>
      <c r="G962" s="706">
        <v>0</v>
      </c>
      <c r="H962" s="706">
        <v>0</v>
      </c>
      <c r="I962" s="706">
        <v>0</v>
      </c>
      <c r="J962" s="706">
        <v>0</v>
      </c>
      <c r="K962" s="706">
        <v>246.26</v>
      </c>
      <c r="L962" s="706">
        <v>663.68</v>
      </c>
      <c r="M962" s="706">
        <v>1026.49</v>
      </c>
      <c r="N962" s="706">
        <v>1212.67</v>
      </c>
      <c r="O962" s="706">
        <v>1535.64</v>
      </c>
      <c r="P962" s="706">
        <v>0</v>
      </c>
      <c r="Q962" s="706">
        <v>0</v>
      </c>
      <c r="R962" s="706">
        <v>0</v>
      </c>
      <c r="S962" s="706">
        <v>151.58000000000001</v>
      </c>
      <c r="T962" s="706">
        <v>151.58000000000001</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G67303</v>
      </c>
      <c r="AK962" s="905" t="str">
        <f t="shared" si="93"/>
        <v>COUT-M.D. PEINTURE INT.</v>
      </c>
      <c r="AL962" s="905">
        <f>IFERROR(INDEX(G962:R962,1,MATCH(Parametres!$B$3,G$1:R$1,0)-1)*IF(OR(F962="L",F962="S",F962="I"),-1,1),"")</f>
        <v>1026.49</v>
      </c>
      <c r="AM962" s="905">
        <f t="shared" si="94"/>
        <v>186.18000000000006</v>
      </c>
      <c r="AN962" s="905">
        <f>INDEX(G962:R962,1,MATCH(Parametres!$B$3,G$1:R$1,0))*IF(OR(F962="L",F962="S",F962="I"),-1,1)</f>
        <v>1212.67</v>
      </c>
      <c r="AO962" s="487" t="str">
        <f>+VLOOKUP($AJ962,Data_Validation!$A:$D,1,0)</f>
        <v>G67303</v>
      </c>
      <c r="AP962" s="487" t="str">
        <f>+VLOOKUP($AJ962,Data_Validation!$A:$D,3,0)</f>
        <v>Carrosserie</v>
      </c>
      <c r="AQ962" s="487" t="str">
        <f>+VLOOKUP($AJ962,Data_Validation!$A:$D,4,0)</f>
        <v>Carrosserie Interne</v>
      </c>
      <c r="AR962" s="487" t="s">
        <v>299</v>
      </c>
      <c r="AS962" s="487">
        <f>+VLOOKUP($AJ962,Data_Validation!$A:$E,5,0)</f>
        <v>0</v>
      </c>
      <c r="AT962" s="904" t="str">
        <f t="shared" si="95"/>
        <v>G67303</v>
      </c>
      <c r="AU962" s="488" t="str">
        <f t="shared" si="96"/>
        <v>COUT-M.D. PEINTURE INT.</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customHeight="1">
      <c r="A963" s="706" t="s">
        <v>1148</v>
      </c>
      <c r="B963" s="706">
        <v>2026</v>
      </c>
      <c r="C963" s="706" t="s">
        <v>2900</v>
      </c>
      <c r="D963" s="706" t="s">
        <v>2901</v>
      </c>
      <c r="E963" s="706" t="s">
        <v>333</v>
      </c>
      <c r="F963" s="706" t="s">
        <v>1152</v>
      </c>
      <c r="G963" s="706">
        <v>0</v>
      </c>
      <c r="H963" s="706">
        <v>0</v>
      </c>
      <c r="I963" s="706">
        <v>0</v>
      </c>
      <c r="J963" s="706">
        <v>0</v>
      </c>
      <c r="K963" s="706">
        <v>0</v>
      </c>
      <c r="L963" s="706">
        <v>0</v>
      </c>
      <c r="M963" s="706">
        <v>0</v>
      </c>
      <c r="N963" s="706">
        <v>0</v>
      </c>
      <c r="O963" s="706">
        <v>750.23</v>
      </c>
      <c r="P963" s="706">
        <v>0</v>
      </c>
      <c r="Q963" s="706">
        <v>0</v>
      </c>
      <c r="R963" s="706">
        <v>0</v>
      </c>
      <c r="S963" s="706">
        <v>0</v>
      </c>
      <c r="T963" s="706">
        <v>0</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G67313</v>
      </c>
      <c r="AK963" s="905" t="str">
        <f t="shared" si="93"/>
        <v>COUT -M.O MEC INTERN-BODY</v>
      </c>
      <c r="AL963" s="905">
        <f>IFERROR(INDEX(G963:R963,1,MATCH(Parametres!$B$3,G$1:R$1,0)-1)*IF(OR(F963="L",F963="S",F963="I"),-1,1),"")</f>
        <v>0</v>
      </c>
      <c r="AM963" s="905">
        <f t="shared" si="94"/>
        <v>0</v>
      </c>
      <c r="AN963" s="905">
        <f>INDEX(G963:R963,1,MATCH(Parametres!$B$3,G$1:R$1,0))*IF(OR(F963="L",F963="S",F963="I"),-1,1)</f>
        <v>0</v>
      </c>
      <c r="AO963" s="487" t="str">
        <f>+VLOOKUP($AJ963,Data_Validation!$A:$D,1,0)</f>
        <v>G67313</v>
      </c>
      <c r="AP963" s="487" t="str">
        <f>+VLOOKUP($AJ963,Data_Validation!$A:$D,3,0)</f>
        <v>Carrosserie</v>
      </c>
      <c r="AQ963" s="487" t="str">
        <f>+VLOOKUP($AJ963,Data_Validation!$A:$D,4,0)</f>
        <v>Carrosserie Interne</v>
      </c>
      <c r="AR963" s="487" t="s">
        <v>299</v>
      </c>
      <c r="AS963" s="487">
        <f>+VLOOKUP($AJ963,Data_Validation!$A:$E,5,0)</f>
        <v>0</v>
      </c>
      <c r="AT963" s="904" t="str">
        <f t="shared" si="95"/>
        <v>G67313</v>
      </c>
      <c r="AU963" s="488" t="str">
        <f t="shared" si="96"/>
        <v>COUT -M.O MEC INTERN-BODY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customHeight="1">
      <c r="A964" s="706" t="s">
        <v>1148</v>
      </c>
      <c r="B964" s="706">
        <v>2026</v>
      </c>
      <c r="C964" s="706" t="s">
        <v>2902</v>
      </c>
      <c r="D964" s="706" t="s">
        <v>2903</v>
      </c>
      <c r="E964" s="706" t="s">
        <v>333</v>
      </c>
      <c r="F964" s="706" t="s">
        <v>1152</v>
      </c>
      <c r="G964" s="706">
        <v>-2076.17</v>
      </c>
      <c r="H964" s="706">
        <v>1683.98</v>
      </c>
      <c r="I964" s="706">
        <v>6440.11</v>
      </c>
      <c r="J964" s="706">
        <v>10406.6</v>
      </c>
      <c r="K964" s="706">
        <v>13512.44</v>
      </c>
      <c r="L964" s="706">
        <v>14653.47</v>
      </c>
      <c r="M964" s="706">
        <v>15667.64</v>
      </c>
      <c r="N964" s="706">
        <v>17178.509999999998</v>
      </c>
      <c r="O964" s="706">
        <v>17178.509999999998</v>
      </c>
      <c r="P964" s="706">
        <v>0</v>
      </c>
      <c r="Q964" s="706">
        <v>0</v>
      </c>
      <c r="R964" s="706">
        <v>0</v>
      </c>
      <c r="S964" s="706">
        <v>2147.31</v>
      </c>
      <c r="T964" s="706">
        <v>2147.31</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G67500</v>
      </c>
      <c r="AK964" s="905" t="str">
        <f t="shared" si="93"/>
        <v>TEMPS PERDU CARROSSERIE</v>
      </c>
      <c r="AL964" s="905">
        <f>IFERROR(INDEX(G964:R964,1,MATCH(Parametres!$B$3,G$1:R$1,0)-1)*IF(OR(F964="L",F964="S",F964="I"),-1,1),"")</f>
        <v>15667.64</v>
      </c>
      <c r="AM964" s="905">
        <f t="shared" si="94"/>
        <v>1510.869999999999</v>
      </c>
      <c r="AN964" s="905">
        <f>INDEX(G964:R964,1,MATCH(Parametres!$B$3,G$1:R$1,0))*IF(OR(F964="L",F964="S",F964="I"),-1,1)</f>
        <v>17178.509999999998</v>
      </c>
      <c r="AO964" s="487" t="str">
        <f>+VLOOKUP($AJ964,Data_Validation!$A:$D,1,0)</f>
        <v>G67500</v>
      </c>
      <c r="AP964" s="487" t="str">
        <f>+VLOOKUP($AJ964,Data_Validation!$A:$D,3,0)</f>
        <v>Carrosserie</v>
      </c>
      <c r="AQ964" s="487" t="str">
        <f>+VLOOKUP($AJ964,Data_Validation!$A:$D,4,0)</f>
        <v>Ajustement M/O Carrosserie</v>
      </c>
      <c r="AR964" s="487" t="s">
        <v>299</v>
      </c>
      <c r="AS964" s="487">
        <f>+VLOOKUP($AJ964,Data_Validation!$A:$E,5,0)</f>
        <v>0</v>
      </c>
      <c r="AT964" s="904" t="str">
        <f t="shared" si="95"/>
        <v>G67500</v>
      </c>
      <c r="AU964" s="488" t="str">
        <f t="shared" si="96"/>
        <v>TEMPS PERDU CARROSSERIE</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customHeight="1">
      <c r="A965" s="706" t="s">
        <v>1148</v>
      </c>
      <c r="B965" s="706">
        <v>2026</v>
      </c>
      <c r="C965" s="706" t="s">
        <v>2904</v>
      </c>
      <c r="D965" s="706" t="s">
        <v>2905</v>
      </c>
      <c r="E965" s="706" t="s">
        <v>333</v>
      </c>
      <c r="F965" s="706" t="s">
        <v>1152</v>
      </c>
      <c r="G965" s="706">
        <v>72114.69</v>
      </c>
      <c r="H965" s="706">
        <v>142583.76</v>
      </c>
      <c r="I965" s="706">
        <v>197462.96</v>
      </c>
      <c r="J965" s="706">
        <v>229534.23</v>
      </c>
      <c r="K965" s="706">
        <v>255722.15</v>
      </c>
      <c r="L965" s="706">
        <v>293738.59000000003</v>
      </c>
      <c r="M965" s="706">
        <v>329272.23</v>
      </c>
      <c r="N965" s="706">
        <v>360496.79</v>
      </c>
      <c r="O965" s="706">
        <v>388537.74</v>
      </c>
      <c r="P965" s="706">
        <v>0</v>
      </c>
      <c r="Q965" s="706">
        <v>0</v>
      </c>
      <c r="R965" s="706">
        <v>0</v>
      </c>
      <c r="S965" s="706">
        <v>45062.1</v>
      </c>
      <c r="T965" s="706">
        <v>45062.1</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G67600</v>
      </c>
      <c r="AK965" s="905" t="str">
        <f t="shared" si="93"/>
        <v>COUT-REP.SOUS-TRAIT.BODY</v>
      </c>
      <c r="AL965" s="905">
        <f>IFERROR(INDEX(G965:R965,1,MATCH(Parametres!$B$3,G$1:R$1,0)-1)*IF(OR(F965="L",F965="S",F965="I"),-1,1),"")</f>
        <v>329272.23</v>
      </c>
      <c r="AM965" s="905">
        <f t="shared" si="94"/>
        <v>31224.559999999998</v>
      </c>
      <c r="AN965" s="905">
        <f>INDEX(G965:R965,1,MATCH(Parametres!$B$3,G$1:R$1,0))*IF(OR(F965="L",F965="S",F965="I"),-1,1)</f>
        <v>360496.79</v>
      </c>
      <c r="AO965" s="487" t="str">
        <f>+VLOOKUP($AJ965,Data_Validation!$A:$D,1,0)</f>
        <v>G67600</v>
      </c>
      <c r="AP965" s="487" t="str">
        <f>+VLOOKUP($AJ965,Data_Validation!$A:$D,3,0)</f>
        <v>Carrosserie</v>
      </c>
      <c r="AQ965" s="487" t="str">
        <f>+VLOOKUP($AJ965,Data_Validation!$A:$D,4,0)</f>
        <v>Carrosserie Clients</v>
      </c>
      <c r="AR965" s="487" t="s">
        <v>299</v>
      </c>
      <c r="AS965" s="487">
        <f>+VLOOKUP($AJ965,Data_Validation!$A:$E,5,0)</f>
        <v>0</v>
      </c>
      <c r="AT965" s="904" t="str">
        <f t="shared" si="95"/>
        <v>G67600</v>
      </c>
      <c r="AU965" s="488" t="str">
        <f t="shared" si="96"/>
        <v>COUT-REP.SOUS-TRAIT.BODY</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2906</v>
      </c>
      <c r="D966" s="706" t="s">
        <v>2907</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G67603</v>
      </c>
      <c r="AK966" s="905" t="str">
        <f t="shared" si="93"/>
        <v>COUT - S.T. INTERN-BODY</v>
      </c>
      <c r="AL966" s="905">
        <f>IFERROR(INDEX(G966:R966,1,MATCH(Parametres!$B$3,G$1:R$1,0)-1)*IF(OR(F966="L",F966="S",F966="I"),-1,1),"")</f>
        <v>0</v>
      </c>
      <c r="AM966" s="905">
        <f t="shared" si="94"/>
        <v>0</v>
      </c>
      <c r="AN966" s="905">
        <f>INDEX(G966:R966,1,MATCH(Parametres!$B$3,G$1:R$1,0))*IF(OR(F966="L",F966="S",F966="I"),-1,1)</f>
        <v>0</v>
      </c>
      <c r="AO966" s="487" t="str">
        <f>+VLOOKUP($AJ966,Data_Validation!$A:$D,1,0)</f>
        <v>G67603</v>
      </c>
      <c r="AP966" s="487" t="str">
        <f>+VLOOKUP($AJ966,Data_Validation!$A:$D,3,0)</f>
        <v>Carrosserie</v>
      </c>
      <c r="AQ966" s="487" t="str">
        <f>+VLOOKUP($AJ966,Data_Validation!$A:$D,4,0)</f>
        <v>Carrosserie Interne</v>
      </c>
      <c r="AR966" s="487" t="s">
        <v>299</v>
      </c>
      <c r="AS966" s="487">
        <f>+VLOOKUP($AJ966,Data_Validation!$A:$E,5,0)</f>
        <v>0</v>
      </c>
      <c r="AT966" s="904" t="str">
        <f t="shared" si="95"/>
        <v>G67603</v>
      </c>
      <c r="AU966" s="488" t="str">
        <f t="shared" si="96"/>
        <v>COUT - S.T. INTERN-BODY</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2908</v>
      </c>
      <c r="D967" s="706" t="s">
        <v>2909</v>
      </c>
      <c r="E967" s="706" t="s">
        <v>333</v>
      </c>
      <c r="F967" s="706" t="s">
        <v>1152</v>
      </c>
      <c r="G967" s="706">
        <v>0</v>
      </c>
      <c r="H967" s="706">
        <v>0</v>
      </c>
      <c r="I967" s="706">
        <v>0</v>
      </c>
      <c r="J967" s="706">
        <v>0</v>
      </c>
      <c r="K967" s="706">
        <v>5087.09</v>
      </c>
      <c r="L967" s="706">
        <v>5357.09</v>
      </c>
      <c r="M967" s="706">
        <v>6017.09</v>
      </c>
      <c r="N967" s="706">
        <v>6182.09</v>
      </c>
      <c r="O967" s="706">
        <v>7012.09</v>
      </c>
      <c r="P967" s="706">
        <v>0</v>
      </c>
      <c r="Q967" s="706">
        <v>0</v>
      </c>
      <c r="R967" s="706">
        <v>0</v>
      </c>
      <c r="S967" s="706">
        <v>772.76</v>
      </c>
      <c r="T967" s="706">
        <v>772.76</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G67605</v>
      </c>
      <c r="AK967" s="905" t="str">
        <f t="shared" si="93"/>
        <v>COUT -S.T CONCES. BODY</v>
      </c>
      <c r="AL967" s="905">
        <f>IFERROR(INDEX(G967:R967,1,MATCH(Parametres!$B$3,G$1:R$1,0)-1)*IF(OR(F967="L",F967="S",F967="I"),-1,1),"")</f>
        <v>6017.09</v>
      </c>
      <c r="AM967" s="905">
        <f t="shared" si="94"/>
        <v>165</v>
      </c>
      <c r="AN967" s="905">
        <f>INDEX(G967:R967,1,MATCH(Parametres!$B$3,G$1:R$1,0))*IF(OR(F967="L",F967="S",F967="I"),-1,1)</f>
        <v>6182.09</v>
      </c>
      <c r="AO967" s="487" t="str">
        <f>+VLOOKUP($AJ967,Data_Validation!$A:$D,1,0)</f>
        <v>G67605</v>
      </c>
      <c r="AP967" s="487" t="str">
        <f>+VLOOKUP($AJ967,Data_Validation!$A:$D,3,0)</f>
        <v>Carrosserie</v>
      </c>
      <c r="AQ967" s="487" t="str">
        <f>+VLOOKUP($AJ967,Data_Validation!$A:$D,4,0)</f>
        <v>Carrosserie Concessions</v>
      </c>
      <c r="AR967" s="487" t="s">
        <v>299</v>
      </c>
      <c r="AS967" s="487">
        <f>+VLOOKUP($AJ967,Data_Validation!$A:$E,5,0)</f>
        <v>0</v>
      </c>
      <c r="AT967" s="904" t="str">
        <f t="shared" si="95"/>
        <v>G67605</v>
      </c>
      <c r="AU967" s="488" t="str">
        <f t="shared" si="96"/>
        <v>COUT -S.T CONCES. 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2910</v>
      </c>
      <c r="D968" s="706" t="s">
        <v>2911</v>
      </c>
      <c r="E968" s="706" t="s">
        <v>333</v>
      </c>
      <c r="F968" s="706" t="s">
        <v>1152</v>
      </c>
      <c r="G968" s="706">
        <v>0</v>
      </c>
      <c r="H968" s="706">
        <v>0</v>
      </c>
      <c r="I968" s="706">
        <v>0</v>
      </c>
      <c r="J968" s="706">
        <v>0</v>
      </c>
      <c r="K968" s="706">
        <v>0</v>
      </c>
      <c r="L968" s="706">
        <v>0</v>
      </c>
      <c r="M968" s="706">
        <v>0</v>
      </c>
      <c r="N968" s="706">
        <v>0</v>
      </c>
      <c r="O968" s="706">
        <v>0</v>
      </c>
      <c r="P968" s="706">
        <v>0</v>
      </c>
      <c r="Q968" s="706">
        <v>0</v>
      </c>
      <c r="R968" s="706">
        <v>0</v>
      </c>
      <c r="S968" s="706">
        <v>0</v>
      </c>
      <c r="T968" s="706">
        <v>0</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G67610</v>
      </c>
      <c r="AK968" s="905" t="str">
        <f t="shared" si="93"/>
        <v>COUT-PCS.S-T BODY -CLIENT</v>
      </c>
      <c r="AL968" s="905">
        <f>IFERROR(INDEX(G968:R968,1,MATCH(Parametres!$B$3,G$1:R$1,0)-1)*IF(OR(F968="L",F968="S",F968="I"),-1,1),"")</f>
        <v>0</v>
      </c>
      <c r="AM968" s="905">
        <f t="shared" si="94"/>
        <v>0</v>
      </c>
      <c r="AN968" s="905">
        <f>INDEX(G968:R968,1,MATCH(Parametres!$B$3,G$1:R$1,0))*IF(OR(F968="L",F968="S",F968="I"),-1,1)</f>
        <v>0</v>
      </c>
      <c r="AO968" s="487" t="str">
        <f>+VLOOKUP($AJ968,Data_Validation!$A:$D,1,0)</f>
        <v>G67610</v>
      </c>
      <c r="AP968" s="487" t="str">
        <f>+VLOOKUP($AJ968,Data_Validation!$A:$D,3,0)</f>
        <v>Carrosserie</v>
      </c>
      <c r="AQ968" s="487" t="str">
        <f>+VLOOKUP($AJ968,Data_Validation!$A:$D,4,0)</f>
        <v>Carrosserie Clients</v>
      </c>
      <c r="AR968" s="487" t="s">
        <v>299</v>
      </c>
      <c r="AS968" s="487">
        <f>+VLOOKUP($AJ968,Data_Validation!$A:$E,5,0)</f>
        <v>0</v>
      </c>
      <c r="AT968" s="904" t="str">
        <f t="shared" si="95"/>
        <v>G67610</v>
      </c>
      <c r="AU968" s="488" t="str">
        <f t="shared" si="96"/>
        <v>COUT-PCS.S-T BODY -CLIENT</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2912</v>
      </c>
      <c r="D969" s="706" t="s">
        <v>2913</v>
      </c>
      <c r="E969" s="706" t="s">
        <v>333</v>
      </c>
      <c r="F969" s="706" t="s">
        <v>1152</v>
      </c>
      <c r="G969" s="706">
        <v>0</v>
      </c>
      <c r="H969" s="706">
        <v>0</v>
      </c>
      <c r="I969" s="706">
        <v>0</v>
      </c>
      <c r="J969" s="706">
        <v>0</v>
      </c>
      <c r="K969" s="706">
        <v>0</v>
      </c>
      <c r="L969" s="706">
        <v>0</v>
      </c>
      <c r="M969" s="706">
        <v>0</v>
      </c>
      <c r="N969" s="706">
        <v>0</v>
      </c>
      <c r="O969" s="706">
        <v>0</v>
      </c>
      <c r="P969" s="706">
        <v>0</v>
      </c>
      <c r="Q969" s="706">
        <v>0</v>
      </c>
      <c r="R969" s="706">
        <v>0</v>
      </c>
      <c r="S969" s="706">
        <v>0</v>
      </c>
      <c r="T969" s="706">
        <v>0</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G67613</v>
      </c>
      <c r="AK969" s="905" t="str">
        <f t="shared" si="93"/>
        <v>COUT -PIECES INTERN -BODY</v>
      </c>
      <c r="AL969" s="905">
        <f>IFERROR(INDEX(G969:R969,1,MATCH(Parametres!$B$3,G$1:R$1,0)-1)*IF(OR(F969="L",F969="S",F969="I"),-1,1),"")</f>
        <v>0</v>
      </c>
      <c r="AM969" s="905">
        <f t="shared" si="94"/>
        <v>0</v>
      </c>
      <c r="AN969" s="905">
        <f>INDEX(G969:R969,1,MATCH(Parametres!$B$3,G$1:R$1,0))*IF(OR(F969="L",F969="S",F969="I"),-1,1)</f>
        <v>0</v>
      </c>
      <c r="AO969" s="487" t="str">
        <f>+VLOOKUP($AJ969,Data_Validation!$A:$D,1,0)</f>
        <v>G67613</v>
      </c>
      <c r="AP969" s="487" t="str">
        <f>+VLOOKUP($AJ969,Data_Validation!$A:$D,3,0)</f>
        <v>Carrosserie</v>
      </c>
      <c r="AQ969" s="487" t="str">
        <f>+VLOOKUP($AJ969,Data_Validation!$A:$D,4,0)</f>
        <v>Carrosserie Interne</v>
      </c>
      <c r="AR969" s="487" t="s">
        <v>299</v>
      </c>
      <c r="AS969" s="487">
        <f>+VLOOKUP($AJ969,Data_Validation!$A:$E,5,0)</f>
        <v>0</v>
      </c>
      <c r="AT969" s="904" t="str">
        <f t="shared" si="95"/>
        <v>G67613</v>
      </c>
      <c r="AU969" s="488" t="str">
        <f t="shared" si="96"/>
        <v>COUT -PIECES INTERN -BODY</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2914</v>
      </c>
      <c r="D970" s="706" t="s">
        <v>2915</v>
      </c>
      <c r="E970" s="706" t="s">
        <v>333</v>
      </c>
      <c r="F970" s="706" t="s">
        <v>1152</v>
      </c>
      <c r="G970" s="706">
        <v>0</v>
      </c>
      <c r="H970" s="706">
        <v>0</v>
      </c>
      <c r="I970" s="706">
        <v>0</v>
      </c>
      <c r="J970" s="706">
        <v>0</v>
      </c>
      <c r="K970" s="706">
        <v>0</v>
      </c>
      <c r="L970" s="706">
        <v>0</v>
      </c>
      <c r="M970" s="706">
        <v>0</v>
      </c>
      <c r="N970" s="706">
        <v>0</v>
      </c>
      <c r="O970" s="706">
        <v>0</v>
      </c>
      <c r="P970" s="706">
        <v>0</v>
      </c>
      <c r="Q970" s="706">
        <v>0</v>
      </c>
      <c r="R970" s="706">
        <v>0</v>
      </c>
      <c r="S970" s="706">
        <v>0</v>
      </c>
      <c r="T970" s="706">
        <v>0</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G67615</v>
      </c>
      <c r="AK970" s="905" t="str">
        <f t="shared" si="93"/>
        <v>COUT - S-T PCS CONCES-BOD</v>
      </c>
      <c r="AL970" s="905">
        <f>IFERROR(INDEX(G970:R970,1,MATCH(Parametres!$B$3,G$1:R$1,0)-1)*IF(OR(F970="L",F970="S",F970="I"),-1,1),"")</f>
        <v>0</v>
      </c>
      <c r="AM970" s="905">
        <f t="shared" si="94"/>
        <v>0</v>
      </c>
      <c r="AN970" s="905">
        <f>INDEX(G970:R970,1,MATCH(Parametres!$B$3,G$1:R$1,0))*IF(OR(F970="L",F970="S",F970="I"),-1,1)</f>
        <v>0</v>
      </c>
      <c r="AO970" s="487" t="str">
        <f>+VLOOKUP($AJ970,Data_Validation!$A:$D,1,0)</f>
        <v>G67615</v>
      </c>
      <c r="AP970" s="487" t="str">
        <f>+VLOOKUP($AJ970,Data_Validation!$A:$D,3,0)</f>
        <v>Carrosserie</v>
      </c>
      <c r="AQ970" s="487" t="str">
        <f>+VLOOKUP($AJ970,Data_Validation!$A:$D,4,0)</f>
        <v>Carrosserie Concessions</v>
      </c>
      <c r="AR970" s="487" t="s">
        <v>299</v>
      </c>
      <c r="AS970" s="487">
        <f>+VLOOKUP($AJ970,Data_Validation!$A:$E,5,0)</f>
        <v>0</v>
      </c>
      <c r="AT970" s="904" t="str">
        <f t="shared" si="95"/>
        <v>G67615</v>
      </c>
      <c r="AU970" s="488" t="str">
        <f t="shared" si="96"/>
        <v>COUT - S-T PCS CONCES-BOD</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2916</v>
      </c>
      <c r="D971" s="706" t="s">
        <v>2917</v>
      </c>
      <c r="E971" s="706" t="s">
        <v>333</v>
      </c>
      <c r="F971" s="706" t="s">
        <v>1152</v>
      </c>
      <c r="G971" s="706">
        <v>0</v>
      </c>
      <c r="H971" s="706">
        <v>0</v>
      </c>
      <c r="I971" s="706">
        <v>0</v>
      </c>
      <c r="J971" s="706">
        <v>0</v>
      </c>
      <c r="K971" s="706">
        <v>0</v>
      </c>
      <c r="L971" s="706">
        <v>1486.33</v>
      </c>
      <c r="M971" s="706">
        <v>1486.33</v>
      </c>
      <c r="N971" s="706">
        <v>1486.33</v>
      </c>
      <c r="O971" s="706">
        <v>1486.33</v>
      </c>
      <c r="P971" s="706">
        <v>0</v>
      </c>
      <c r="Q971" s="706">
        <v>0</v>
      </c>
      <c r="R971" s="706">
        <v>0</v>
      </c>
      <c r="S971" s="706">
        <v>185.79</v>
      </c>
      <c r="T971" s="706">
        <v>185.79</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G67620</v>
      </c>
      <c r="AK971" s="905" t="str">
        <f t="shared" si="93"/>
        <v>COUT -LOC.COURTOIS - BODY</v>
      </c>
      <c r="AL971" s="905">
        <f>IFERROR(INDEX(G971:R971,1,MATCH(Parametres!$B$3,G$1:R$1,0)-1)*IF(OR(F971="L",F971="S",F971="I"),-1,1),"")</f>
        <v>1486.33</v>
      </c>
      <c r="AM971" s="905">
        <f t="shared" si="94"/>
        <v>0</v>
      </c>
      <c r="AN971" s="905">
        <f>INDEX(G971:R971,1,MATCH(Parametres!$B$3,G$1:R$1,0))*IF(OR(F971="L",F971="S",F971="I"),-1,1)</f>
        <v>1486.33</v>
      </c>
      <c r="AO971" s="487" t="str">
        <f>+VLOOKUP($AJ971,Data_Validation!$A:$D,1,0)</f>
        <v>G67620</v>
      </c>
      <c r="AP971" s="487" t="str">
        <f>+VLOOKUP($AJ971,Data_Validation!$A:$D,3,0)</f>
        <v>Carrosserie</v>
      </c>
      <c r="AQ971" s="487" t="str">
        <f>+VLOOKUP($AJ971,Data_Validation!$A:$D,4,0)</f>
        <v>Carrosserie Clients</v>
      </c>
      <c r="AR971" s="487" t="s">
        <v>299</v>
      </c>
      <c r="AS971" s="487">
        <f>+VLOOKUP($AJ971,Data_Validation!$A:$E,5,0)</f>
        <v>0</v>
      </c>
      <c r="AT971" s="904" t="str">
        <f t="shared" si="95"/>
        <v>G67620</v>
      </c>
      <c r="AU971" s="488" t="str">
        <f t="shared" si="96"/>
        <v>COUT -LOC.COURTOIS - BODY</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2918</v>
      </c>
      <c r="D972" s="706" t="s">
        <v>2919</v>
      </c>
      <c r="E972" s="706" t="s">
        <v>333</v>
      </c>
      <c r="F972" s="706" t="s">
        <v>1152</v>
      </c>
      <c r="G972" s="706">
        <v>0</v>
      </c>
      <c r="H972" s="706">
        <v>0</v>
      </c>
      <c r="I972" s="706">
        <v>0</v>
      </c>
      <c r="J972" s="706">
        <v>0</v>
      </c>
      <c r="K972" s="706">
        <v>0</v>
      </c>
      <c r="L972" s="706">
        <v>0</v>
      </c>
      <c r="M972" s="706">
        <v>0</v>
      </c>
      <c r="N972" s="706">
        <v>0</v>
      </c>
      <c r="O972" s="706">
        <v>0</v>
      </c>
      <c r="P972" s="706">
        <v>0</v>
      </c>
      <c r="Q972" s="706">
        <v>0</v>
      </c>
      <c r="R972" s="706">
        <v>0</v>
      </c>
      <c r="S972" s="706">
        <v>0</v>
      </c>
      <c r="T972" s="706">
        <v>0</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G67623</v>
      </c>
      <c r="AK972" s="905" t="str">
        <f t="shared" si="93"/>
        <v>COUT -LOC COURT INT-BODY</v>
      </c>
      <c r="AL972" s="905">
        <f>IFERROR(INDEX(G972:R972,1,MATCH(Parametres!$B$3,G$1:R$1,0)-1)*IF(OR(F972="L",F972="S",F972="I"),-1,1),"")</f>
        <v>0</v>
      </c>
      <c r="AM972" s="905">
        <f t="shared" si="94"/>
        <v>0</v>
      </c>
      <c r="AN972" s="905">
        <f>INDEX(G972:R972,1,MATCH(Parametres!$B$3,G$1:R$1,0))*IF(OR(F972="L",F972="S",F972="I"),-1,1)</f>
        <v>0</v>
      </c>
      <c r="AO972" s="487" t="str">
        <f>+VLOOKUP($AJ972,Data_Validation!$A:$D,1,0)</f>
        <v>G67623</v>
      </c>
      <c r="AP972" s="487">
        <f>+VLOOKUP($AJ972,Data_Validation!$A:$D,3,0)</f>
        <v>0</v>
      </c>
      <c r="AQ972" s="487">
        <f>+VLOOKUP($AJ972,Data_Validation!$A:$D,4,0)</f>
        <v>0</v>
      </c>
      <c r="AR972" s="487" t="s">
        <v>299</v>
      </c>
      <c r="AS972" s="487">
        <f>+VLOOKUP($AJ972,Data_Validation!$A:$E,5,0)</f>
        <v>0</v>
      </c>
      <c r="AT972" s="904" t="str">
        <f t="shared" si="95"/>
        <v>G67623</v>
      </c>
      <c r="AU972" s="488" t="str">
        <f t="shared" si="96"/>
        <v>COUT -LOC COURT INT-BODY</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2920</v>
      </c>
      <c r="D973" s="706" t="s">
        <v>2921</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G67625</v>
      </c>
      <c r="AK973" s="905" t="str">
        <f t="shared" si="93"/>
        <v>COUT - LOC COURT CONCES B</v>
      </c>
      <c r="AL973" s="905">
        <f>IFERROR(INDEX(G973:R973,1,MATCH(Parametres!$B$3,G$1:R$1,0)-1)*IF(OR(F973="L",F973="S",F973="I"),-1,1),"")</f>
        <v>0</v>
      </c>
      <c r="AM973" s="905">
        <f t="shared" si="94"/>
        <v>0</v>
      </c>
      <c r="AN973" s="905">
        <f>INDEX(G973:R973,1,MATCH(Parametres!$B$3,G$1:R$1,0))*IF(OR(F973="L",F973="S",F973="I"),-1,1)</f>
        <v>0</v>
      </c>
      <c r="AO973" s="487" t="str">
        <f>+VLOOKUP($AJ973,Data_Validation!$A:$D,1,0)</f>
        <v>G67625</v>
      </c>
      <c r="AP973" s="487">
        <f>+VLOOKUP($AJ973,Data_Validation!$A:$D,3,0)</f>
        <v>0</v>
      </c>
      <c r="AQ973" s="487">
        <f>+VLOOKUP($AJ973,Data_Validation!$A:$D,4,0)</f>
        <v>0</v>
      </c>
      <c r="AR973" s="487" t="s">
        <v>299</v>
      </c>
      <c r="AS973" s="487">
        <f>+VLOOKUP($AJ973,Data_Validation!$A:$E,5,0)</f>
        <v>0</v>
      </c>
      <c r="AT973" s="904" t="str">
        <f t="shared" si="95"/>
        <v>G67625</v>
      </c>
      <c r="AU973" s="488" t="str">
        <f t="shared" si="96"/>
        <v>COUT - LOC COURT CONCES B</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customHeight="1">
      <c r="A974" s="706" t="s">
        <v>1148</v>
      </c>
      <c r="B974" s="706">
        <v>2026</v>
      </c>
      <c r="C974" s="706" t="s">
        <v>2922</v>
      </c>
      <c r="D974" s="706" t="s">
        <v>2923</v>
      </c>
      <c r="E974" s="706" t="s">
        <v>333</v>
      </c>
      <c r="F974" s="706" t="s">
        <v>1152</v>
      </c>
      <c r="G974" s="706">
        <v>0</v>
      </c>
      <c r="H974" s="706">
        <v>0</v>
      </c>
      <c r="I974" s="706">
        <v>0</v>
      </c>
      <c r="J974" s="706">
        <v>0</v>
      </c>
      <c r="K974" s="706">
        <v>49.03</v>
      </c>
      <c r="L974" s="706">
        <v>49.03</v>
      </c>
      <c r="M974" s="706">
        <v>49.03</v>
      </c>
      <c r="N974" s="706">
        <v>49.03</v>
      </c>
      <c r="O974" s="706">
        <v>49.03</v>
      </c>
      <c r="P974" s="706">
        <v>0</v>
      </c>
      <c r="Q974" s="706">
        <v>0</v>
      </c>
      <c r="R974" s="706">
        <v>0</v>
      </c>
      <c r="S974" s="706">
        <v>6.13</v>
      </c>
      <c r="T974" s="706">
        <v>6.13</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G67700</v>
      </c>
      <c r="AK974" s="905" t="str">
        <f t="shared" si="93"/>
        <v>COUT P&amp;A CLIENT CARROSSER</v>
      </c>
      <c r="AL974" s="905">
        <f>IFERROR(INDEX(G974:R974,1,MATCH(Parametres!$B$3,G$1:R$1,0)-1)*IF(OR(F974="L",F974="S",F974="I"),-1,1),"")</f>
        <v>49.03</v>
      </c>
      <c r="AM974" s="905">
        <f t="shared" si="94"/>
        <v>0</v>
      </c>
      <c r="AN974" s="905">
        <f>INDEX(G974:R974,1,MATCH(Parametres!$B$3,G$1:R$1,0))*IF(OR(F974="L",F974="S",F974="I"),-1,1)</f>
        <v>49.03</v>
      </c>
      <c r="AO974" s="487" t="str">
        <f>+VLOOKUP($AJ974,Data_Validation!$A:$D,1,0)</f>
        <v>G67700</v>
      </c>
      <c r="AP974" s="487" t="str">
        <f>+VLOOKUP($AJ974,Data_Validation!$A:$D,3,0)</f>
        <v>Pièces</v>
      </c>
      <c r="AQ974" s="487" t="str">
        <f>+VLOOKUP($AJ974,Data_Validation!$A:$D,4,0)</f>
        <v>Pièces Ro Carrosserie</v>
      </c>
      <c r="AR974" s="487" t="s">
        <v>299</v>
      </c>
      <c r="AS974" s="487">
        <f>+VLOOKUP($AJ974,Data_Validation!$A:$E,5,0)</f>
        <v>0</v>
      </c>
      <c r="AT974" s="904" t="str">
        <f t="shared" si="95"/>
        <v>G67700</v>
      </c>
      <c r="AU974" s="488" t="str">
        <f t="shared" si="96"/>
        <v>COUT P&amp;A CLIENT CARROSSER</v>
      </c>
      <c r="AV974" s="899">
        <f>IFERROR(INDEX(V974:AG974,1,MATCH(Parametres!$B$3,V$1:AG$1,0)-1)*IF(OR(C974="L",C974="S",C974="I"),-1,1),"")</f>
        <v>0</v>
      </c>
      <c r="AW974" s="899">
        <f t="shared" si="97"/>
        <v>0</v>
      </c>
      <c r="AX974" s="899">
        <f>INDEX(V974:AG974,1,MATCH(Parametres!$B$3,V$1:AG$1,0))*IF(OR(C974="L",C974="S",C974="I"),-1,1)</f>
        <v>0</v>
      </c>
      <c r="AY974" s="487" t="s">
        <v>337</v>
      </c>
      <c r="AZ974" s="487">
        <f>+VLOOKUP($AJ974,Data_Validation!$A:$E,5,0)</f>
        <v>0</v>
      </c>
    </row>
    <row r="975" spans="1:52" ht="15" customHeight="1">
      <c r="A975" s="706" t="s">
        <v>1148</v>
      </c>
      <c r="B975" s="706">
        <v>2026</v>
      </c>
      <c r="C975" s="706" t="s">
        <v>2924</v>
      </c>
      <c r="D975" s="706" t="s">
        <v>2925</v>
      </c>
      <c r="E975" s="706" t="s">
        <v>333</v>
      </c>
      <c r="F975" s="706" t="s">
        <v>1152</v>
      </c>
      <c r="G975" s="706">
        <v>0</v>
      </c>
      <c r="H975" s="706">
        <v>0</v>
      </c>
      <c r="I975" s="706">
        <v>0</v>
      </c>
      <c r="J975" s="706">
        <v>0</v>
      </c>
      <c r="K975" s="706">
        <v>0</v>
      </c>
      <c r="L975" s="706">
        <v>0</v>
      </c>
      <c r="M975" s="706">
        <v>0</v>
      </c>
      <c r="N975" s="706">
        <v>0</v>
      </c>
      <c r="O975" s="706">
        <v>0</v>
      </c>
      <c r="P975" s="706">
        <v>0</v>
      </c>
      <c r="Q975" s="706">
        <v>0</v>
      </c>
      <c r="R975" s="706">
        <v>0</v>
      </c>
      <c r="S975" s="706">
        <v>0</v>
      </c>
      <c r="T975" s="706">
        <v>0</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G67800</v>
      </c>
      <c r="AK975" s="905" t="str">
        <f t="shared" si="93"/>
        <v>COUT-PCE BODY CLIENT CAM</v>
      </c>
      <c r="AL975" s="905">
        <f>IFERROR(INDEX(G975:R975,1,MATCH(Parametres!$B$3,G$1:R$1,0)-1)*IF(OR(F975="L",F975="S",F975="I"),-1,1),"")</f>
        <v>0</v>
      </c>
      <c r="AM975" s="905">
        <f t="shared" si="94"/>
        <v>0</v>
      </c>
      <c r="AN975" s="905">
        <f>INDEX(G975:R975,1,MATCH(Parametres!$B$3,G$1:R$1,0))*IF(OR(F975="L",F975="S",F975="I"),-1,1)</f>
        <v>0</v>
      </c>
      <c r="AO975" s="487" t="str">
        <f>+VLOOKUP($AJ975,Data_Validation!$A:$D,1,0)</f>
        <v>G67800</v>
      </c>
      <c r="AP975" s="487">
        <f>+VLOOKUP($AJ975,Data_Validation!$A:$D,3,0)</f>
        <v>0</v>
      </c>
      <c r="AQ975" s="487">
        <f>+VLOOKUP($AJ975,Data_Validation!$A:$D,4,0)</f>
        <v>0</v>
      </c>
      <c r="AR975" s="487" t="s">
        <v>299</v>
      </c>
      <c r="AS975" s="487">
        <f>+VLOOKUP($AJ975,Data_Validation!$A:$E,5,0)</f>
        <v>0</v>
      </c>
      <c r="AT975" s="904" t="str">
        <f t="shared" si="95"/>
        <v>G67800</v>
      </c>
      <c r="AU975" s="488" t="str">
        <f t="shared" si="96"/>
        <v>COUT-PCE BODY CLIENT CAM</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customHeight="1">
      <c r="A976" s="706" t="s">
        <v>1148</v>
      </c>
      <c r="B976" s="706">
        <v>2026</v>
      </c>
      <c r="C976" s="706" t="s">
        <v>2926</v>
      </c>
      <c r="D976" s="706" t="s">
        <v>2927</v>
      </c>
      <c r="E976" s="706" t="s">
        <v>333</v>
      </c>
      <c r="F976" s="706" t="s">
        <v>1152</v>
      </c>
      <c r="G976" s="706">
        <v>0</v>
      </c>
      <c r="H976" s="706">
        <v>0</v>
      </c>
      <c r="I976" s="706">
        <v>0</v>
      </c>
      <c r="J976" s="706">
        <v>0</v>
      </c>
      <c r="K976" s="706">
        <v>0</v>
      </c>
      <c r="L976" s="706">
        <v>0</v>
      </c>
      <c r="M976" s="706">
        <v>0</v>
      </c>
      <c r="N976" s="706">
        <v>0</v>
      </c>
      <c r="O976" s="706">
        <v>0</v>
      </c>
      <c r="P976" s="706">
        <v>0</v>
      </c>
      <c r="Q976" s="706">
        <v>0</v>
      </c>
      <c r="R976" s="706">
        <v>0</v>
      </c>
      <c r="S976" s="706">
        <v>0</v>
      </c>
      <c r="T976" s="706">
        <v>0</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G67840</v>
      </c>
      <c r="AK976" s="905" t="str">
        <f t="shared" si="93"/>
        <v>COUT-P&amp;A GOODW CAM MOYEN</v>
      </c>
      <c r="AL976" s="905">
        <f>IFERROR(INDEX(G976:R976,1,MATCH(Parametres!$B$3,G$1:R$1,0)-1)*IF(OR(F976="L",F976="S",F976="I"),-1,1),"")</f>
        <v>0</v>
      </c>
      <c r="AM976" s="905">
        <f t="shared" si="94"/>
        <v>0</v>
      </c>
      <c r="AN976" s="905">
        <f>INDEX(G976:R976,1,MATCH(Parametres!$B$3,G$1:R$1,0))*IF(OR(F976="L",F976="S",F976="I"),-1,1)</f>
        <v>0</v>
      </c>
      <c r="AO976" s="487" t="e">
        <f>+VLOOKUP($AJ976,Data_Validation!$A:$D,1,0)</f>
        <v>#N/A</v>
      </c>
      <c r="AP976" s="487" t="e">
        <f>+VLOOKUP($AJ976,Data_Validation!$A:$D,3,0)</f>
        <v>#N/A</v>
      </c>
      <c r="AQ976" s="487" t="e">
        <f>+VLOOKUP($AJ976,Data_Validation!$A:$D,4,0)</f>
        <v>#N/A</v>
      </c>
      <c r="AR976" s="487" t="s">
        <v>299</v>
      </c>
      <c r="AS976" s="487" t="e">
        <f>+VLOOKUP($AJ976,Data_Validation!$A:$E,5,0)</f>
        <v>#N/A</v>
      </c>
      <c r="AT976" s="904" t="str">
        <f t="shared" si="95"/>
        <v>G67840</v>
      </c>
      <c r="AU976" s="488" t="str">
        <f t="shared" si="96"/>
        <v>COUT-P&amp;A GOODW CAM MOYEN</v>
      </c>
      <c r="AV976" s="899">
        <f>IFERROR(INDEX(V976:AG976,1,MATCH(Parametres!$B$3,V$1:AG$1,0)-1)*IF(OR(C976="L",C976="S",C976="I"),-1,1),"")</f>
        <v>0</v>
      </c>
      <c r="AW976" s="899">
        <f t="shared" si="97"/>
        <v>0</v>
      </c>
      <c r="AX976" s="899">
        <f>INDEX(V976:AG976,1,MATCH(Parametres!$B$3,V$1:AG$1,0))*IF(OR(C976="L",C976="S",C976="I"),-1,1)</f>
        <v>0</v>
      </c>
      <c r="AY976" s="487" t="s">
        <v>337</v>
      </c>
      <c r="AZ976" s="487" t="e">
        <f>+VLOOKUP($AJ976,Data_Validation!$A:$E,5,0)</f>
        <v>#N/A</v>
      </c>
    </row>
    <row r="977" spans="1:52" ht="15" customHeight="1">
      <c r="A977" s="706" t="s">
        <v>1148</v>
      </c>
      <c r="B977" s="706">
        <v>2026</v>
      </c>
      <c r="C977" s="706" t="s">
        <v>2928</v>
      </c>
      <c r="D977" s="706" t="s">
        <v>2929</v>
      </c>
      <c r="E977" s="706" t="s">
        <v>333</v>
      </c>
      <c r="F977" s="706" t="s">
        <v>1152</v>
      </c>
      <c r="G977" s="706">
        <v>14720.33</v>
      </c>
      <c r="H977" s="706">
        <v>34336.69</v>
      </c>
      <c r="I977" s="706">
        <v>49738.05</v>
      </c>
      <c r="J977" s="706">
        <v>81691.16</v>
      </c>
      <c r="K977" s="706">
        <v>88785.44</v>
      </c>
      <c r="L977" s="706">
        <v>95870.11</v>
      </c>
      <c r="M977" s="706">
        <v>102457.29</v>
      </c>
      <c r="N977" s="706">
        <v>108314.23</v>
      </c>
      <c r="O977" s="706">
        <v>114048.92</v>
      </c>
      <c r="P977" s="706">
        <v>0</v>
      </c>
      <c r="Q977" s="706">
        <v>0</v>
      </c>
      <c r="R977" s="706">
        <v>0</v>
      </c>
      <c r="S977" s="706">
        <v>13539.28</v>
      </c>
      <c r="T977" s="706">
        <v>13539.28</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G67900</v>
      </c>
      <c r="AK977" s="905" t="str">
        <f t="shared" si="93"/>
        <v>COUT-PEINTURE CARROSSERIE</v>
      </c>
      <c r="AL977" s="905">
        <f>IFERROR(INDEX(G977:R977,1,MATCH(Parametres!$B$3,G$1:R$1,0)-1)*IF(OR(F977="L",F977="S",F977="I"),-1,1),"")</f>
        <v>102457.29</v>
      </c>
      <c r="AM977" s="905">
        <f t="shared" si="94"/>
        <v>5856.9400000000023</v>
      </c>
      <c r="AN977" s="905">
        <f>INDEX(G977:R977,1,MATCH(Parametres!$B$3,G$1:R$1,0))*IF(OR(F977="L",F977="S",F977="I"),-1,1)</f>
        <v>108314.23</v>
      </c>
      <c r="AO977" s="487" t="str">
        <f>+VLOOKUP($AJ977,Data_Validation!$A:$D,1,0)</f>
        <v>G67900</v>
      </c>
      <c r="AP977" s="487" t="str">
        <f>+VLOOKUP($AJ977,Data_Validation!$A:$D,3,0)</f>
        <v>Carrosserie</v>
      </c>
      <c r="AQ977" s="487" t="str">
        <f>+VLOOKUP($AJ977,Data_Validation!$A:$D,4,0)</f>
        <v>Carrosserie Clients</v>
      </c>
      <c r="AR977" s="487" t="s">
        <v>299</v>
      </c>
      <c r="AS977" s="487">
        <f>+VLOOKUP($AJ977,Data_Validation!$A:$E,5,0)</f>
        <v>0</v>
      </c>
      <c r="AT977" s="904" t="str">
        <f t="shared" si="95"/>
        <v>G67900</v>
      </c>
      <c r="AU977" s="488" t="str">
        <f t="shared" si="96"/>
        <v>COUT-PEINTURE CARROSSERIE</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customHeight="1">
      <c r="A978" s="706" t="s">
        <v>1148</v>
      </c>
      <c r="B978" s="706">
        <v>2026</v>
      </c>
      <c r="C978" s="706" t="s">
        <v>2930</v>
      </c>
      <c r="D978" s="706" t="s">
        <v>2931</v>
      </c>
      <c r="E978" s="706" t="s">
        <v>333</v>
      </c>
      <c r="F978" s="706" t="s">
        <v>1152</v>
      </c>
      <c r="G978" s="706">
        <v>0</v>
      </c>
      <c r="H978" s="706">
        <v>0</v>
      </c>
      <c r="I978" s="706">
        <v>0</v>
      </c>
      <c r="J978" s="706">
        <v>0</v>
      </c>
      <c r="K978" s="706">
        <v>144.72</v>
      </c>
      <c r="L978" s="706">
        <v>604.91</v>
      </c>
      <c r="M978" s="706">
        <v>1041.71</v>
      </c>
      <c r="N978" s="706">
        <v>2056.25</v>
      </c>
      <c r="O978" s="706">
        <v>2514.67</v>
      </c>
      <c r="P978" s="706">
        <v>0</v>
      </c>
      <c r="Q978" s="706">
        <v>0</v>
      </c>
      <c r="R978" s="706">
        <v>0</v>
      </c>
      <c r="S978" s="706">
        <v>257.02999999999997</v>
      </c>
      <c r="T978" s="706">
        <v>257.02999999999997</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G67903</v>
      </c>
      <c r="AK978" s="905" t="str">
        <f t="shared" si="93"/>
        <v>COUT - PEINT. INTERN-BODY</v>
      </c>
      <c r="AL978" s="905">
        <f>IFERROR(INDEX(G978:R978,1,MATCH(Parametres!$B$3,G$1:R$1,0)-1)*IF(OR(F978="L",F978="S",F978="I"),-1,1),"")</f>
        <v>1041.71</v>
      </c>
      <c r="AM978" s="905">
        <f t="shared" si="94"/>
        <v>1014.54</v>
      </c>
      <c r="AN978" s="905">
        <f>INDEX(G978:R978,1,MATCH(Parametres!$B$3,G$1:R$1,0))*IF(OR(F978="L",F978="S",F978="I"),-1,1)</f>
        <v>2056.25</v>
      </c>
      <c r="AO978" s="487" t="str">
        <f>+VLOOKUP($AJ978,Data_Validation!$A:$D,1,0)</f>
        <v>G67903</v>
      </c>
      <c r="AP978" s="487" t="str">
        <f>+VLOOKUP($AJ978,Data_Validation!$A:$D,3,0)</f>
        <v>Carrosserie</v>
      </c>
      <c r="AQ978" s="487" t="str">
        <f>+VLOOKUP($AJ978,Data_Validation!$A:$D,4,0)</f>
        <v>Carrosserie Interne</v>
      </c>
      <c r="AR978" s="487" t="s">
        <v>299</v>
      </c>
      <c r="AS978" s="487">
        <f>+VLOOKUP($AJ978,Data_Validation!$A:$E,5,0)</f>
        <v>0</v>
      </c>
      <c r="AT978" s="904" t="str">
        <f t="shared" si="95"/>
        <v>G67903</v>
      </c>
      <c r="AU978" s="488" t="str">
        <f t="shared" si="96"/>
        <v>COUT - PEINT. INTERN-BODY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customHeight="1">
      <c r="A979" s="706" t="s">
        <v>1148</v>
      </c>
      <c r="B979" s="706">
        <v>2026</v>
      </c>
      <c r="C979" s="706" t="s">
        <v>2932</v>
      </c>
      <c r="D979" s="706" t="s">
        <v>2933</v>
      </c>
      <c r="E979" s="706" t="s">
        <v>333</v>
      </c>
      <c r="F979" s="706" t="s">
        <v>1152</v>
      </c>
      <c r="G979" s="706">
        <v>0</v>
      </c>
      <c r="H979" s="706">
        <v>0</v>
      </c>
      <c r="I979" s="706">
        <v>0</v>
      </c>
      <c r="J979" s="706">
        <v>0</v>
      </c>
      <c r="K979" s="706">
        <v>5172.5</v>
      </c>
      <c r="L979" s="706">
        <v>12665.99</v>
      </c>
      <c r="M979" s="706">
        <v>16965.189999999999</v>
      </c>
      <c r="N979" s="706">
        <v>20886.900000000001</v>
      </c>
      <c r="O979" s="706">
        <v>23258.55</v>
      </c>
      <c r="P979" s="706">
        <v>0</v>
      </c>
      <c r="Q979" s="706">
        <v>0</v>
      </c>
      <c r="R979" s="706">
        <v>0</v>
      </c>
      <c r="S979" s="706">
        <v>2610.86</v>
      </c>
      <c r="T979" s="706">
        <v>2610.86</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G67905</v>
      </c>
      <c r="AK979" s="905" t="str">
        <f t="shared" si="93"/>
        <v>COUT - PEINT CONC-BODY</v>
      </c>
      <c r="AL979" s="905">
        <f>IFERROR(INDEX(G979:R979,1,MATCH(Parametres!$B$3,G$1:R$1,0)-1)*IF(OR(F979="L",F979="S",F979="I"),-1,1),"")</f>
        <v>16965.189999999999</v>
      </c>
      <c r="AM979" s="905">
        <f t="shared" si="94"/>
        <v>3921.7100000000028</v>
      </c>
      <c r="AN979" s="905">
        <f>INDEX(G979:R979,1,MATCH(Parametres!$B$3,G$1:R$1,0))*IF(OR(F979="L",F979="S",F979="I"),-1,1)</f>
        <v>20886.900000000001</v>
      </c>
      <c r="AO979" s="487" t="str">
        <f>+VLOOKUP($AJ979,Data_Validation!$A:$D,1,0)</f>
        <v>G67905</v>
      </c>
      <c r="AP979" s="487" t="str">
        <f>+VLOOKUP($AJ979,Data_Validation!$A:$D,3,0)</f>
        <v>Carrosserie</v>
      </c>
      <c r="AQ979" s="487" t="str">
        <f>+VLOOKUP($AJ979,Data_Validation!$A:$D,4,0)</f>
        <v>Carrosserie Concessions</v>
      </c>
      <c r="AR979" s="487" t="s">
        <v>299</v>
      </c>
      <c r="AS979" s="487">
        <f>+VLOOKUP($AJ979,Data_Validation!$A:$E,5,0)</f>
        <v>0</v>
      </c>
      <c r="AT979" s="904" t="str">
        <f t="shared" si="95"/>
        <v>G67905</v>
      </c>
      <c r="AU979" s="488" t="str">
        <f t="shared" si="96"/>
        <v>COUT - PEINT CONC-BODY</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2934</v>
      </c>
      <c r="D980" s="706" t="s">
        <v>2935</v>
      </c>
      <c r="E980" s="706" t="s">
        <v>333</v>
      </c>
      <c r="F980" s="706" t="s">
        <v>1152</v>
      </c>
      <c r="G980" s="706">
        <v>0</v>
      </c>
      <c r="H980" s="706">
        <v>0</v>
      </c>
      <c r="I980" s="706">
        <v>0</v>
      </c>
      <c r="J980" s="706">
        <v>0</v>
      </c>
      <c r="K980" s="706">
        <v>2097.5500000000002</v>
      </c>
      <c r="L980" s="706">
        <v>7486.2</v>
      </c>
      <c r="M980" s="706">
        <v>10691.89</v>
      </c>
      <c r="N980" s="706">
        <v>13259.36</v>
      </c>
      <c r="O980" s="706">
        <v>17505.64</v>
      </c>
      <c r="P980" s="706">
        <v>0</v>
      </c>
      <c r="Q980" s="706">
        <v>0</v>
      </c>
      <c r="R980" s="706">
        <v>0</v>
      </c>
      <c r="S980" s="706">
        <v>1657.42</v>
      </c>
      <c r="T980" s="706">
        <v>1657.42</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G67910</v>
      </c>
      <c r="AK980" s="905" t="str">
        <f t="shared" si="93"/>
        <v>COUT -M-ATELIER CLT-BODY</v>
      </c>
      <c r="AL980" s="905">
        <f>IFERROR(INDEX(G980:R980,1,MATCH(Parametres!$B$3,G$1:R$1,0)-1)*IF(OR(F980="L",F980="S",F980="I"),-1,1),"")</f>
        <v>10691.89</v>
      </c>
      <c r="AM980" s="905">
        <f t="shared" si="94"/>
        <v>2567.4700000000012</v>
      </c>
      <c r="AN980" s="905">
        <f>INDEX(G980:R980,1,MATCH(Parametres!$B$3,G$1:R$1,0))*IF(OR(F980="L",F980="S",F980="I"),-1,1)</f>
        <v>13259.36</v>
      </c>
      <c r="AO980" s="487" t="str">
        <f>+VLOOKUP($AJ980,Data_Validation!$A:$D,1,0)</f>
        <v>G67910</v>
      </c>
      <c r="AP980" s="487" t="str">
        <f>+VLOOKUP($AJ980,Data_Validation!$A:$D,3,0)</f>
        <v>Carrosserie</v>
      </c>
      <c r="AQ980" s="487" t="str">
        <f>+VLOOKUP($AJ980,Data_Validation!$A:$D,4,0)</f>
        <v>Carrosserie Clients</v>
      </c>
      <c r="AR980" s="487" t="s">
        <v>299</v>
      </c>
      <c r="AS980" s="487">
        <f>+VLOOKUP($AJ980,Data_Validation!$A:$E,5,0)</f>
        <v>0</v>
      </c>
      <c r="AT980" s="904" t="str">
        <f t="shared" si="95"/>
        <v>G67910</v>
      </c>
      <c r="AU980" s="488" t="str">
        <f t="shared" si="96"/>
        <v>COUT -M-ATELIER CLT-BODY</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customHeight="1">
      <c r="A981" s="706" t="s">
        <v>1148</v>
      </c>
      <c r="B981" s="706">
        <v>2026</v>
      </c>
      <c r="C981" s="706" t="s">
        <v>2936</v>
      </c>
      <c r="D981" s="706" t="s">
        <v>2937</v>
      </c>
      <c r="E981" s="706" t="s">
        <v>333</v>
      </c>
      <c r="F981" s="706" t="s">
        <v>1152</v>
      </c>
      <c r="G981" s="706">
        <v>0</v>
      </c>
      <c r="H981" s="706">
        <v>0</v>
      </c>
      <c r="I981" s="706">
        <v>0</v>
      </c>
      <c r="J981" s="706">
        <v>0</v>
      </c>
      <c r="K981" s="706">
        <v>135.33000000000001</v>
      </c>
      <c r="L981" s="706">
        <v>430.08</v>
      </c>
      <c r="M981" s="706">
        <v>576.52</v>
      </c>
      <c r="N981" s="706">
        <v>1023.78</v>
      </c>
      <c r="O981" s="706">
        <v>1223.8800000000001</v>
      </c>
      <c r="P981" s="706">
        <v>0</v>
      </c>
      <c r="Q981" s="706">
        <v>0</v>
      </c>
      <c r="R981" s="706">
        <v>0</v>
      </c>
      <c r="S981" s="706">
        <v>127.97</v>
      </c>
      <c r="T981" s="706">
        <v>127.97</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G67913</v>
      </c>
      <c r="AK981" s="905" t="str">
        <f t="shared" si="93"/>
        <v>COUT -M. ATEL.INTERN-BODY</v>
      </c>
      <c r="AL981" s="905">
        <f>IFERROR(INDEX(G981:R981,1,MATCH(Parametres!$B$3,G$1:R$1,0)-1)*IF(OR(F981="L",F981="S",F981="I"),-1,1),"")</f>
        <v>576.52</v>
      </c>
      <c r="AM981" s="905">
        <f t="shared" si="94"/>
        <v>447.26</v>
      </c>
      <c r="AN981" s="905">
        <f>INDEX(G981:R981,1,MATCH(Parametres!$B$3,G$1:R$1,0))*IF(OR(F981="L",F981="S",F981="I"),-1,1)</f>
        <v>1023.78</v>
      </c>
      <c r="AO981" s="487" t="str">
        <f>+VLOOKUP($AJ981,Data_Validation!$A:$D,1,0)</f>
        <v>G67913</v>
      </c>
      <c r="AP981" s="487" t="str">
        <f>+VLOOKUP($AJ981,Data_Validation!$A:$D,3,0)</f>
        <v>Carrosserie</v>
      </c>
      <c r="AQ981" s="487" t="str">
        <f>+VLOOKUP($AJ981,Data_Validation!$A:$D,4,0)</f>
        <v>Carrosserie Interne</v>
      </c>
      <c r="AR981" s="487" t="s">
        <v>299</v>
      </c>
      <c r="AS981" s="487">
        <f>+VLOOKUP($AJ981,Data_Validation!$A:$E,5,0)</f>
        <v>0</v>
      </c>
      <c r="AT981" s="904" t="str">
        <f t="shared" si="95"/>
        <v>G67913</v>
      </c>
      <c r="AU981" s="488" t="str">
        <f t="shared" si="96"/>
        <v>COUT -M. ATEL.INTERN-BODY</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customHeight="1">
      <c r="A982" s="706" t="s">
        <v>1148</v>
      </c>
      <c r="B982" s="706">
        <v>2026</v>
      </c>
      <c r="C982" s="706" t="s">
        <v>2938</v>
      </c>
      <c r="D982" s="706" t="s">
        <v>2939</v>
      </c>
      <c r="E982" s="706" t="s">
        <v>333</v>
      </c>
      <c r="F982" s="706" t="s">
        <v>1152</v>
      </c>
      <c r="G982" s="706">
        <v>0</v>
      </c>
      <c r="H982" s="706">
        <v>0</v>
      </c>
      <c r="I982" s="706">
        <v>0</v>
      </c>
      <c r="J982" s="706">
        <v>0</v>
      </c>
      <c r="K982" s="706">
        <v>917.14</v>
      </c>
      <c r="L982" s="706">
        <v>4198.8900000000003</v>
      </c>
      <c r="M982" s="706">
        <v>5956.44</v>
      </c>
      <c r="N982" s="706">
        <v>7822.78</v>
      </c>
      <c r="O982" s="706">
        <v>9084.4500000000007</v>
      </c>
      <c r="P982" s="706">
        <v>0</v>
      </c>
      <c r="Q982" s="706">
        <v>0</v>
      </c>
      <c r="R982" s="706">
        <v>0</v>
      </c>
      <c r="S982" s="706">
        <v>977.85</v>
      </c>
      <c r="T982" s="706">
        <v>977.85</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G67915</v>
      </c>
      <c r="AK982" s="905" t="str">
        <f t="shared" si="93"/>
        <v>COUT -M.A CONCES. BODY</v>
      </c>
      <c r="AL982" s="905">
        <f>IFERROR(INDEX(G982:R982,1,MATCH(Parametres!$B$3,G$1:R$1,0)-1)*IF(OR(F982="L",F982="S",F982="I"),-1,1),"")</f>
        <v>5956.44</v>
      </c>
      <c r="AM982" s="905">
        <f t="shared" si="94"/>
        <v>1866.3400000000001</v>
      </c>
      <c r="AN982" s="905">
        <f>INDEX(G982:R982,1,MATCH(Parametres!$B$3,G$1:R$1,0))*IF(OR(F982="L",F982="S",F982="I"),-1,1)</f>
        <v>7822.78</v>
      </c>
      <c r="AO982" s="487" t="str">
        <f>+VLOOKUP($AJ982,Data_Validation!$A:$D,1,0)</f>
        <v>G67915</v>
      </c>
      <c r="AP982" s="487" t="str">
        <f>+VLOOKUP($AJ982,Data_Validation!$A:$D,3,0)</f>
        <v>Carrosserie</v>
      </c>
      <c r="AQ982" s="487" t="str">
        <f>+VLOOKUP($AJ982,Data_Validation!$A:$D,4,0)</f>
        <v>Carrosserie Concessions</v>
      </c>
      <c r="AR982" s="487" t="s">
        <v>299</v>
      </c>
      <c r="AS982" s="487">
        <f>+VLOOKUP($AJ982,Data_Validation!$A:$E,5,0)</f>
        <v>0</v>
      </c>
      <c r="AT982" s="904" t="str">
        <f t="shared" si="95"/>
        <v>G67915</v>
      </c>
      <c r="AU982" s="488" t="str">
        <f t="shared" si="96"/>
        <v>COUT -M.A CONCES. BODY</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2940</v>
      </c>
      <c r="D983" s="706" t="s">
        <v>2941</v>
      </c>
      <c r="E983" s="706" t="s">
        <v>333</v>
      </c>
      <c r="F983" s="706" t="s">
        <v>1152</v>
      </c>
      <c r="G983" s="706">
        <v>39483.879999999997</v>
      </c>
      <c r="H983" s="706">
        <v>76073.990000000005</v>
      </c>
      <c r="I983" s="706">
        <v>130785.66</v>
      </c>
      <c r="J983" s="706">
        <v>172149.29</v>
      </c>
      <c r="K983" s="706">
        <v>191580.21</v>
      </c>
      <c r="L983" s="706">
        <v>255802.79</v>
      </c>
      <c r="M983" s="706">
        <v>294788.87</v>
      </c>
      <c r="N983" s="706">
        <v>356817.75</v>
      </c>
      <c r="O983" s="706">
        <v>373618.19</v>
      </c>
      <c r="P983" s="706">
        <v>0</v>
      </c>
      <c r="Q983" s="706">
        <v>0</v>
      </c>
      <c r="R983" s="706">
        <v>0</v>
      </c>
      <c r="S983" s="706">
        <v>44602.22</v>
      </c>
      <c r="T983" s="706">
        <v>44602.22</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G68000</v>
      </c>
      <c r="AK983" s="905" t="str">
        <f t="shared" si="93"/>
        <v>COUT-PIECE GARANTIE</v>
      </c>
      <c r="AL983" s="905">
        <f>IFERROR(INDEX(G983:R983,1,MATCH(Parametres!$B$3,G$1:R$1,0)-1)*IF(OR(F983="L",F983="S",F983="I"),-1,1),"")</f>
        <v>294788.87</v>
      </c>
      <c r="AM983" s="905">
        <f t="shared" si="94"/>
        <v>62028.880000000005</v>
      </c>
      <c r="AN983" s="905">
        <f>INDEX(G983:R983,1,MATCH(Parametres!$B$3,G$1:R$1,0))*IF(OR(F983="L",F983="S",F983="I"),-1,1)</f>
        <v>356817.75</v>
      </c>
      <c r="AO983" s="487" t="str">
        <f>+VLOOKUP($AJ983,Data_Validation!$A:$D,1,0)</f>
        <v>G68000</v>
      </c>
      <c r="AP983" s="487" t="str">
        <f>+VLOOKUP($AJ983,Data_Validation!$A:$D,3,0)</f>
        <v>Pièces</v>
      </c>
      <c r="AQ983" s="487" t="str">
        <f>+VLOOKUP($AJ983,Data_Validation!$A:$D,4,0)</f>
        <v>P/A Garantie</v>
      </c>
      <c r="AR983" s="487" t="s">
        <v>299</v>
      </c>
      <c r="AS983" s="487">
        <f>+VLOOKUP($AJ983,Data_Validation!$A:$E,5,0)</f>
        <v>0</v>
      </c>
      <c r="AT983" s="904" t="str">
        <f t="shared" si="95"/>
        <v>G68000</v>
      </c>
      <c r="AU983" s="488" t="str">
        <f t="shared" si="96"/>
        <v>COUT-PIECE GARANTIE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customHeight="1">
      <c r="A984" s="706" t="s">
        <v>1148</v>
      </c>
      <c r="B984" s="706">
        <v>2026</v>
      </c>
      <c r="C984" s="706" t="s">
        <v>2942</v>
      </c>
      <c r="D984" s="706" t="s">
        <v>2943</v>
      </c>
      <c r="E984" s="706" t="s">
        <v>333</v>
      </c>
      <c r="F984" s="706" t="s">
        <v>1152</v>
      </c>
      <c r="G984" s="706">
        <v>0</v>
      </c>
      <c r="H984" s="706">
        <v>0</v>
      </c>
      <c r="I984" s="706">
        <v>0</v>
      </c>
      <c r="J984" s="706">
        <v>0</v>
      </c>
      <c r="K984" s="706">
        <v>0</v>
      </c>
      <c r="L984" s="706">
        <v>0</v>
      </c>
      <c r="M984" s="706">
        <v>0</v>
      </c>
      <c r="N984" s="706">
        <v>0</v>
      </c>
      <c r="O984" s="706">
        <v>0</v>
      </c>
      <c r="P984" s="706">
        <v>0</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G68020</v>
      </c>
      <c r="AK984" s="905" t="str">
        <f t="shared" ref="AK984:AK1023" si="99">D984</f>
        <v>COUT-P&amp;A RECLAM.CAM MOYEN</v>
      </c>
      <c r="AL984" s="905">
        <f>IFERROR(INDEX(G984:R984,1,MATCH(Parametres!$B$3,G$1:R$1,0)-1)*IF(OR(F984="L",F984="S",F984="I"),-1,1),"")</f>
        <v>0</v>
      </c>
      <c r="AM984" s="905">
        <f t="shared" ref="AM984:AM1023" si="100">AN984-AL984</f>
        <v>0</v>
      </c>
      <c r="AN984" s="905">
        <f>INDEX(G984:R984,1,MATCH(Parametres!$B$3,G$1:R$1,0))*IF(OR(F984="L",F984="S",F984="I"),-1,1)</f>
        <v>0</v>
      </c>
      <c r="AO984" s="487" t="str">
        <f>+VLOOKUP($AJ984,Data_Validation!$A:$D,1,0)</f>
        <v>G68020</v>
      </c>
      <c r="AP984" s="487" t="str">
        <f>+VLOOKUP($AJ984,Data_Validation!$A:$D,3,0)</f>
        <v>Pièces</v>
      </c>
      <c r="AQ984" s="487" t="str">
        <f>+VLOOKUP($AJ984,Data_Validation!$A:$D,4,0)</f>
        <v>P/A Garantie</v>
      </c>
      <c r="AR984" s="487" t="s">
        <v>299</v>
      </c>
      <c r="AS984" s="487">
        <f>+VLOOKUP($AJ984,Data_Validation!$A:$E,5,0)</f>
        <v>0</v>
      </c>
      <c r="AT984" s="904" t="str">
        <f t="shared" ref="AT984:AT1023" si="101">C984</f>
        <v>G68020</v>
      </c>
      <c r="AU984" s="488" t="str">
        <f t="shared" ref="AU984:AU1023" si="102">D984</f>
        <v>COUT-P&amp;A RECLAM.CAM MOYEN</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customHeight="1">
      <c r="A985" s="706" t="s">
        <v>1148</v>
      </c>
      <c r="B985" s="706">
        <v>2026</v>
      </c>
      <c r="C985" s="706" t="s">
        <v>2944</v>
      </c>
      <c r="D985" s="706" t="s">
        <v>2945</v>
      </c>
      <c r="E985" s="706" t="s">
        <v>333</v>
      </c>
      <c r="F985" s="706" t="s">
        <v>1152</v>
      </c>
      <c r="G985" s="706">
        <v>29709.91</v>
      </c>
      <c r="H985" s="706">
        <v>68901.850000000006</v>
      </c>
      <c r="I985" s="706">
        <v>110629.82</v>
      </c>
      <c r="J985" s="706">
        <v>157545.79999999999</v>
      </c>
      <c r="K985" s="706">
        <v>185833.58</v>
      </c>
      <c r="L985" s="706">
        <v>218696.64</v>
      </c>
      <c r="M985" s="706">
        <v>248135.07</v>
      </c>
      <c r="N985" s="706">
        <v>274902.86</v>
      </c>
      <c r="O985" s="706">
        <v>290910.58</v>
      </c>
      <c r="P985" s="706">
        <v>0</v>
      </c>
      <c r="Q985" s="706">
        <v>0</v>
      </c>
      <c r="R985" s="706">
        <v>0</v>
      </c>
      <c r="S985" s="706">
        <v>34362.86</v>
      </c>
      <c r="T985" s="706">
        <v>34362.86</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G68100</v>
      </c>
      <c r="AK985" s="905" t="str">
        <f t="shared" si="99"/>
        <v>COUT-PIECES INTERNE</v>
      </c>
      <c r="AL985" s="905">
        <f>IFERROR(INDEX(G985:R985,1,MATCH(Parametres!$B$3,G$1:R$1,0)-1)*IF(OR(F985="L",F985="S",F985="I"),-1,1),"")</f>
        <v>248135.07</v>
      </c>
      <c r="AM985" s="905">
        <f t="shared" si="100"/>
        <v>26767.789999999979</v>
      </c>
      <c r="AN985" s="905">
        <f>INDEX(G985:R985,1,MATCH(Parametres!$B$3,G$1:R$1,0))*IF(OR(F985="L",F985="S",F985="I"),-1,1)</f>
        <v>274902.86</v>
      </c>
      <c r="AO985" s="487" t="str">
        <f>+VLOOKUP($AJ985,Data_Validation!$A:$D,1,0)</f>
        <v>G68100</v>
      </c>
      <c r="AP985" s="487" t="str">
        <f>+VLOOKUP($AJ985,Data_Validation!$A:$D,3,0)</f>
        <v>Pièces</v>
      </c>
      <c r="AQ985" s="487" t="str">
        <f>+VLOOKUP($AJ985,Data_Validation!$A:$D,4,0)</f>
        <v>Ventes Internes</v>
      </c>
      <c r="AR985" s="487" t="s">
        <v>299</v>
      </c>
      <c r="AS985" s="487">
        <f>+VLOOKUP($AJ985,Data_Validation!$A:$E,5,0)</f>
        <v>0</v>
      </c>
      <c r="AT985" s="904" t="str">
        <f t="shared" si="101"/>
        <v>G68100</v>
      </c>
      <c r="AU985" s="488" t="str">
        <f t="shared" si="102"/>
        <v>COUT-PIECES INTERNE</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2946</v>
      </c>
      <c r="D986" s="706" t="s">
        <v>2947</v>
      </c>
      <c r="E986" s="706" t="s">
        <v>333</v>
      </c>
      <c r="F986" s="706" t="s">
        <v>1152</v>
      </c>
      <c r="G986" s="706">
        <v>0</v>
      </c>
      <c r="H986" s="706">
        <v>0</v>
      </c>
      <c r="I986" s="706">
        <v>0</v>
      </c>
      <c r="J986" s="706">
        <v>0</v>
      </c>
      <c r="K986" s="706">
        <v>0</v>
      </c>
      <c r="L986" s="706">
        <v>0</v>
      </c>
      <c r="M986" s="706">
        <v>0</v>
      </c>
      <c r="N986" s="706">
        <v>0</v>
      </c>
      <c r="O986" s="706">
        <v>0</v>
      </c>
      <c r="P986" s="706">
        <v>0</v>
      </c>
      <c r="Q986" s="706">
        <v>0</v>
      </c>
      <c r="R986" s="706">
        <v>0</v>
      </c>
      <c r="S986" s="706">
        <v>0</v>
      </c>
      <c r="T986" s="706">
        <v>0</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G68120</v>
      </c>
      <c r="AK986" s="905" t="str">
        <f t="shared" si="99"/>
        <v>COUT-P&amp;A INTERN CAM MOYEN</v>
      </c>
      <c r="AL986" s="905">
        <f>IFERROR(INDEX(G986:R986,1,MATCH(Parametres!$B$3,G$1:R$1,0)-1)*IF(OR(F986="L",F986="S",F986="I"),-1,1),"")</f>
        <v>0</v>
      </c>
      <c r="AM986" s="905">
        <f t="shared" si="100"/>
        <v>0</v>
      </c>
      <c r="AN986" s="905">
        <f>INDEX(G986:R986,1,MATCH(Parametres!$B$3,G$1:R$1,0))*IF(OR(F986="L",F986="S",F986="I"),-1,1)</f>
        <v>0</v>
      </c>
      <c r="AO986" s="487" t="str">
        <f>+VLOOKUP($AJ986,Data_Validation!$A:$D,1,0)</f>
        <v>G68120</v>
      </c>
      <c r="AP986" s="487" t="str">
        <f>+VLOOKUP($AJ986,Data_Validation!$A:$D,3,0)</f>
        <v>Pièces</v>
      </c>
      <c r="AQ986" s="487" t="str">
        <f>+VLOOKUP($AJ986,Data_Validation!$A:$D,4,0)</f>
        <v>Ventes Internes</v>
      </c>
      <c r="AR986" s="487" t="s">
        <v>299</v>
      </c>
      <c r="AS986" s="487">
        <f>+VLOOKUP($AJ986,Data_Validation!$A:$E,5,0)</f>
        <v>0</v>
      </c>
      <c r="AT986" s="904" t="str">
        <f t="shared" si="101"/>
        <v>G68120</v>
      </c>
      <c r="AU986" s="488" t="str">
        <f t="shared" si="102"/>
        <v>COUT-P&amp;A INTERN CAM MOYEN</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customHeight="1">
      <c r="A987" s="706" t="s">
        <v>1148</v>
      </c>
      <c r="B987" s="706">
        <v>2026</v>
      </c>
      <c r="C987" s="706" t="s">
        <v>2948</v>
      </c>
      <c r="D987" s="706" t="s">
        <v>2949</v>
      </c>
      <c r="E987" s="706" t="s">
        <v>333</v>
      </c>
      <c r="F987" s="706" t="s">
        <v>1152</v>
      </c>
      <c r="G987" s="706">
        <v>21304.98</v>
      </c>
      <c r="H987" s="706">
        <v>37077.14</v>
      </c>
      <c r="I987" s="706">
        <v>69456.759999999995</v>
      </c>
      <c r="J987" s="706">
        <v>99247.83</v>
      </c>
      <c r="K987" s="706">
        <v>128788.14</v>
      </c>
      <c r="L987" s="706">
        <v>167695.60999999999</v>
      </c>
      <c r="M987" s="706">
        <v>212830.63</v>
      </c>
      <c r="N987" s="706">
        <v>238127.33</v>
      </c>
      <c r="O987" s="706">
        <v>252217.1</v>
      </c>
      <c r="P987" s="706">
        <v>0</v>
      </c>
      <c r="Q987" s="706">
        <v>0</v>
      </c>
      <c r="R987" s="706">
        <v>0</v>
      </c>
      <c r="S987" s="706">
        <v>29765.919999999998</v>
      </c>
      <c r="T987" s="706">
        <v>29765.919999999998</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G68200</v>
      </c>
      <c r="AK987" s="905" t="str">
        <f t="shared" si="99"/>
        <v>COUT-PIECES AU DETAIL</v>
      </c>
      <c r="AL987" s="905">
        <f>IFERROR(INDEX(G987:R987,1,MATCH(Parametres!$B$3,G$1:R$1,0)-1)*IF(OR(F987="L",F987="S",F987="I"),-1,1),"")</f>
        <v>212830.63</v>
      </c>
      <c r="AM987" s="905">
        <f t="shared" si="100"/>
        <v>25296.699999999983</v>
      </c>
      <c r="AN987" s="905">
        <f>INDEX(G987:R987,1,MATCH(Parametres!$B$3,G$1:R$1,0))*IF(OR(F987="L",F987="S",F987="I"),-1,1)</f>
        <v>238127.33</v>
      </c>
      <c r="AO987" s="487" t="str">
        <f>+VLOOKUP($AJ987,Data_Validation!$A:$D,1,0)</f>
        <v>G68200</v>
      </c>
      <c r="AP987" s="487" t="str">
        <f>+VLOOKUP($AJ987,Data_Validation!$A:$D,3,0)</f>
        <v>Pièces</v>
      </c>
      <c r="AQ987" s="487" t="str">
        <f>+VLOOKUP($AJ987,Data_Validation!$A:$D,4,0)</f>
        <v>Ventes Détails</v>
      </c>
      <c r="AR987" s="487" t="s">
        <v>299</v>
      </c>
      <c r="AS987" s="487">
        <f>+VLOOKUP($AJ987,Data_Validation!$A:$E,5,0)</f>
        <v>0</v>
      </c>
      <c r="AT987" s="904" t="str">
        <f t="shared" si="101"/>
        <v>G68200</v>
      </c>
      <c r="AU987" s="488" t="str">
        <f t="shared" si="102"/>
        <v>COUT-PIECES AU DETAIL</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customHeight="1">
      <c r="A988" s="706" t="s">
        <v>1148</v>
      </c>
      <c r="B988" s="706">
        <v>2026</v>
      </c>
      <c r="C988" s="706" t="s">
        <v>2950</v>
      </c>
      <c r="D988" s="706" t="s">
        <v>2951</v>
      </c>
      <c r="E988" s="706" t="s">
        <v>333</v>
      </c>
      <c r="F988" s="706" t="s">
        <v>1152</v>
      </c>
      <c r="G988" s="706">
        <v>147820.20000000001</v>
      </c>
      <c r="H988" s="706">
        <v>262818.71000000002</v>
      </c>
      <c r="I988" s="706">
        <v>371846.67</v>
      </c>
      <c r="J988" s="706">
        <v>447721.11</v>
      </c>
      <c r="K988" s="706">
        <v>553773.17000000004</v>
      </c>
      <c r="L988" s="706">
        <v>658467.67000000004</v>
      </c>
      <c r="M988" s="706">
        <v>772589.17</v>
      </c>
      <c r="N988" s="706">
        <v>865849.91</v>
      </c>
      <c r="O988" s="706">
        <v>969112.22</v>
      </c>
      <c r="P988" s="706">
        <v>0</v>
      </c>
      <c r="Q988" s="706">
        <v>0</v>
      </c>
      <c r="R988" s="706">
        <v>0</v>
      </c>
      <c r="S988" s="706">
        <v>108231.24</v>
      </c>
      <c r="T988" s="706">
        <v>108231.24</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G68300</v>
      </c>
      <c r="AK988" s="905" t="str">
        <f t="shared" si="99"/>
        <v>COUT-PIECES EN GROS</v>
      </c>
      <c r="AL988" s="905">
        <f>IFERROR(INDEX(G988:R988,1,MATCH(Parametres!$B$3,G$1:R$1,0)-1)*IF(OR(F988="L",F988="S",F988="I"),-1,1),"")</f>
        <v>772589.17</v>
      </c>
      <c r="AM988" s="905">
        <f t="shared" si="100"/>
        <v>93260.739999999991</v>
      </c>
      <c r="AN988" s="905">
        <f>INDEX(G988:R988,1,MATCH(Parametres!$B$3,G$1:R$1,0))*IF(OR(F988="L",F988="S",F988="I"),-1,1)</f>
        <v>865849.91</v>
      </c>
      <c r="AO988" s="487" t="str">
        <f>+VLOOKUP($AJ988,Data_Validation!$A:$D,1,0)</f>
        <v>G68300</v>
      </c>
      <c r="AP988" s="487" t="str">
        <f>+VLOOKUP($AJ988,Data_Validation!$A:$D,3,0)</f>
        <v>Pièces</v>
      </c>
      <c r="AQ988" s="487" t="str">
        <f>+VLOOKUP($AJ988,Data_Validation!$A:$D,4,0)</f>
        <v>Ventes de Gros</v>
      </c>
      <c r="AR988" s="487" t="s">
        <v>299</v>
      </c>
      <c r="AS988" s="487">
        <f>+VLOOKUP($AJ988,Data_Validation!$A:$E,5,0)</f>
        <v>0</v>
      </c>
      <c r="AT988" s="904" t="str">
        <f t="shared" si="101"/>
        <v>G68300</v>
      </c>
      <c r="AU988" s="488" t="str">
        <f t="shared" si="102"/>
        <v>COUT-PIECES EN GROS</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2952</v>
      </c>
      <c r="D989" s="706" t="s">
        <v>2953</v>
      </c>
      <c r="E989" s="706" t="s">
        <v>333</v>
      </c>
      <c r="F989" s="706" t="s">
        <v>1152</v>
      </c>
      <c r="G989" s="706">
        <v>-20065.36</v>
      </c>
      <c r="H989" s="706">
        <v>-23303.48</v>
      </c>
      <c r="I989" s="706">
        <v>-26562.22</v>
      </c>
      <c r="J989" s="706">
        <v>-48976.1</v>
      </c>
      <c r="K989" s="706">
        <v>-59789.15</v>
      </c>
      <c r="L989" s="706">
        <v>-62199.199999999997</v>
      </c>
      <c r="M989" s="706">
        <v>-78658.5</v>
      </c>
      <c r="N989" s="706">
        <v>-84034.19</v>
      </c>
      <c r="O989" s="706">
        <v>-86924.92</v>
      </c>
      <c r="P989" s="706">
        <v>0</v>
      </c>
      <c r="Q989" s="706">
        <v>0</v>
      </c>
      <c r="R989" s="706">
        <v>0</v>
      </c>
      <c r="S989" s="706">
        <v>-10504.27</v>
      </c>
      <c r="T989" s="706">
        <v>-10504.27</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G68700</v>
      </c>
      <c r="AK989" s="905" t="str">
        <f t="shared" si="99"/>
        <v>ESCOMPTES DE VOLUME</v>
      </c>
      <c r="AL989" s="905">
        <f>IFERROR(INDEX(G989:R989,1,MATCH(Parametres!$B$3,G$1:R$1,0)-1)*IF(OR(F989="L",F989="S",F989="I"),-1,1),"")</f>
        <v>-78658.5</v>
      </c>
      <c r="AM989" s="905">
        <f t="shared" si="100"/>
        <v>-5375.6900000000023</v>
      </c>
      <c r="AN989" s="905">
        <f>INDEX(G989:R989,1,MATCH(Parametres!$B$3,G$1:R$1,0))*IF(OR(F989="L",F989="S",F989="I"),-1,1)</f>
        <v>-84034.19</v>
      </c>
      <c r="AO989" s="487" t="str">
        <f>+VLOOKUP($AJ989,Data_Validation!$A:$D,1,0)</f>
        <v>G68700</v>
      </c>
      <c r="AP989" s="487" t="str">
        <f>+VLOOKUP($AJ989,Data_Validation!$A:$D,3,0)</f>
        <v>Pièces</v>
      </c>
      <c r="AQ989" s="487" t="str">
        <f>+VLOOKUP($AJ989,Data_Validation!$A:$D,4,0)</f>
        <v>Escomptes</v>
      </c>
      <c r="AR989" s="487" t="s">
        <v>299</v>
      </c>
      <c r="AS989" s="487">
        <f>+VLOOKUP($AJ989,Data_Validation!$A:$E,5,0)</f>
        <v>0</v>
      </c>
      <c r="AT989" s="904" t="str">
        <f t="shared" si="101"/>
        <v>G68700</v>
      </c>
      <c r="AU989" s="488" t="str">
        <f t="shared" si="102"/>
        <v>ESCOMPTES DE VOLUME</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2954</v>
      </c>
      <c r="D990" s="706" t="s">
        <v>2955</v>
      </c>
      <c r="E990" s="706" t="s">
        <v>333</v>
      </c>
      <c r="F990" s="706" t="s">
        <v>1152</v>
      </c>
      <c r="G990" s="706">
        <v>-3656.81</v>
      </c>
      <c r="H990" s="706">
        <v>-3884.38</v>
      </c>
      <c r="I990" s="706">
        <v>-5049.5</v>
      </c>
      <c r="J990" s="706">
        <v>-4993.82</v>
      </c>
      <c r="K990" s="706">
        <v>-6642.71</v>
      </c>
      <c r="L990" s="706">
        <v>-7079.42</v>
      </c>
      <c r="M990" s="706">
        <v>-8200.67</v>
      </c>
      <c r="N990" s="706">
        <v>-9681.15</v>
      </c>
      <c r="O990" s="706">
        <v>-9681.15</v>
      </c>
      <c r="P990" s="706">
        <v>0</v>
      </c>
      <c r="Q990" s="706">
        <v>0</v>
      </c>
      <c r="R990" s="706">
        <v>0</v>
      </c>
      <c r="S990" s="706">
        <v>-1210.1400000000001</v>
      </c>
      <c r="T990" s="706">
        <v>-1210.1400000000001</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G68800</v>
      </c>
      <c r="AK990" s="905" t="str">
        <f t="shared" si="99"/>
        <v>RECTIFIC.STOCK PIECES</v>
      </c>
      <c r="AL990" s="905">
        <f>IFERROR(INDEX(G990:R990,1,MATCH(Parametres!$B$3,G$1:R$1,0)-1)*IF(OR(F990="L",F990="S",F990="I"),-1,1),"")</f>
        <v>-8200.67</v>
      </c>
      <c r="AM990" s="905">
        <f t="shared" si="100"/>
        <v>-1480.4799999999996</v>
      </c>
      <c r="AN990" s="905">
        <f>INDEX(G990:R990,1,MATCH(Parametres!$B$3,G$1:R$1,0))*IF(OR(F990="L",F990="S",F990="I"),-1,1)</f>
        <v>-9681.15</v>
      </c>
      <c r="AO990" s="487" t="str">
        <f>+VLOOKUP($AJ990,Data_Validation!$A:$D,1,0)</f>
        <v>G68800</v>
      </c>
      <c r="AP990" s="487" t="str">
        <f>+VLOOKUP($AJ990,Data_Validation!$A:$D,3,0)</f>
        <v>Pièces</v>
      </c>
      <c r="AQ990" s="487" t="str">
        <f>+VLOOKUP($AJ990,Data_Validation!$A:$D,4,0)</f>
        <v>Rectif. Inventaire</v>
      </c>
      <c r="AR990" s="487" t="s">
        <v>299</v>
      </c>
      <c r="AS990" s="487">
        <f>+VLOOKUP($AJ990,Data_Validation!$A:$E,5,0)</f>
        <v>0</v>
      </c>
      <c r="AT990" s="904" t="str">
        <f t="shared" si="101"/>
        <v>G68800</v>
      </c>
      <c r="AU990" s="488" t="str">
        <f t="shared" si="102"/>
        <v>RECTIFIC.STOCK PIECES</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customHeight="1">
      <c r="A991" s="706" t="s">
        <v>1148</v>
      </c>
      <c r="B991" s="706">
        <v>2026</v>
      </c>
      <c r="C991" s="706" t="s">
        <v>2956</v>
      </c>
      <c r="D991" s="706" t="s">
        <v>2957</v>
      </c>
      <c r="E991" s="706" t="s">
        <v>333</v>
      </c>
      <c r="F991" s="706" t="s">
        <v>1152</v>
      </c>
      <c r="G991" s="706">
        <v>34926.080000000002</v>
      </c>
      <c r="H991" s="706">
        <v>62121.599999999999</v>
      </c>
      <c r="I991" s="706">
        <v>76201.22</v>
      </c>
      <c r="J991" s="706">
        <v>97234.06</v>
      </c>
      <c r="K991" s="706">
        <v>110391.72</v>
      </c>
      <c r="L991" s="706">
        <v>124951.91</v>
      </c>
      <c r="M991" s="706">
        <v>135615.26</v>
      </c>
      <c r="N991" s="706">
        <v>151991.71</v>
      </c>
      <c r="O991" s="706">
        <v>168584.19</v>
      </c>
      <c r="P991" s="706">
        <v>0</v>
      </c>
      <c r="Q991" s="706">
        <v>0</v>
      </c>
      <c r="R991" s="706">
        <v>0</v>
      </c>
      <c r="S991" s="706">
        <v>18998.96</v>
      </c>
      <c r="T991" s="706">
        <v>18998.96</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G69000</v>
      </c>
      <c r="AK991" s="905" t="str">
        <f t="shared" si="99"/>
        <v>COUT-PNEUS VENDUS</v>
      </c>
      <c r="AL991" s="905">
        <f>IFERROR(INDEX(G991:R991,1,MATCH(Parametres!$B$3,G$1:R$1,0)-1)*IF(OR(F991="L",F991="S",F991="I"),-1,1),"")</f>
        <v>135615.26</v>
      </c>
      <c r="AM991" s="905">
        <f t="shared" si="100"/>
        <v>16376.449999999983</v>
      </c>
      <c r="AN991" s="905">
        <f>INDEX(G991:R991,1,MATCH(Parametres!$B$3,G$1:R$1,0))*IF(OR(F991="L",F991="S",F991="I"),-1,1)</f>
        <v>151991.71</v>
      </c>
      <c r="AO991" s="487" t="str">
        <f>+VLOOKUP($AJ991,Data_Validation!$A:$D,1,0)</f>
        <v>G69000</v>
      </c>
      <c r="AP991" s="487" t="str">
        <f>+VLOOKUP($AJ991,Data_Validation!$A:$D,3,0)</f>
        <v>Pièces</v>
      </c>
      <c r="AQ991" s="487" t="str">
        <f>+VLOOKUP($AJ991,Data_Validation!$A:$D,4,0)</f>
        <v>Ventes Pneus</v>
      </c>
      <c r="AR991" s="487" t="s">
        <v>299</v>
      </c>
      <c r="AS991" s="487">
        <f>+VLOOKUP($AJ991,Data_Validation!$A:$E,5,0)</f>
        <v>0</v>
      </c>
      <c r="AT991" s="904" t="str">
        <f t="shared" si="101"/>
        <v>G69000</v>
      </c>
      <c r="AU991" s="488" t="str">
        <f t="shared" si="102"/>
        <v>COUT-PNEUS VENDUS</v>
      </c>
      <c r="AV991" s="899">
        <f>IFERROR(INDEX(V991:AG991,1,MATCH(Parametres!$B$3,V$1:AG$1,0)-1)*IF(OR(C991="L",C991="S",C991="I"),-1,1),"")</f>
        <v>0</v>
      </c>
      <c r="AW991" s="899">
        <f t="shared" si="103"/>
        <v>0</v>
      </c>
      <c r="AX991" s="899">
        <f>INDEX(V991:AG991,1,MATCH(Parametres!$B$3,V$1:AG$1,0))*IF(OR(C991="L",C991="S",C991="I"),-1,1)</f>
        <v>0</v>
      </c>
      <c r="AY991" s="487" t="s">
        <v>337</v>
      </c>
      <c r="AZ991" s="487">
        <f>+VLOOKUP($AJ991,Data_Validation!$A:$E,5,0)</f>
        <v>0</v>
      </c>
    </row>
    <row r="992" spans="1:52" ht="15" customHeight="1">
      <c r="A992" s="706" t="s">
        <v>1148</v>
      </c>
      <c r="B992" s="706">
        <v>2026</v>
      </c>
      <c r="C992" s="706" t="s">
        <v>2958</v>
      </c>
      <c r="D992" s="706" t="s">
        <v>2959</v>
      </c>
      <c r="E992" s="706" t="s">
        <v>333</v>
      </c>
      <c r="F992" s="706" t="s">
        <v>1152</v>
      </c>
      <c r="G992" s="706">
        <v>6801.33</v>
      </c>
      <c r="H992" s="706">
        <v>13763.25</v>
      </c>
      <c r="I992" s="706">
        <v>23246.21</v>
      </c>
      <c r="J992" s="706">
        <v>31500.2</v>
      </c>
      <c r="K992" s="706">
        <v>39878.769999999997</v>
      </c>
      <c r="L992" s="706">
        <v>50694.1</v>
      </c>
      <c r="M992" s="706">
        <v>59900.86</v>
      </c>
      <c r="N992" s="706">
        <v>69965.3</v>
      </c>
      <c r="O992" s="706">
        <v>75927.100000000006</v>
      </c>
      <c r="P992" s="706">
        <v>0</v>
      </c>
      <c r="Q992" s="706">
        <v>0</v>
      </c>
      <c r="R992" s="706">
        <v>0</v>
      </c>
      <c r="S992" s="706">
        <v>8745.66</v>
      </c>
      <c r="T992" s="706">
        <v>8745.66</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G69100</v>
      </c>
      <c r="AK992" s="905" t="str">
        <f t="shared" si="99"/>
        <v>COUT-HUILES &amp; GRAISSE</v>
      </c>
      <c r="AL992" s="905">
        <f>IFERROR(INDEX(G992:R992,1,MATCH(Parametres!$B$3,G$1:R$1,0)-1)*IF(OR(F992="L",F992="S",F992="I"),-1,1),"")</f>
        <v>59900.86</v>
      </c>
      <c r="AM992" s="905">
        <f t="shared" si="100"/>
        <v>10064.440000000002</v>
      </c>
      <c r="AN992" s="905">
        <f>INDEX(G992:R992,1,MATCH(Parametres!$B$3,G$1:R$1,0))*IF(OR(F992="L",F992="S",F992="I"),-1,1)</f>
        <v>69965.3</v>
      </c>
      <c r="AO992" s="487" t="str">
        <f>+VLOOKUP($AJ992,Data_Validation!$A:$D,1,0)</f>
        <v>G69100</v>
      </c>
      <c r="AP992" s="487" t="str">
        <f>+VLOOKUP($AJ992,Data_Validation!$A:$D,3,0)</f>
        <v>Pièces</v>
      </c>
      <c r="AQ992" s="487" t="str">
        <f>+VLOOKUP($AJ992,Data_Validation!$A:$D,4,0)</f>
        <v>Huiles et Graisse</v>
      </c>
      <c r="AR992" s="487" t="s">
        <v>299</v>
      </c>
      <c r="AS992" s="487">
        <f>+VLOOKUP($AJ992,Data_Validation!$A:$E,5,0)</f>
        <v>0</v>
      </c>
      <c r="AT992" s="904" t="str">
        <f t="shared" si="101"/>
        <v>G69100</v>
      </c>
      <c r="AU992" s="488" t="str">
        <f t="shared" si="102"/>
        <v>COUT-HUILES &amp; GRAISSE</v>
      </c>
      <c r="AV992" s="899">
        <f>IFERROR(INDEX(V992:AG992,1,MATCH(Parametres!$B$3,V$1:AG$1,0)-1)*IF(OR(C992="L",C992="S",C992="I"),-1,1),"")</f>
        <v>0</v>
      </c>
      <c r="AW992" s="899">
        <f t="shared" si="103"/>
        <v>0</v>
      </c>
      <c r="AX992" s="899">
        <f>INDEX(V992:AG992,1,MATCH(Parametres!$B$3,V$1:AG$1,0))*IF(OR(C992="L",C992="S",C992="I"),-1,1)</f>
        <v>0</v>
      </c>
      <c r="AY992" s="487" t="s">
        <v>337</v>
      </c>
      <c r="AZ992" s="487">
        <f>+VLOOKUP($AJ992,Data_Validation!$A:$E,5,0)</f>
        <v>0</v>
      </c>
    </row>
    <row r="993" spans="1:52" ht="15" customHeight="1">
      <c r="A993" s="706" t="s">
        <v>1148</v>
      </c>
      <c r="B993" s="706">
        <v>2026</v>
      </c>
      <c r="C993" s="706" t="s">
        <v>2960</v>
      </c>
      <c r="D993" s="706" t="s">
        <v>2961</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G711</v>
      </c>
      <c r="AK993" s="905" t="str">
        <f t="shared" si="99"/>
        <v>INTERETS          -SIMPLE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G711</v>
      </c>
      <c r="AU993" s="488" t="str">
        <f t="shared" si="102"/>
        <v>INTERETS          -SIMPLE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customHeight="1">
      <c r="A994" s="706" t="s">
        <v>1148</v>
      </c>
      <c r="B994" s="706">
        <v>2026</v>
      </c>
      <c r="C994" s="706" t="s">
        <v>2962</v>
      </c>
      <c r="D994" s="706" t="s">
        <v>2963</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G712</v>
      </c>
      <c r="AK994" s="905" t="str">
        <f t="shared" si="99"/>
        <v>AMORTISSEMENT     -SIMPLE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G712</v>
      </c>
      <c r="AU994" s="488" t="str">
        <f t="shared" si="102"/>
        <v>AMORTISSEMENT     -SIMPLE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customHeight="1">
      <c r="A995" s="706" t="s">
        <v>1148</v>
      </c>
      <c r="B995" s="706">
        <v>2026</v>
      </c>
      <c r="C995" s="706" t="s">
        <v>2964</v>
      </c>
      <c r="D995" s="706" t="s">
        <v>2965</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G713</v>
      </c>
      <c r="AK995" s="905" t="str">
        <f t="shared" si="99"/>
        <v>ASSUR.VEH EN SERV.-SIMPLE</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G713</v>
      </c>
      <c r="AU995" s="488" t="str">
        <f t="shared" si="102"/>
        <v>ASSUR.VEH EN SERV.-SIMPLE</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customHeight="1">
      <c r="A996" s="706" t="s">
        <v>1148</v>
      </c>
      <c r="B996" s="706">
        <v>2026</v>
      </c>
      <c r="C996" s="706" t="s">
        <v>2966</v>
      </c>
      <c r="D996" s="706" t="s">
        <v>2967</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G714</v>
      </c>
      <c r="AK996" s="905" t="str">
        <f t="shared" si="99"/>
        <v>PLAQUE,TITRE,TAXES-SIMPLE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G714</v>
      </c>
      <c r="AU996" s="488" t="str">
        <f t="shared" si="102"/>
        <v>PLAQUE,TITRE,TAXES-SIMPLE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customHeight="1">
      <c r="A997" s="706" t="s">
        <v>1148</v>
      </c>
      <c r="B997" s="706">
        <v>2026</v>
      </c>
      <c r="C997" s="706" t="s">
        <v>2968</v>
      </c>
      <c r="D997" s="706" t="s">
        <v>2969</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G715</v>
      </c>
      <c r="AK997" s="905" t="str">
        <f t="shared" si="99"/>
        <v>TRAVAUX GRACIEUX  -SIMPLE</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G715</v>
      </c>
      <c r="AU997" s="488" t="str">
        <f t="shared" si="102"/>
        <v>TRAVAUX GRACIEUX  -SIMPLE</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customHeight="1">
      <c r="A998" s="706" t="s">
        <v>1148</v>
      </c>
      <c r="B998" s="706">
        <v>2026</v>
      </c>
      <c r="C998" s="706" t="s">
        <v>2970</v>
      </c>
      <c r="D998" s="706" t="s">
        <v>2971</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G716</v>
      </c>
      <c r="AK998" s="905" t="str">
        <f t="shared" si="99"/>
        <v>REPAR.&amp; ENTRETIEN -SIMPLE</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G716</v>
      </c>
      <c r="AU998" s="488" t="str">
        <f t="shared" si="102"/>
        <v>REPAR.&amp; ENTRETIEN -SIMPLE</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customHeight="1">
      <c r="A999" s="706" t="s">
        <v>1148</v>
      </c>
      <c r="B999" s="706">
        <v>2026</v>
      </c>
      <c r="C999" s="706" t="s">
        <v>2972</v>
      </c>
      <c r="D999" s="706" t="s">
        <v>2973</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G717</v>
      </c>
      <c r="AK999" s="905" t="str">
        <f t="shared" si="99"/>
        <v>PRIX LOC.UNIT.S-LOUE-SIMP</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G717</v>
      </c>
      <c r="AU999" s="488" t="str">
        <f t="shared" si="102"/>
        <v>PRIX LOC.UNIT.S-LOUE-SIMP</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customHeight="1">
      <c r="A1000" s="706" t="s">
        <v>1148</v>
      </c>
      <c r="B1000" s="706">
        <v>2026</v>
      </c>
      <c r="C1000" s="706" t="s">
        <v>2974</v>
      </c>
      <c r="D1000" s="706" t="s">
        <v>2975</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G718</v>
      </c>
      <c r="AK1000" s="905" t="str">
        <f t="shared" si="99"/>
        <v>AUTRES            -SIMPLE</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G718</v>
      </c>
      <c r="AU1000" s="488" t="str">
        <f t="shared" si="102"/>
        <v>AUTRES            -SIMPLE</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customHeight="1">
      <c r="A1001" s="706" t="s">
        <v>1148</v>
      </c>
      <c r="B1001" s="706">
        <v>2026</v>
      </c>
      <c r="C1001" s="706" t="s">
        <v>2976</v>
      </c>
      <c r="D1001" s="706" t="s">
        <v>2977</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G721</v>
      </c>
      <c r="AK1001" s="905" t="str">
        <f t="shared" si="99"/>
        <v>INTERETS          -ALEATO</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G721</v>
      </c>
      <c r="AU1001" s="488" t="str">
        <f t="shared" si="102"/>
        <v>INTERETS          -ALEATO</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customHeight="1">
      <c r="A1002" s="706" t="s">
        <v>1148</v>
      </c>
      <c r="B1002" s="706">
        <v>2026</v>
      </c>
      <c r="C1002" s="706" t="s">
        <v>2978</v>
      </c>
      <c r="D1002" s="706" t="s">
        <v>2979</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G722</v>
      </c>
      <c r="AK1002" s="905" t="str">
        <f t="shared" si="99"/>
        <v>AMORTISSEMENT     -ALEATO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G722</v>
      </c>
      <c r="AU1002" s="488" t="str">
        <f t="shared" si="102"/>
        <v>AMORTISSEMENT     -ALEATO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customHeight="1">
      <c r="A1003" s="706" t="s">
        <v>1148</v>
      </c>
      <c r="B1003" s="706">
        <v>2026</v>
      </c>
      <c r="C1003" s="706" t="s">
        <v>2980</v>
      </c>
      <c r="D1003" s="706" t="s">
        <v>2981</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G723</v>
      </c>
      <c r="AK1003" s="905" t="str">
        <f t="shared" si="99"/>
        <v>ASSUR.VEH EN SERV.-ALEATO</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G723</v>
      </c>
      <c r="AU1003" s="488" t="str">
        <f t="shared" si="102"/>
        <v>ASSUR.VEH EN SERV.-ALEATO</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customHeight="1">
      <c r="A1004" s="706" t="s">
        <v>1148</v>
      </c>
      <c r="B1004" s="706">
        <v>2026</v>
      </c>
      <c r="C1004" s="706" t="s">
        <v>2982</v>
      </c>
      <c r="D1004" s="706" t="s">
        <v>2983</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G724</v>
      </c>
      <c r="AK1004" s="905" t="str">
        <f t="shared" si="99"/>
        <v>PLAQUE,TITRE,TAXES-ALEATO</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G724</v>
      </c>
      <c r="AU1004" s="488" t="str">
        <f t="shared" si="102"/>
        <v>PLAQUE,TITRE,TAXES-ALEATO</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customHeight="1">
      <c r="A1005" s="706" t="s">
        <v>1148</v>
      </c>
      <c r="B1005" s="706">
        <v>2026</v>
      </c>
      <c r="C1005" s="706" t="s">
        <v>2984</v>
      </c>
      <c r="D1005" s="706" t="s">
        <v>2985</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G72402</v>
      </c>
      <c r="AK1005" s="905" t="str">
        <f t="shared" si="99"/>
        <v>ENTRETIEN COURT TERME</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G72402</v>
      </c>
      <c r="AU1005" s="488" t="str">
        <f t="shared" si="102"/>
        <v>ENTRETIEN COURT TERME</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customHeight="1">
      <c r="A1006" s="706" t="s">
        <v>1148</v>
      </c>
      <c r="B1006" s="706">
        <v>2026</v>
      </c>
      <c r="C1006" s="706" t="s">
        <v>2986</v>
      </c>
      <c r="D1006" s="706" t="s">
        <v>2987</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G725</v>
      </c>
      <c r="AK1006" s="905" t="str">
        <f t="shared" si="99"/>
        <v>TRAVAUX GRACIEUX  -ALEATO</v>
      </c>
      <c r="AL1006" s="905">
        <f>IFERROR(INDEX(G1006:R1006,1,MATCH(Parametres!$B$3,G$1:R$1,0)-1)*IF(OR(F1006="L",F1006="S",F1006="I"),-1,1),"")</f>
        <v>0</v>
      </c>
      <c r="AM1006" s="905">
        <f t="shared" si="100"/>
        <v>0</v>
      </c>
      <c r="AN1006" s="905">
        <f>INDEX(G1006:R1006,1,MATCH(Parametres!$B$3,G$1:R$1,0))*IF(OR(F1006="L",F1006="S",F1006="I"),-1,1)</f>
        <v>0</v>
      </c>
      <c r="AO1006" s="487" t="e">
        <f>+VLOOKUP($AJ1006,Data_Validation!$A:$D,1,0)</f>
        <v>#N/A</v>
      </c>
      <c r="AP1006" s="487" t="e">
        <f>+VLOOKUP($AJ1006,Data_Validation!$A:$D,3,0)</f>
        <v>#N/A</v>
      </c>
      <c r="AQ1006" s="487" t="e">
        <f>+VLOOKUP($AJ1006,Data_Validation!$A:$D,4,0)</f>
        <v>#N/A</v>
      </c>
      <c r="AR1006" s="487" t="s">
        <v>299</v>
      </c>
      <c r="AS1006" s="487" t="e">
        <f>+VLOOKUP($AJ1006,Data_Validation!$A:$E,5,0)</f>
        <v>#N/A</v>
      </c>
      <c r="AT1006" s="904" t="str">
        <f t="shared" si="101"/>
        <v>G725</v>
      </c>
      <c r="AU1006" s="488" t="str">
        <f t="shared" si="102"/>
        <v>TRAVAUX GRACIEUX  -ALEATO</v>
      </c>
      <c r="AV1006" s="899">
        <f>IFERROR(INDEX(V1006:AG1006,1,MATCH(Parametres!$B$3,V$1:AG$1,0)-1)*IF(OR(C1006="L",C1006="S",C1006="I"),-1,1),"")</f>
        <v>0</v>
      </c>
      <c r="AW1006" s="899">
        <f t="shared" si="103"/>
        <v>0</v>
      </c>
      <c r="AX1006" s="899">
        <f>INDEX(V1006:AG1006,1,MATCH(Parametres!$B$3,V$1:AG$1,0))*IF(OR(C1006="L",C1006="S",C1006="I"),-1,1)</f>
        <v>0</v>
      </c>
      <c r="AY1006" s="487" t="s">
        <v>337</v>
      </c>
      <c r="AZ1006" s="487" t="e">
        <f>+VLOOKUP($AJ1006,Data_Validation!$A:$E,5,0)</f>
        <v>#N/A</v>
      </c>
    </row>
    <row r="1007" spans="1:52" ht="15" customHeight="1">
      <c r="A1007" s="706" t="s">
        <v>1148</v>
      </c>
      <c r="B1007" s="706">
        <v>2026</v>
      </c>
      <c r="C1007" s="706" t="s">
        <v>2988</v>
      </c>
      <c r="D1007" s="706" t="s">
        <v>2989</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G726</v>
      </c>
      <c r="AK1007" s="905" t="str">
        <f t="shared" si="99"/>
        <v>REPAR.&amp; ENTRETIEN -ALEATO</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G726</v>
      </c>
      <c r="AU1007" s="488" t="str">
        <f t="shared" si="102"/>
        <v>REPAR.&amp; ENTRETIEN -ALEATO</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customHeight="1">
      <c r="A1008" s="706" t="s">
        <v>1148</v>
      </c>
      <c r="B1008" s="706">
        <v>2026</v>
      </c>
      <c r="C1008" s="706" t="s">
        <v>2990</v>
      </c>
      <c r="D1008" s="706" t="s">
        <v>2991</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G727</v>
      </c>
      <c r="AK1008" s="905" t="str">
        <f t="shared" si="99"/>
        <v>PRIX LOC.UNIT.S-LOUE-ALEA</v>
      </c>
      <c r="AL1008" s="905">
        <f>IFERROR(INDEX(G1008:R1008,1,MATCH(Parametres!$B$3,G$1:R$1,0)-1)*IF(OR(F1008="L",F1008="S",F1008="I"),-1,1),"")</f>
        <v>0</v>
      </c>
      <c r="AM1008" s="905">
        <f t="shared" si="100"/>
        <v>0</v>
      </c>
      <c r="AN1008" s="905">
        <f>INDEX(G1008:R1008,1,MATCH(Parametres!$B$3,G$1:R$1,0))*IF(OR(F1008="L",F1008="S",F1008="I"),-1,1)</f>
        <v>0</v>
      </c>
      <c r="AO1008" s="487" t="e">
        <f>+VLOOKUP($AJ1008,Data_Validation!$A:$D,1,0)</f>
        <v>#N/A</v>
      </c>
      <c r="AP1008" s="487" t="e">
        <f>+VLOOKUP($AJ1008,Data_Validation!$A:$D,3,0)</f>
        <v>#N/A</v>
      </c>
      <c r="AQ1008" s="487" t="e">
        <f>+VLOOKUP($AJ1008,Data_Validation!$A:$D,4,0)</f>
        <v>#N/A</v>
      </c>
      <c r="AR1008" s="487" t="s">
        <v>299</v>
      </c>
      <c r="AS1008" s="487" t="e">
        <f>+VLOOKUP($AJ1008,Data_Validation!$A:$E,5,0)</f>
        <v>#N/A</v>
      </c>
      <c r="AT1008" s="904" t="str">
        <f t="shared" si="101"/>
        <v>G727</v>
      </c>
      <c r="AU1008" s="488" t="str">
        <f t="shared" si="102"/>
        <v>PRIX LOC.UNIT.S-LOUE-ALEA</v>
      </c>
      <c r="AV1008" s="899">
        <f>IFERROR(INDEX(V1008:AG1008,1,MATCH(Parametres!$B$3,V$1:AG$1,0)-1)*IF(OR(C1008="L",C1008="S",C1008="I"),-1,1),"")</f>
        <v>0</v>
      </c>
      <c r="AW1008" s="899">
        <f t="shared" si="103"/>
        <v>0</v>
      </c>
      <c r="AX1008" s="899">
        <f>INDEX(V1008:AG1008,1,MATCH(Parametres!$B$3,V$1:AG$1,0))*IF(OR(C1008="L",C1008="S",C1008="I"),-1,1)</f>
        <v>0</v>
      </c>
      <c r="AY1008" s="487" t="s">
        <v>337</v>
      </c>
      <c r="AZ1008" s="487" t="e">
        <f>+VLOOKUP($AJ1008,Data_Validation!$A:$E,5,0)</f>
        <v>#N/A</v>
      </c>
    </row>
    <row r="1009" spans="1:52" ht="15" customHeight="1">
      <c r="A1009" s="706" t="s">
        <v>1148</v>
      </c>
      <c r="B1009" s="706">
        <v>2026</v>
      </c>
      <c r="C1009" s="706" t="s">
        <v>2992</v>
      </c>
      <c r="D1009" s="706" t="s">
        <v>2993</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G728</v>
      </c>
      <c r="AK1009" s="905" t="str">
        <f t="shared" si="99"/>
        <v>AUTRES            -ALEATO</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G728</v>
      </c>
      <c r="AU1009" s="488" t="str">
        <f t="shared" si="102"/>
        <v>AUTRES            -ALEATO</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customHeight="1">
      <c r="A1010" s="706" t="s">
        <v>1148</v>
      </c>
      <c r="B1010" s="706">
        <v>2026</v>
      </c>
      <c r="C1010" s="706" t="s">
        <v>2994</v>
      </c>
      <c r="D1010" s="706" t="s">
        <v>2995</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G73000</v>
      </c>
      <c r="AK1010" s="905" t="str">
        <f t="shared" si="99"/>
        <v>COUT VTES VEHICULES CEDES</v>
      </c>
      <c r="AL1010" s="905">
        <f>IFERROR(INDEX(G1010:R1010,1,MATCH(Parametres!$B$3,G$1:R$1,0)-1)*IF(OR(F1010="L",F1010="S",F1010="I"),-1,1),"")</f>
        <v>0</v>
      </c>
      <c r="AM1010" s="905">
        <f t="shared" si="100"/>
        <v>0</v>
      </c>
      <c r="AN1010" s="905">
        <f>INDEX(G1010:R1010,1,MATCH(Parametres!$B$3,G$1:R$1,0))*IF(OR(F1010="L",F1010="S",F1010="I"),-1,1)</f>
        <v>0</v>
      </c>
      <c r="AO1010" s="487" t="str">
        <f>+VLOOKUP($AJ1010,Data_Validation!$A:$D,1,0)</f>
        <v>G73000</v>
      </c>
      <c r="AP1010" s="487">
        <f>+VLOOKUP($AJ1010,Data_Validation!$A:$D,3,0)</f>
        <v>0</v>
      </c>
      <c r="AQ1010" s="487">
        <f>+VLOOKUP($AJ1010,Data_Validation!$A:$D,4,0)</f>
        <v>0</v>
      </c>
      <c r="AR1010" s="487" t="s">
        <v>299</v>
      </c>
      <c r="AS1010" s="487">
        <f>+VLOOKUP($AJ1010,Data_Validation!$A:$E,5,0)</f>
        <v>0</v>
      </c>
      <c r="AT1010" s="904" t="str">
        <f t="shared" si="101"/>
        <v>G73000</v>
      </c>
      <c r="AU1010" s="488" t="str">
        <f t="shared" si="102"/>
        <v>COUT VTES VEHICULES CEDES</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customHeight="1">
      <c r="A1011" s="706" t="s">
        <v>1148</v>
      </c>
      <c r="B1011" s="706">
        <v>2026</v>
      </c>
      <c r="C1011" s="706" t="s">
        <v>2996</v>
      </c>
      <c r="D1011" s="706" t="s">
        <v>2997</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G731</v>
      </c>
      <c r="AK1011" s="905" t="str">
        <f t="shared" si="99"/>
        <v>INTERETS             -C/T</v>
      </c>
      <c r="AL1011" s="905">
        <f>IFERROR(INDEX(G1011:R1011,1,MATCH(Parametres!$B$3,G$1:R$1,0)-1)*IF(OR(F1011="L",F1011="S",F1011="I"),-1,1),"")</f>
        <v>0</v>
      </c>
      <c r="AM1011" s="905">
        <f t="shared" si="100"/>
        <v>0</v>
      </c>
      <c r="AN1011" s="905">
        <f>INDEX(G1011:R1011,1,MATCH(Parametres!$B$3,G$1:R$1,0))*IF(OR(F1011="L",F1011="S",F1011="I"),-1,1)</f>
        <v>0</v>
      </c>
      <c r="AO1011" s="487" t="e">
        <f>+VLOOKUP($AJ1011,Data_Validation!$A:$D,1,0)</f>
        <v>#N/A</v>
      </c>
      <c r="AP1011" s="487" t="e">
        <f>+VLOOKUP($AJ1011,Data_Validation!$A:$D,3,0)</f>
        <v>#N/A</v>
      </c>
      <c r="AQ1011" s="487" t="e">
        <f>+VLOOKUP($AJ1011,Data_Validation!$A:$D,4,0)</f>
        <v>#N/A</v>
      </c>
      <c r="AR1011" s="487" t="s">
        <v>299</v>
      </c>
      <c r="AS1011" s="487" t="e">
        <f>+VLOOKUP($AJ1011,Data_Validation!$A:$E,5,0)</f>
        <v>#N/A</v>
      </c>
      <c r="AT1011" s="904" t="str">
        <f t="shared" si="101"/>
        <v>G731</v>
      </c>
      <c r="AU1011" s="488" t="str">
        <f t="shared" si="102"/>
        <v>INTERETS             -C/T</v>
      </c>
      <c r="AV1011" s="899">
        <f>IFERROR(INDEX(V1011:AG1011,1,MATCH(Parametres!$B$3,V$1:AG$1,0)-1)*IF(OR(C1011="L",C1011="S",C1011="I"),-1,1),"")</f>
        <v>0</v>
      </c>
      <c r="AW1011" s="899">
        <f t="shared" si="103"/>
        <v>0</v>
      </c>
      <c r="AX1011" s="899">
        <f>INDEX(V1011:AG1011,1,MATCH(Parametres!$B$3,V$1:AG$1,0))*IF(OR(C1011="L",C1011="S",C1011="I"),-1,1)</f>
        <v>0</v>
      </c>
      <c r="AY1011" s="487" t="s">
        <v>337</v>
      </c>
      <c r="AZ1011" s="487" t="e">
        <f>+VLOOKUP($AJ1011,Data_Validation!$A:$E,5,0)</f>
        <v>#N/A</v>
      </c>
    </row>
    <row r="1012" spans="1:52" ht="15" customHeight="1">
      <c r="A1012" s="706" t="s">
        <v>1148</v>
      </c>
      <c r="B1012" s="706">
        <v>2026</v>
      </c>
      <c r="C1012" s="706" t="s">
        <v>2998</v>
      </c>
      <c r="D1012" s="706" t="s">
        <v>2999</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G73100</v>
      </c>
      <c r="AK1012" s="905" t="str">
        <f t="shared" si="99"/>
        <v>INTERETS LOCATION C/TERME</v>
      </c>
      <c r="AL1012" s="905">
        <f>IFERROR(INDEX(G1012:R1012,1,MATCH(Parametres!$B$3,G$1:R$1,0)-1)*IF(OR(F1012="L",F1012="S",F1012="I"),-1,1),"")</f>
        <v>0</v>
      </c>
      <c r="AM1012" s="905">
        <f t="shared" si="100"/>
        <v>0</v>
      </c>
      <c r="AN1012" s="905">
        <f>INDEX(G1012:R1012,1,MATCH(Parametres!$B$3,G$1:R$1,0))*IF(OR(F1012="L",F1012="S",F1012="I"),-1,1)</f>
        <v>0</v>
      </c>
      <c r="AO1012" s="487" t="str">
        <f>+VLOOKUP($AJ1012,Data_Validation!$A:$D,1,0)</f>
        <v>G73100</v>
      </c>
      <c r="AP1012" s="487">
        <f>+VLOOKUP($AJ1012,Data_Validation!$A:$D,3,0)</f>
        <v>0</v>
      </c>
      <c r="AQ1012" s="487">
        <f>+VLOOKUP($AJ1012,Data_Validation!$A:$D,4,0)</f>
        <v>0</v>
      </c>
      <c r="AR1012" s="487" t="s">
        <v>299</v>
      </c>
      <c r="AS1012" s="487">
        <f>+VLOOKUP($AJ1012,Data_Validation!$A:$E,5,0)</f>
        <v>0</v>
      </c>
      <c r="AT1012" s="904" t="str">
        <f t="shared" si="101"/>
        <v>G73100</v>
      </c>
      <c r="AU1012" s="488" t="str">
        <f t="shared" si="102"/>
        <v>INTERETS LOCATION C/TERME</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customHeight="1">
      <c r="A1013" s="706" t="s">
        <v>1148</v>
      </c>
      <c r="B1013" s="706">
        <v>2026</v>
      </c>
      <c r="C1013" s="706" t="s">
        <v>3000</v>
      </c>
      <c r="D1013" s="706" t="s">
        <v>3001</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G732</v>
      </c>
      <c r="AK1013" s="905" t="str">
        <f t="shared" si="99"/>
        <v>AMORTISSEMENT        -C/T</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G732</v>
      </c>
      <c r="AU1013" s="488" t="str">
        <f t="shared" si="102"/>
        <v>AMORTISSEMENT        -C/T</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customHeight="1">
      <c r="A1014" s="706" t="s">
        <v>1148</v>
      </c>
      <c r="B1014" s="706">
        <v>2026</v>
      </c>
      <c r="C1014" s="706" t="s">
        <v>3002</v>
      </c>
      <c r="D1014" s="706" t="s">
        <v>3003</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G73200</v>
      </c>
      <c r="AK1014" s="905" t="str">
        <f t="shared" si="99"/>
        <v>AMORT. LOCATION C/TERME</v>
      </c>
      <c r="AL1014" s="905">
        <f>IFERROR(INDEX(G1014:R1014,1,MATCH(Parametres!$B$3,G$1:R$1,0)-1)*IF(OR(F1014="L",F1014="S",F1014="I"),-1,1),"")</f>
        <v>0</v>
      </c>
      <c r="AM1014" s="905">
        <f t="shared" si="100"/>
        <v>0</v>
      </c>
      <c r="AN1014" s="905">
        <f>INDEX(G1014:R1014,1,MATCH(Parametres!$B$3,G$1:R$1,0))*IF(OR(F1014="L",F1014="S",F1014="I"),-1,1)</f>
        <v>0</v>
      </c>
      <c r="AO1014" s="487" t="str">
        <f>+VLOOKUP($AJ1014,Data_Validation!$A:$D,1,0)</f>
        <v>G73200</v>
      </c>
      <c r="AP1014" s="487">
        <f>+VLOOKUP($AJ1014,Data_Validation!$A:$D,3,0)</f>
        <v>0</v>
      </c>
      <c r="AQ1014" s="487">
        <f>+VLOOKUP($AJ1014,Data_Validation!$A:$D,4,0)</f>
        <v>0</v>
      </c>
      <c r="AR1014" s="487" t="s">
        <v>299</v>
      </c>
      <c r="AS1014" s="487">
        <f>+VLOOKUP($AJ1014,Data_Validation!$A:$E,5,0)</f>
        <v>0</v>
      </c>
      <c r="AT1014" s="904" t="str">
        <f t="shared" si="101"/>
        <v>G73200</v>
      </c>
      <c r="AU1014" s="488" t="str">
        <f t="shared" si="102"/>
        <v>AMORT. LOCATION C/TERME</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customHeight="1">
      <c r="A1015" s="706" t="s">
        <v>1148</v>
      </c>
      <c r="B1015" s="706">
        <v>2026</v>
      </c>
      <c r="C1015" s="706" t="s">
        <v>3004</v>
      </c>
      <c r="D1015" s="706" t="s">
        <v>3005</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G733</v>
      </c>
      <c r="AK1015" s="905" t="str">
        <f t="shared" si="99"/>
        <v>ASSUR.VEH EN SERV.   -C/T</v>
      </c>
      <c r="AL1015" s="905">
        <f>IFERROR(INDEX(G1015:R1015,1,MATCH(Parametres!$B$3,G$1:R$1,0)-1)*IF(OR(F1015="L",F1015="S",F1015="I"),-1,1),"")</f>
        <v>0</v>
      </c>
      <c r="AM1015" s="905">
        <f t="shared" si="100"/>
        <v>0</v>
      </c>
      <c r="AN1015" s="905">
        <f>INDEX(G1015:R1015,1,MATCH(Parametres!$B$3,G$1:R$1,0))*IF(OR(F1015="L",F1015="S",F1015="I"),-1,1)</f>
        <v>0</v>
      </c>
      <c r="AO1015" s="487" t="e">
        <f>+VLOOKUP($AJ1015,Data_Validation!$A:$D,1,0)</f>
        <v>#N/A</v>
      </c>
      <c r="AP1015" s="487" t="e">
        <f>+VLOOKUP($AJ1015,Data_Validation!$A:$D,3,0)</f>
        <v>#N/A</v>
      </c>
      <c r="AQ1015" s="487" t="e">
        <f>+VLOOKUP($AJ1015,Data_Validation!$A:$D,4,0)</f>
        <v>#N/A</v>
      </c>
      <c r="AR1015" s="487" t="s">
        <v>299</v>
      </c>
      <c r="AS1015" s="487" t="e">
        <f>+VLOOKUP($AJ1015,Data_Validation!$A:$E,5,0)</f>
        <v>#N/A</v>
      </c>
      <c r="AT1015" s="904" t="str">
        <f t="shared" si="101"/>
        <v>G733</v>
      </c>
      <c r="AU1015" s="488" t="str">
        <f t="shared" si="102"/>
        <v>ASSUR.VEH EN SERV.   -C/T</v>
      </c>
      <c r="AV1015" s="899">
        <f>IFERROR(INDEX(V1015:AG1015,1,MATCH(Parametres!$B$3,V$1:AG$1,0)-1)*IF(OR(C1015="L",C1015="S",C1015="I"),-1,1),"")</f>
        <v>0</v>
      </c>
      <c r="AW1015" s="899">
        <f t="shared" si="103"/>
        <v>0</v>
      </c>
      <c r="AX1015" s="899">
        <f>INDEX(V1015:AG1015,1,MATCH(Parametres!$B$3,V$1:AG$1,0))*IF(OR(C1015="L",C1015="S",C1015="I"),-1,1)</f>
        <v>0</v>
      </c>
      <c r="AY1015" s="487" t="s">
        <v>337</v>
      </c>
      <c r="AZ1015" s="487" t="e">
        <f>+VLOOKUP($AJ1015,Data_Validation!$A:$E,5,0)</f>
        <v>#N/A</v>
      </c>
    </row>
    <row r="1016" spans="1:52" ht="15" customHeight="1">
      <c r="A1016" s="706" t="s">
        <v>1148</v>
      </c>
      <c r="B1016" s="706">
        <v>2026</v>
      </c>
      <c r="C1016" s="706" t="s">
        <v>3006</v>
      </c>
      <c r="D1016" s="706" t="s">
        <v>3007</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G73300</v>
      </c>
      <c r="AK1016" s="905" t="str">
        <f t="shared" si="99"/>
        <v>ASSURANCES COURTOISIES</v>
      </c>
      <c r="AL1016" s="905">
        <f>IFERROR(INDEX(G1016:R1016,1,MATCH(Parametres!$B$3,G$1:R$1,0)-1)*IF(OR(F1016="L",F1016="S",F1016="I"),-1,1),"")</f>
        <v>0</v>
      </c>
      <c r="AM1016" s="905">
        <f t="shared" si="100"/>
        <v>0</v>
      </c>
      <c r="AN1016" s="905">
        <f>INDEX(G1016:R1016,1,MATCH(Parametres!$B$3,G$1:R$1,0))*IF(OR(F1016="L",F1016="S",F1016="I"),-1,1)</f>
        <v>0</v>
      </c>
      <c r="AO1016" s="487" t="e">
        <f>+VLOOKUP($AJ1016,Data_Validation!$A:$D,1,0)</f>
        <v>#N/A</v>
      </c>
      <c r="AP1016" s="487" t="e">
        <f>+VLOOKUP($AJ1016,Data_Validation!$A:$D,3,0)</f>
        <v>#N/A</v>
      </c>
      <c r="AQ1016" s="487" t="e">
        <f>+VLOOKUP($AJ1016,Data_Validation!$A:$D,4,0)</f>
        <v>#N/A</v>
      </c>
      <c r="AR1016" s="487" t="s">
        <v>299</v>
      </c>
      <c r="AS1016" s="487" t="e">
        <f>+VLOOKUP($AJ1016,Data_Validation!$A:$E,5,0)</f>
        <v>#N/A</v>
      </c>
      <c r="AT1016" s="904" t="str">
        <f t="shared" si="101"/>
        <v>G73300</v>
      </c>
      <c r="AU1016" s="488" t="str">
        <f t="shared" si="102"/>
        <v>ASSURANCES COURTOISIES</v>
      </c>
      <c r="AV1016" s="899">
        <f>IFERROR(INDEX(V1016:AG1016,1,MATCH(Parametres!$B$3,V$1:AG$1,0)-1)*IF(OR(C1016="L",C1016="S",C1016="I"),-1,1),"")</f>
        <v>0</v>
      </c>
      <c r="AW1016" s="899">
        <f t="shared" si="103"/>
        <v>0</v>
      </c>
      <c r="AX1016" s="899">
        <f>INDEX(V1016:AG1016,1,MATCH(Parametres!$B$3,V$1:AG$1,0))*IF(OR(C1016="L",C1016="S",C1016="I"),-1,1)</f>
        <v>0</v>
      </c>
      <c r="AY1016" s="487" t="s">
        <v>337</v>
      </c>
      <c r="AZ1016" s="487" t="e">
        <f>+VLOOKUP($AJ1016,Data_Validation!$A:$E,5,0)</f>
        <v>#N/A</v>
      </c>
    </row>
    <row r="1017" spans="1:52" ht="15" customHeight="1">
      <c r="A1017" s="706" t="s">
        <v>1148</v>
      </c>
      <c r="B1017" s="706">
        <v>2026</v>
      </c>
      <c r="C1017" s="706" t="s">
        <v>3008</v>
      </c>
      <c r="D1017" s="706" t="s">
        <v>3009</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G734</v>
      </c>
      <c r="AK1017" s="905" t="str">
        <f t="shared" si="99"/>
        <v>PLAQUE,TITRE,TAXES   -C/T</v>
      </c>
      <c r="AL1017" s="905">
        <f>IFERROR(INDEX(G1017:R1017,1,MATCH(Parametres!$B$3,G$1:R$1,0)-1)*IF(OR(F1017="L",F1017="S",F1017="I"),-1,1),"")</f>
        <v>0</v>
      </c>
      <c r="AM1017" s="905">
        <f t="shared" si="100"/>
        <v>0</v>
      </c>
      <c r="AN1017" s="905">
        <f>INDEX(G1017:R1017,1,MATCH(Parametres!$B$3,G$1:R$1,0))*IF(OR(F1017="L",F1017="S",F1017="I"),-1,1)</f>
        <v>0</v>
      </c>
      <c r="AO1017" s="487" t="e">
        <f>+VLOOKUP($AJ1017,Data_Validation!$A:$D,1,0)</f>
        <v>#N/A</v>
      </c>
      <c r="AP1017" s="487" t="e">
        <f>+VLOOKUP($AJ1017,Data_Validation!$A:$D,3,0)</f>
        <v>#N/A</v>
      </c>
      <c r="AQ1017" s="487" t="e">
        <f>+VLOOKUP($AJ1017,Data_Validation!$A:$D,4,0)</f>
        <v>#N/A</v>
      </c>
      <c r="AR1017" s="487" t="s">
        <v>299</v>
      </c>
      <c r="AS1017" s="487" t="e">
        <f>+VLOOKUP($AJ1017,Data_Validation!$A:$E,5,0)</f>
        <v>#N/A</v>
      </c>
      <c r="AT1017" s="904" t="str">
        <f t="shared" si="101"/>
        <v>G734</v>
      </c>
      <c r="AU1017" s="488" t="str">
        <f t="shared" si="102"/>
        <v>PLAQUE,TITRE,TAXES   -C/T</v>
      </c>
      <c r="AV1017" s="899">
        <f>IFERROR(INDEX(V1017:AG1017,1,MATCH(Parametres!$B$3,V$1:AG$1,0)-1)*IF(OR(C1017="L",C1017="S",C1017="I"),-1,1),"")</f>
        <v>0</v>
      </c>
      <c r="AW1017" s="899">
        <f t="shared" si="103"/>
        <v>0</v>
      </c>
      <c r="AX1017" s="899">
        <f>INDEX(V1017:AG1017,1,MATCH(Parametres!$B$3,V$1:AG$1,0))*IF(OR(C1017="L",C1017="S",C1017="I"),-1,1)</f>
        <v>0</v>
      </c>
      <c r="AY1017" s="487" t="s">
        <v>337</v>
      </c>
      <c r="AZ1017" s="487" t="e">
        <f>+VLOOKUP($AJ1017,Data_Validation!$A:$E,5,0)</f>
        <v>#N/A</v>
      </c>
    </row>
    <row r="1018" spans="1:52" ht="15" customHeight="1">
      <c r="A1018" s="706" t="s">
        <v>1148</v>
      </c>
      <c r="B1018" s="706">
        <v>2026</v>
      </c>
      <c r="C1018" s="706" t="s">
        <v>3010</v>
      </c>
      <c r="D1018" s="706" t="s">
        <v>3011</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G73400</v>
      </c>
      <c r="AK1018" s="905" t="str">
        <f t="shared" si="99"/>
        <v>PLAQUES TITRES LOC.C/TERM</v>
      </c>
      <c r="AL1018" s="905">
        <f>IFERROR(INDEX(G1018:R1018,1,MATCH(Parametres!$B$3,G$1:R$1,0)-1)*IF(OR(F1018="L",F1018="S",F1018="I"),-1,1),"")</f>
        <v>0</v>
      </c>
      <c r="AM1018" s="905">
        <f t="shared" si="100"/>
        <v>0</v>
      </c>
      <c r="AN1018" s="905">
        <f>INDEX(G1018:R1018,1,MATCH(Parametres!$B$3,G$1:R$1,0))*IF(OR(F1018="L",F1018="S",F1018="I"),-1,1)</f>
        <v>0</v>
      </c>
      <c r="AO1018" s="487" t="str">
        <f>+VLOOKUP($AJ1018,Data_Validation!$A:$D,1,0)</f>
        <v>G73400</v>
      </c>
      <c r="AP1018" s="487">
        <f>+VLOOKUP($AJ1018,Data_Validation!$A:$D,3,0)</f>
        <v>0</v>
      </c>
      <c r="AQ1018" s="487">
        <f>+VLOOKUP($AJ1018,Data_Validation!$A:$D,4,0)</f>
        <v>0</v>
      </c>
      <c r="AR1018" s="487" t="s">
        <v>299</v>
      </c>
      <c r="AS1018" s="487">
        <f>+VLOOKUP($AJ1018,Data_Validation!$A:$E,5,0)</f>
        <v>0</v>
      </c>
      <c r="AT1018" s="904" t="str">
        <f t="shared" si="101"/>
        <v>G73400</v>
      </c>
      <c r="AU1018" s="488" t="str">
        <f t="shared" si="102"/>
        <v>PLAQUES TITRES LOC.C/TERM</v>
      </c>
      <c r="AV1018" s="899">
        <f>IFERROR(INDEX(V1018:AG1018,1,MATCH(Parametres!$B$3,V$1:AG$1,0)-1)*IF(OR(C1018="L",C1018="S",C1018="I"),-1,1),"")</f>
        <v>0</v>
      </c>
      <c r="AW1018" s="899">
        <f t="shared" si="103"/>
        <v>0</v>
      </c>
      <c r="AX1018" s="899">
        <f>INDEX(V1018:AG1018,1,MATCH(Parametres!$B$3,V$1:AG$1,0))*IF(OR(C1018="L",C1018="S",C1018="I"),-1,1)</f>
        <v>0</v>
      </c>
      <c r="AY1018" s="487" t="s">
        <v>337</v>
      </c>
      <c r="AZ1018" s="487">
        <f>+VLOOKUP($AJ1018,Data_Validation!$A:$E,5,0)</f>
        <v>0</v>
      </c>
    </row>
    <row r="1019" spans="1:52" ht="15" customHeight="1">
      <c r="A1019" s="706" t="s">
        <v>1148</v>
      </c>
      <c r="B1019" s="706">
        <v>2026</v>
      </c>
      <c r="C1019" s="706" t="s">
        <v>3012</v>
      </c>
      <c r="D1019" s="706" t="s">
        <v>3013</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G735</v>
      </c>
      <c r="AK1019" s="905" t="str">
        <f t="shared" si="99"/>
        <v>TRAVAUX GRACIEUX     -C/T</v>
      </c>
      <c r="AL1019" s="905">
        <f>IFERROR(INDEX(G1019:R1019,1,MATCH(Parametres!$B$3,G$1:R$1,0)-1)*IF(OR(F1019="L",F1019="S",F1019="I"),-1,1),"")</f>
        <v>0</v>
      </c>
      <c r="AM1019" s="905">
        <f t="shared" si="100"/>
        <v>0</v>
      </c>
      <c r="AN1019" s="905">
        <f>INDEX(G1019:R1019,1,MATCH(Parametres!$B$3,G$1:R$1,0))*IF(OR(F1019="L",F1019="S",F1019="I"),-1,1)</f>
        <v>0</v>
      </c>
      <c r="AO1019" s="487" t="e">
        <f>+VLOOKUP($AJ1019,Data_Validation!$A:$D,1,0)</f>
        <v>#N/A</v>
      </c>
      <c r="AP1019" s="487" t="e">
        <f>+VLOOKUP($AJ1019,Data_Validation!$A:$D,3,0)</f>
        <v>#N/A</v>
      </c>
      <c r="AQ1019" s="487" t="e">
        <f>+VLOOKUP($AJ1019,Data_Validation!$A:$D,4,0)</f>
        <v>#N/A</v>
      </c>
      <c r="AR1019" s="487" t="s">
        <v>299</v>
      </c>
      <c r="AS1019" s="487" t="e">
        <f>+VLOOKUP($AJ1019,Data_Validation!$A:$E,5,0)</f>
        <v>#N/A</v>
      </c>
      <c r="AT1019" s="904" t="str">
        <f t="shared" si="101"/>
        <v>G735</v>
      </c>
      <c r="AU1019" s="488" t="str">
        <f t="shared" si="102"/>
        <v>TRAVAUX GRACIEUX     -C/T</v>
      </c>
      <c r="AV1019" s="899">
        <f>IFERROR(INDEX(V1019:AG1019,1,MATCH(Parametres!$B$3,V$1:AG$1,0)-1)*IF(OR(C1019="L",C1019="S",C1019="I"),-1,1),"")</f>
        <v>0</v>
      </c>
      <c r="AW1019" s="899">
        <f t="shared" si="103"/>
        <v>0</v>
      </c>
      <c r="AX1019" s="899">
        <f>INDEX(V1019:AG1019,1,MATCH(Parametres!$B$3,V$1:AG$1,0))*IF(OR(C1019="L",C1019="S",C1019="I"),-1,1)</f>
        <v>0</v>
      </c>
      <c r="AY1019" s="487" t="s">
        <v>337</v>
      </c>
      <c r="AZ1019" s="487" t="e">
        <f>+VLOOKUP($AJ1019,Data_Validation!$A:$E,5,0)</f>
        <v>#N/A</v>
      </c>
    </row>
    <row r="1020" spans="1:52" ht="15" customHeight="1">
      <c r="A1020" s="706" t="s">
        <v>1148</v>
      </c>
      <c r="B1020" s="706">
        <v>2026</v>
      </c>
      <c r="C1020" s="706" t="s">
        <v>3014</v>
      </c>
      <c r="D1020" s="706" t="s">
        <v>3015</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G736</v>
      </c>
      <c r="AK1020" s="905" t="str">
        <f t="shared" si="99"/>
        <v>REPAR.&amp; ENTRETIEN    -C/T</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G736</v>
      </c>
      <c r="AU1020" s="488" t="str">
        <f t="shared" si="102"/>
        <v>REPAR.&amp; ENTRETIEN    -C/T</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customHeight="1">
      <c r="A1021" s="706" t="s">
        <v>1148</v>
      </c>
      <c r="B1021" s="706">
        <v>2026</v>
      </c>
      <c r="C1021" s="706" t="s">
        <v>3016</v>
      </c>
      <c r="D1021" s="706" t="s">
        <v>3017</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G73600</v>
      </c>
      <c r="AK1021" s="905" t="str">
        <f t="shared" si="99"/>
        <v>REPAR. ENTRETIEN LOC C/T</v>
      </c>
      <c r="AL1021" s="905">
        <f>IFERROR(INDEX(G1021:R1021,1,MATCH(Parametres!$B$3,G$1:R$1,0)-1)*IF(OR(F1021="L",F1021="S",F1021="I"),-1,1),"")</f>
        <v>0</v>
      </c>
      <c r="AM1021" s="905">
        <f t="shared" si="100"/>
        <v>0</v>
      </c>
      <c r="AN1021" s="905">
        <f>INDEX(G1021:R1021,1,MATCH(Parametres!$B$3,G$1:R$1,0))*IF(OR(F1021="L",F1021="S",F1021="I"),-1,1)</f>
        <v>0</v>
      </c>
      <c r="AO1021" s="487" t="str">
        <f>+VLOOKUP($AJ1021,Data_Validation!$A:$D,1,0)</f>
        <v>G73600</v>
      </c>
      <c r="AP1021" s="487">
        <f>+VLOOKUP($AJ1021,Data_Validation!$A:$D,3,0)</f>
        <v>0</v>
      </c>
      <c r="AQ1021" s="487">
        <f>+VLOOKUP($AJ1021,Data_Validation!$A:$D,4,0)</f>
        <v>0</v>
      </c>
      <c r="AR1021" s="487" t="s">
        <v>299</v>
      </c>
      <c r="AS1021" s="487">
        <f>+VLOOKUP($AJ1021,Data_Validation!$A:$E,5,0)</f>
        <v>0</v>
      </c>
      <c r="AT1021" s="904" t="str">
        <f t="shared" si="101"/>
        <v>G73600</v>
      </c>
      <c r="AU1021" s="488" t="str">
        <f t="shared" si="102"/>
        <v>REPAR. ENTRETIEN LOC C/T</v>
      </c>
      <c r="AV1021" s="899">
        <f>IFERROR(INDEX(V1021:AG1021,1,MATCH(Parametres!$B$3,V$1:AG$1,0)-1)*IF(OR(C1021="L",C1021="S",C1021="I"),-1,1),"")</f>
        <v>0</v>
      </c>
      <c r="AW1021" s="899">
        <f t="shared" si="103"/>
        <v>0</v>
      </c>
      <c r="AX1021" s="899">
        <f>INDEX(V1021:AG1021,1,MATCH(Parametres!$B$3,V$1:AG$1,0))*IF(OR(C1021="L",C1021="S",C1021="I"),-1,1)</f>
        <v>0</v>
      </c>
      <c r="AY1021" s="487" t="s">
        <v>337</v>
      </c>
      <c r="AZ1021" s="487">
        <f>+VLOOKUP($AJ1021,Data_Validation!$A:$E,5,0)</f>
        <v>0</v>
      </c>
    </row>
    <row r="1022" spans="1:52" ht="15" customHeight="1">
      <c r="A1022" s="706" t="s">
        <v>1148</v>
      </c>
      <c r="B1022" s="706">
        <v>2026</v>
      </c>
      <c r="C1022" s="706" t="s">
        <v>3018</v>
      </c>
      <c r="D1022" s="706" t="s">
        <v>3019</v>
      </c>
      <c r="E1022" s="706" t="s">
        <v>333</v>
      </c>
      <c r="F1022" s="706" t="s">
        <v>1104</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G737</v>
      </c>
      <c r="AK1022" s="905" t="str">
        <f t="shared" si="99"/>
        <v>PRIX LOC.UNIT.S-LOUE -C/T</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G737</v>
      </c>
      <c r="AU1022" s="488" t="str">
        <f t="shared" si="102"/>
        <v>PRIX LOC.UNIT.S-LOUE -C/T</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customHeight="1">
      <c r="A1023" s="706" t="s">
        <v>1148</v>
      </c>
      <c r="B1023" s="706">
        <v>2026</v>
      </c>
      <c r="C1023" s="706" t="s">
        <v>3020</v>
      </c>
      <c r="D1023" s="706" t="s">
        <v>3021</v>
      </c>
      <c r="E1023" s="706" t="s">
        <v>333</v>
      </c>
      <c r="F1023" s="706" t="s">
        <v>1104</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G738</v>
      </c>
      <c r="AK1023" s="905" t="str">
        <f t="shared" si="99"/>
        <v>AUTRES               -C/T</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G738</v>
      </c>
      <c r="AU1023" s="488" t="str">
        <f t="shared" si="102"/>
        <v>AUTRES               -C/T</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customHeight="1">
      <c r="A1024" s="706" t="s">
        <v>1148</v>
      </c>
      <c r="B1024" s="706">
        <v>2026</v>
      </c>
      <c r="C1024" s="706" t="s">
        <v>3022</v>
      </c>
      <c r="D1024" s="706" t="s">
        <v>3023</v>
      </c>
      <c r="E1024" s="706" t="s">
        <v>333</v>
      </c>
      <c r="F1024" s="706" t="s">
        <v>1104</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G740</v>
      </c>
      <c r="AK1024" s="905" t="str">
        <f t="shared" ref="AK1024:AK1025" si="105">D1024</f>
        <v>COMM.DIRECT.F&amp;A LOC C&amp;L</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G740</v>
      </c>
      <c r="AU1024" s="488" t="str">
        <f t="shared" ref="AU1024:AU1025" si="108">D1024</f>
        <v>COMM.DIRECT.F&amp;A LOC C&amp;L</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customHeight="1">
      <c r="A1025" s="706" t="s">
        <v>1148</v>
      </c>
      <c r="B1025" s="706">
        <v>2026</v>
      </c>
      <c r="C1025" s="706" t="s">
        <v>3024</v>
      </c>
      <c r="D1025" s="706" t="s">
        <v>3025</v>
      </c>
      <c r="E1025" s="706" t="s">
        <v>333</v>
      </c>
      <c r="F1025" s="706" t="s">
        <v>1104</v>
      </c>
      <c r="G1025" s="706">
        <v>0</v>
      </c>
      <c r="H1025" s="706">
        <v>0</v>
      </c>
      <c r="I1025" s="706">
        <v>0</v>
      </c>
      <c r="J1025" s="706">
        <v>0</v>
      </c>
      <c r="K1025" s="706">
        <v>0</v>
      </c>
      <c r="L1025" s="706">
        <v>0</v>
      </c>
      <c r="M1025" s="706">
        <v>0</v>
      </c>
      <c r="N1025" s="706">
        <v>0</v>
      </c>
      <c r="O1025" s="706">
        <v>0</v>
      </c>
      <c r="P1025" s="706">
        <v>0</v>
      </c>
      <c r="Q1025" s="706">
        <v>0</v>
      </c>
      <c r="R1025" s="706">
        <v>0</v>
      </c>
      <c r="S1025" s="706">
        <v>0</v>
      </c>
      <c r="T1025" s="706">
        <v>0</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G741</v>
      </c>
      <c r="AK1025" s="905" t="str">
        <f t="shared" si="105"/>
        <v>RETROFACT.F&amp;A LOC C&amp;L TER</v>
      </c>
      <c r="AL1025" s="905">
        <f>IFERROR(INDEX(G1025:R1025,1,MATCH(Parametres!$B$3,G$1:R$1,0)-1)*IF(OR(F1025="L",F1025="S",F1025="I"),-1,1),"")</f>
        <v>0</v>
      </c>
      <c r="AM1025" s="905">
        <f t="shared" si="106"/>
        <v>0</v>
      </c>
      <c r="AN1025" s="905">
        <f>INDEX(G1025:R1025,1,MATCH(Parametres!$B$3,G$1:R$1,0))*IF(OR(F1025="L",F1025="S",F1025="I"),-1,1)</f>
        <v>0</v>
      </c>
      <c r="AO1025" s="487" t="e">
        <f>+VLOOKUP($AJ1025,Data_Validation!$A:$D,1,0)</f>
        <v>#N/A</v>
      </c>
      <c r="AP1025" s="487" t="e">
        <f>+VLOOKUP($AJ1025,Data_Validation!$A:$D,3,0)</f>
        <v>#N/A</v>
      </c>
      <c r="AQ1025" s="487" t="e">
        <f>+VLOOKUP($AJ1025,Data_Validation!$A:$D,4,0)</f>
        <v>#N/A</v>
      </c>
      <c r="AR1025" s="487" t="s">
        <v>299</v>
      </c>
      <c r="AS1025" s="487" t="e">
        <f>+VLOOKUP($AJ1025,Data_Validation!$A:$E,5,0)</f>
        <v>#N/A</v>
      </c>
      <c r="AT1025" s="904" t="str">
        <f t="shared" si="107"/>
        <v>G741</v>
      </c>
      <c r="AU1025" s="488" t="str">
        <f t="shared" si="108"/>
        <v>RETROFACT.F&amp;A LOC C&amp;L TER</v>
      </c>
      <c r="AV1025" s="899">
        <f>IFERROR(INDEX(V1025:AG1025,1,MATCH(Parametres!$B$3,V$1:AG$1,0)-1)*IF(OR(C1025="L",C1025="S",C1025="I"),-1,1),"")</f>
        <v>0</v>
      </c>
      <c r="AW1025" s="899">
        <f t="shared" si="109"/>
        <v>0</v>
      </c>
      <c r="AX1025" s="899">
        <f>INDEX(V1025:AG1025,1,MATCH(Parametres!$B$3,V$1:AG$1,0))*IF(OR(C1025="L",C1025="S",C1025="I"),-1,1)</f>
        <v>0</v>
      </c>
      <c r="AY1025" s="487" t="s">
        <v>337</v>
      </c>
      <c r="AZ1025" s="487" t="e">
        <f>+VLOOKUP($AJ1025,Data_Validation!$A:$E,5,0)</f>
        <v>#N/A</v>
      </c>
    </row>
    <row r="1026" spans="1:52" ht="15" customHeight="1">
      <c r="A1026" s="706" t="s">
        <v>1148</v>
      </c>
      <c r="B1026" s="706">
        <v>2026</v>
      </c>
      <c r="C1026" s="706" t="s">
        <v>3026</v>
      </c>
      <c r="D1026" s="706" t="s">
        <v>3027</v>
      </c>
      <c r="E1026" s="706" t="s">
        <v>333</v>
      </c>
      <c r="F1026" s="706" t="s">
        <v>1150</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G806</v>
      </c>
      <c r="AK1026" s="905" t="str">
        <f t="shared" ref="AK1026:AK1076" si="111">D1026</f>
        <v>REVENU FINANCE - NEUF</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G806</v>
      </c>
      <c r="AU1026" s="488" t="str">
        <f t="shared" ref="AU1026:AU1076" si="114">D1026</f>
        <v>REVENU FINANCE - NEUF</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customHeight="1">
      <c r="A1027" s="706" t="s">
        <v>1148</v>
      </c>
      <c r="B1027" s="706">
        <v>2026</v>
      </c>
      <c r="C1027" s="706" t="s">
        <v>3028</v>
      </c>
      <c r="D1027" s="706" t="s">
        <v>3029</v>
      </c>
      <c r="E1027" s="706" t="s">
        <v>333</v>
      </c>
      <c r="F1027" s="706" t="s">
        <v>1150</v>
      </c>
      <c r="G1027" s="706">
        <v>0</v>
      </c>
      <c r="H1027" s="706">
        <v>-291.51</v>
      </c>
      <c r="I1027" s="706">
        <v>1158.49</v>
      </c>
      <c r="J1027" s="706">
        <v>6748.1</v>
      </c>
      <c r="K1027" s="706">
        <v>8664.1200000000008</v>
      </c>
      <c r="L1027" s="706">
        <v>11124.29</v>
      </c>
      <c r="M1027" s="706">
        <v>12124.29</v>
      </c>
      <c r="N1027" s="706">
        <v>12124.29</v>
      </c>
      <c r="O1027" s="706">
        <v>13622.79</v>
      </c>
      <c r="P1027" s="706">
        <v>0</v>
      </c>
      <c r="Q1027" s="706">
        <v>0</v>
      </c>
      <c r="R1027" s="706">
        <v>0</v>
      </c>
      <c r="S1027" s="706">
        <v>1515.54</v>
      </c>
      <c r="T1027" s="706">
        <v>1515.54</v>
      </c>
      <c r="U1027" s="706">
        <v>0</v>
      </c>
      <c r="V1027" s="706">
        <v>0</v>
      </c>
      <c r="W1027" s="706">
        <v>-1</v>
      </c>
      <c r="X1027" s="706">
        <v>1</v>
      </c>
      <c r="Y1027" s="706">
        <v>8</v>
      </c>
      <c r="Z1027" s="706">
        <v>9</v>
      </c>
      <c r="AA1027" s="706">
        <v>10</v>
      </c>
      <c r="AB1027" s="706">
        <v>11</v>
      </c>
      <c r="AC1027" s="706">
        <v>11</v>
      </c>
      <c r="AD1027" s="706">
        <v>13</v>
      </c>
      <c r="AE1027" s="706">
        <v>0</v>
      </c>
      <c r="AF1027" s="706">
        <v>0</v>
      </c>
      <c r="AG1027" s="706">
        <v>0</v>
      </c>
      <c r="AH1027" s="706">
        <v>1</v>
      </c>
      <c r="AI1027" s="706">
        <v>1</v>
      </c>
      <c r="AJ1027" s="905" t="str">
        <f t="shared" si="110"/>
        <v>G80600</v>
      </c>
      <c r="AK1027" s="905" t="str">
        <f t="shared" si="111"/>
        <v>REVENUS FINANCE VEH. NEUF</v>
      </c>
      <c r="AL1027" s="905">
        <f>IFERROR(INDEX(G1027:R1027,1,MATCH(Parametres!$B$3,G$1:R$1,0)-1)*IF(OR(F1027="L",F1027="S",F1027="I"),-1,1),"")</f>
        <v>-12124.29</v>
      </c>
      <c r="AM1027" s="905">
        <f t="shared" si="112"/>
        <v>0</v>
      </c>
      <c r="AN1027" s="905">
        <f>INDEX(G1027:R1027,1,MATCH(Parametres!$B$3,G$1:R$1,0))*IF(OR(F1027="L",F1027="S",F1027="I"),-1,1)</f>
        <v>-12124.29</v>
      </c>
      <c r="AO1027" s="487" t="str">
        <f>+VLOOKUP($AJ1027,Data_Validation!$A:$D,1,0)</f>
        <v>G80600</v>
      </c>
      <c r="AP1027" s="487" t="str">
        <f>+VLOOKUP($AJ1027,Data_Validation!$A:$D,3,0)</f>
        <v>Véhicules neufs</v>
      </c>
      <c r="AQ1027" s="487" t="str">
        <f>+VLOOKUP($AJ1027,Data_Validation!$A:$D,4,0)</f>
        <v>Rev. Finances</v>
      </c>
      <c r="AR1027" s="487" t="s">
        <v>299</v>
      </c>
      <c r="AS1027" s="487" t="str">
        <f>+VLOOKUP($AJ1027,Data_Validation!$A:$E,5,0)</f>
        <v>Oui</v>
      </c>
      <c r="AT1027" s="904" t="str">
        <f t="shared" si="113"/>
        <v>G80600</v>
      </c>
      <c r="AU1027" s="488" t="str">
        <f t="shared" si="114"/>
        <v>REVENUS FINANCE VEH. NEUF</v>
      </c>
      <c r="AV1027" s="899">
        <f>IFERROR(INDEX(V1027:AG1027,1,MATCH(Parametres!$B$3,V$1:AG$1,0)-1)*IF(OR(C1027="L",C1027="S",C1027="I"),-1,1),"")</f>
        <v>11</v>
      </c>
      <c r="AW1027" s="899">
        <f t="shared" si="115"/>
        <v>0</v>
      </c>
      <c r="AX1027" s="899">
        <f>INDEX(V1027:AG1027,1,MATCH(Parametres!$B$3,V$1:AG$1,0))*IF(OR(C1027="L",C1027="S",C1027="I"),-1,1)</f>
        <v>11</v>
      </c>
      <c r="AY1027" s="487" t="s">
        <v>337</v>
      </c>
      <c r="AZ1027" s="487" t="str">
        <f>+VLOOKUP($AJ1027,Data_Validation!$A:$E,5,0)</f>
        <v>Oui</v>
      </c>
    </row>
    <row r="1028" spans="1:52" ht="15" customHeight="1">
      <c r="A1028" s="706" t="s">
        <v>1148</v>
      </c>
      <c r="B1028" s="706">
        <v>2026</v>
      </c>
      <c r="C1028" s="706" t="s">
        <v>3030</v>
      </c>
      <c r="D1028" s="706" t="s">
        <v>3031</v>
      </c>
      <c r="E1028" s="706" t="s">
        <v>333</v>
      </c>
      <c r="F1028" s="706" t="s">
        <v>1150</v>
      </c>
      <c r="G1028" s="706">
        <v>0</v>
      </c>
      <c r="H1028" s="706">
        <v>0</v>
      </c>
      <c r="I1028" s="706">
        <v>0</v>
      </c>
      <c r="J1028" s="706">
        <v>0</v>
      </c>
      <c r="K1028" s="706">
        <v>0</v>
      </c>
      <c r="L1028" s="706">
        <v>0</v>
      </c>
      <c r="M1028" s="706">
        <v>0</v>
      </c>
      <c r="N1028" s="706">
        <v>0</v>
      </c>
      <c r="O1028" s="706">
        <v>0</v>
      </c>
      <c r="P1028" s="706">
        <v>0</v>
      </c>
      <c r="Q1028" s="706">
        <v>0</v>
      </c>
      <c r="R1028" s="706">
        <v>0</v>
      </c>
      <c r="S1028" s="706">
        <v>0</v>
      </c>
      <c r="T1028" s="706">
        <v>0</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G807</v>
      </c>
      <c r="AK1028" s="905" t="str">
        <f t="shared" si="111"/>
        <v>COMM/ASSURANCE - NEUF</v>
      </c>
      <c r="AL1028" s="905">
        <f>IFERROR(INDEX(G1028:R1028,1,MATCH(Parametres!$B$3,G$1:R$1,0)-1)*IF(OR(F1028="L",F1028="S",F1028="I"),-1,1),"")</f>
        <v>0</v>
      </c>
      <c r="AM1028" s="905">
        <f t="shared" si="112"/>
        <v>0</v>
      </c>
      <c r="AN1028" s="905">
        <f>INDEX(G1028:R1028,1,MATCH(Parametres!$B$3,G$1:R$1,0))*IF(OR(F1028="L",F1028="S",F1028="I"),-1,1)</f>
        <v>0</v>
      </c>
      <c r="AO1028" s="487" t="e">
        <f>+VLOOKUP($AJ1028,Data_Validation!$A:$D,1,0)</f>
        <v>#N/A</v>
      </c>
      <c r="AP1028" s="487" t="e">
        <f>+VLOOKUP($AJ1028,Data_Validation!$A:$D,3,0)</f>
        <v>#N/A</v>
      </c>
      <c r="AQ1028" s="487" t="e">
        <f>+VLOOKUP($AJ1028,Data_Validation!$A:$D,4,0)</f>
        <v>#N/A</v>
      </c>
      <c r="AR1028" s="487" t="s">
        <v>299</v>
      </c>
      <c r="AS1028" s="487" t="e">
        <f>+VLOOKUP($AJ1028,Data_Validation!$A:$E,5,0)</f>
        <v>#N/A</v>
      </c>
      <c r="AT1028" s="904" t="str">
        <f t="shared" si="113"/>
        <v>G807</v>
      </c>
      <c r="AU1028" s="488" t="str">
        <f t="shared" si="114"/>
        <v>COMM/ASSURANCE - NEUF</v>
      </c>
      <c r="AV1028" s="899">
        <f>IFERROR(INDEX(V1028:AG1028,1,MATCH(Parametres!$B$3,V$1:AG$1,0)-1)*IF(OR(C1028="L",C1028="S",C1028="I"),-1,1),"")</f>
        <v>0</v>
      </c>
      <c r="AW1028" s="899">
        <f t="shared" si="115"/>
        <v>0</v>
      </c>
      <c r="AX1028" s="899">
        <f>INDEX(V1028:AG1028,1,MATCH(Parametres!$B$3,V$1:AG$1,0))*IF(OR(C1028="L",C1028="S",C1028="I"),-1,1)</f>
        <v>0</v>
      </c>
      <c r="AY1028" s="487" t="s">
        <v>337</v>
      </c>
      <c r="AZ1028" s="487" t="e">
        <f>+VLOOKUP($AJ1028,Data_Validation!$A:$E,5,0)</f>
        <v>#N/A</v>
      </c>
    </row>
    <row r="1029" spans="1:52" ht="15" customHeight="1">
      <c r="A1029" s="706" t="s">
        <v>1148</v>
      </c>
      <c r="B1029" s="706">
        <v>2026</v>
      </c>
      <c r="C1029" s="706" t="s">
        <v>3032</v>
      </c>
      <c r="D1029" s="706" t="s">
        <v>3033</v>
      </c>
      <c r="E1029" s="706" t="s">
        <v>333</v>
      </c>
      <c r="F1029" s="706" t="s">
        <v>1150</v>
      </c>
      <c r="G1029" s="706">
        <v>2016.14</v>
      </c>
      <c r="H1029" s="706">
        <v>6065.08</v>
      </c>
      <c r="I1029" s="706">
        <v>6065.08</v>
      </c>
      <c r="J1029" s="706">
        <v>9866.18</v>
      </c>
      <c r="K1029" s="706">
        <v>9866.18</v>
      </c>
      <c r="L1029" s="706">
        <v>23237.93</v>
      </c>
      <c r="M1029" s="706">
        <v>23237.93</v>
      </c>
      <c r="N1029" s="706">
        <v>23237.93</v>
      </c>
      <c r="O1029" s="706">
        <v>24019.73</v>
      </c>
      <c r="P1029" s="706">
        <v>0</v>
      </c>
      <c r="Q1029" s="706">
        <v>0</v>
      </c>
      <c r="R1029" s="706">
        <v>0</v>
      </c>
      <c r="S1029" s="706">
        <v>2904.74</v>
      </c>
      <c r="T1029" s="706">
        <v>2904.74</v>
      </c>
      <c r="U1029" s="706">
        <v>0</v>
      </c>
      <c r="V1029" s="706">
        <v>0</v>
      </c>
      <c r="W1029" s="706">
        <v>0</v>
      </c>
      <c r="X1029" s="706">
        <v>0</v>
      </c>
      <c r="Y1029" s="706">
        <v>-1</v>
      </c>
      <c r="Z1029" s="706">
        <v>-1</v>
      </c>
      <c r="AA1029" s="706">
        <v>-1</v>
      </c>
      <c r="AB1029" s="706">
        <v>-1</v>
      </c>
      <c r="AC1029" s="706">
        <v>-1</v>
      </c>
      <c r="AD1029" s="706">
        <v>0</v>
      </c>
      <c r="AE1029" s="706">
        <v>0</v>
      </c>
      <c r="AF1029" s="706">
        <v>0</v>
      </c>
      <c r="AG1029" s="706">
        <v>0</v>
      </c>
      <c r="AH1029" s="706">
        <v>0</v>
      </c>
      <c r="AI1029" s="706">
        <v>0</v>
      </c>
      <c r="AJ1029" s="905" t="str">
        <f t="shared" si="110"/>
        <v>G80700</v>
      </c>
      <c r="AK1029" s="905" t="str">
        <f t="shared" si="111"/>
        <v>REV. ASS-VIE INVAL. NEUF</v>
      </c>
      <c r="AL1029" s="905">
        <f>IFERROR(INDEX(G1029:R1029,1,MATCH(Parametres!$B$3,G$1:R$1,0)-1)*IF(OR(F1029="L",F1029="S",F1029="I"),-1,1),"")</f>
        <v>-23237.93</v>
      </c>
      <c r="AM1029" s="905">
        <f t="shared" si="112"/>
        <v>0</v>
      </c>
      <c r="AN1029" s="905">
        <f>INDEX(G1029:R1029,1,MATCH(Parametres!$B$3,G$1:R$1,0))*IF(OR(F1029="L",F1029="S",F1029="I"),-1,1)</f>
        <v>-23237.93</v>
      </c>
      <c r="AO1029" s="487" t="str">
        <f>+VLOOKUP($AJ1029,Data_Validation!$A:$D,1,0)</f>
        <v>G80700</v>
      </c>
      <c r="AP1029" s="487" t="str">
        <f>+VLOOKUP($AJ1029,Data_Validation!$A:$D,3,0)</f>
        <v>Véhicules neufs</v>
      </c>
      <c r="AQ1029" s="487" t="str">
        <f>+VLOOKUP($AJ1029,Data_Validation!$A:$D,4,0)</f>
        <v>Rev. Protections</v>
      </c>
      <c r="AR1029" s="487" t="s">
        <v>299</v>
      </c>
      <c r="AS1029" s="487" t="str">
        <f>+VLOOKUP($AJ1029,Data_Validation!$A:$E,5,0)</f>
        <v>Oui</v>
      </c>
      <c r="AT1029" s="904" t="str">
        <f t="shared" si="113"/>
        <v>G80700</v>
      </c>
      <c r="AU1029" s="488" t="str">
        <f t="shared" si="114"/>
        <v>REV. ASS-VIE INVAL. NEUF</v>
      </c>
      <c r="AV1029" s="899">
        <f>IFERROR(INDEX(V1029:AG1029,1,MATCH(Parametres!$B$3,V$1:AG$1,0)-1)*IF(OR(C1029="L",C1029="S",C1029="I"),-1,1),"")</f>
        <v>-1</v>
      </c>
      <c r="AW1029" s="899">
        <f t="shared" si="115"/>
        <v>0</v>
      </c>
      <c r="AX1029" s="899">
        <f>INDEX(V1029:AG1029,1,MATCH(Parametres!$B$3,V$1:AG$1,0))*IF(OR(C1029="L",C1029="S",C1029="I"),-1,1)</f>
        <v>-1</v>
      </c>
      <c r="AY1029" s="487" t="s">
        <v>337</v>
      </c>
      <c r="AZ1029" s="487" t="str">
        <f>+VLOOKUP($AJ1029,Data_Validation!$A:$E,5,0)</f>
        <v>Oui</v>
      </c>
    </row>
    <row r="1030" spans="1:52" ht="15" customHeight="1">
      <c r="A1030" s="706" t="s">
        <v>1148</v>
      </c>
      <c r="B1030" s="706">
        <v>2026</v>
      </c>
      <c r="C1030" s="706" t="s">
        <v>3034</v>
      </c>
      <c r="D1030" s="706" t="s">
        <v>3035</v>
      </c>
      <c r="E1030" s="706" t="s">
        <v>333</v>
      </c>
      <c r="F1030" s="706" t="s">
        <v>1150</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G808</v>
      </c>
      <c r="AK1030" s="905" t="str">
        <f t="shared" si="111"/>
        <v>REVENU FINANCEMENT USAGES</v>
      </c>
      <c r="AL1030" s="905">
        <f>IFERROR(INDEX(G1030:R1030,1,MATCH(Parametres!$B$3,G$1:R$1,0)-1)*IF(OR(F1030="L",F1030="S",F1030="I"),-1,1),"")</f>
        <v>0</v>
      </c>
      <c r="AM1030" s="905">
        <f t="shared" si="112"/>
        <v>0</v>
      </c>
      <c r="AN1030" s="905">
        <f>INDEX(G1030:R1030,1,MATCH(Parametres!$B$3,G$1:R$1,0))*IF(OR(F1030="L",F1030="S",F1030="I"),-1,1)</f>
        <v>0</v>
      </c>
      <c r="AO1030" s="487" t="e">
        <f>+VLOOKUP($AJ1030,Data_Validation!$A:$D,1,0)</f>
        <v>#N/A</v>
      </c>
      <c r="AP1030" s="487" t="e">
        <f>+VLOOKUP($AJ1030,Data_Validation!$A:$D,3,0)</f>
        <v>#N/A</v>
      </c>
      <c r="AQ1030" s="487" t="e">
        <f>+VLOOKUP($AJ1030,Data_Validation!$A:$D,4,0)</f>
        <v>#N/A</v>
      </c>
      <c r="AR1030" s="487" t="s">
        <v>299</v>
      </c>
      <c r="AS1030" s="487" t="e">
        <f>+VLOOKUP($AJ1030,Data_Validation!$A:$E,5,0)</f>
        <v>#N/A</v>
      </c>
      <c r="AT1030" s="904" t="str">
        <f t="shared" si="113"/>
        <v>G808</v>
      </c>
      <c r="AU1030" s="488" t="str">
        <f t="shared" si="114"/>
        <v>REVENU FINANCEMENT USAGES</v>
      </c>
      <c r="AV1030" s="899">
        <f>IFERROR(INDEX(V1030:AG1030,1,MATCH(Parametres!$B$3,V$1:AG$1,0)-1)*IF(OR(C1030="L",C1030="S",C1030="I"),-1,1),"")</f>
        <v>0</v>
      </c>
      <c r="AW1030" s="899">
        <f t="shared" si="115"/>
        <v>0</v>
      </c>
      <c r="AX1030" s="899">
        <f>INDEX(V1030:AG1030,1,MATCH(Parametres!$B$3,V$1:AG$1,0))*IF(OR(C1030="L",C1030="S",C1030="I"),-1,1)</f>
        <v>0</v>
      </c>
      <c r="AY1030" s="487" t="s">
        <v>337</v>
      </c>
      <c r="AZ1030" s="487" t="e">
        <f>+VLOOKUP($AJ1030,Data_Validation!$A:$E,5,0)</f>
        <v>#N/A</v>
      </c>
    </row>
    <row r="1031" spans="1:52" ht="15" customHeight="1">
      <c r="A1031" s="706" t="s">
        <v>1148</v>
      </c>
      <c r="B1031" s="706">
        <v>2026</v>
      </c>
      <c r="C1031" s="706" t="s">
        <v>3036</v>
      </c>
      <c r="D1031" s="706" t="s">
        <v>3037</v>
      </c>
      <c r="E1031" s="706" t="s">
        <v>333</v>
      </c>
      <c r="F1031" s="706" t="s">
        <v>1150</v>
      </c>
      <c r="G1031" s="706">
        <v>6932.74</v>
      </c>
      <c r="H1031" s="706">
        <v>12944.93</v>
      </c>
      <c r="I1031" s="706">
        <v>25188.84</v>
      </c>
      <c r="J1031" s="706">
        <v>34384.089999999997</v>
      </c>
      <c r="K1031" s="706">
        <v>43238.29</v>
      </c>
      <c r="L1031" s="706">
        <v>45460.49</v>
      </c>
      <c r="M1031" s="706">
        <v>62450.49</v>
      </c>
      <c r="N1031" s="706">
        <v>77788.59</v>
      </c>
      <c r="O1031" s="706">
        <v>78500.03</v>
      </c>
      <c r="P1031" s="706">
        <v>0</v>
      </c>
      <c r="Q1031" s="706">
        <v>0</v>
      </c>
      <c r="R1031" s="706">
        <v>0</v>
      </c>
      <c r="S1031" s="706">
        <v>9723.57</v>
      </c>
      <c r="T1031" s="706">
        <v>9723.57</v>
      </c>
      <c r="U1031" s="706">
        <v>0</v>
      </c>
      <c r="V1031" s="706">
        <v>7</v>
      </c>
      <c r="W1031" s="706">
        <v>11</v>
      </c>
      <c r="X1031" s="706">
        <v>21</v>
      </c>
      <c r="Y1031" s="706">
        <v>29</v>
      </c>
      <c r="Z1031" s="706">
        <v>41</v>
      </c>
      <c r="AA1031" s="706">
        <v>44</v>
      </c>
      <c r="AB1031" s="706">
        <v>59</v>
      </c>
      <c r="AC1031" s="706">
        <v>75</v>
      </c>
      <c r="AD1031" s="706">
        <v>76</v>
      </c>
      <c r="AE1031" s="706">
        <v>0</v>
      </c>
      <c r="AF1031" s="706">
        <v>0</v>
      </c>
      <c r="AG1031" s="706">
        <v>0</v>
      </c>
      <c r="AH1031" s="706">
        <v>9</v>
      </c>
      <c r="AI1031" s="706">
        <v>9</v>
      </c>
      <c r="AJ1031" s="905" t="str">
        <f t="shared" si="110"/>
        <v>G80800</v>
      </c>
      <c r="AK1031" s="905" t="str">
        <f t="shared" si="111"/>
        <v>REVENUS FINANCE VEH.USAGE</v>
      </c>
      <c r="AL1031" s="905">
        <f>IFERROR(INDEX(G1031:R1031,1,MATCH(Parametres!$B$3,G$1:R$1,0)-1)*IF(OR(F1031="L",F1031="S",F1031="I"),-1,1),"")</f>
        <v>-62450.49</v>
      </c>
      <c r="AM1031" s="905">
        <f t="shared" si="112"/>
        <v>-15338.099999999999</v>
      </c>
      <c r="AN1031" s="905">
        <f>INDEX(G1031:R1031,1,MATCH(Parametres!$B$3,G$1:R$1,0))*IF(OR(F1031="L",F1031="S",F1031="I"),-1,1)</f>
        <v>-77788.59</v>
      </c>
      <c r="AO1031" s="487" t="str">
        <f>+VLOOKUP($AJ1031,Data_Validation!$A:$D,1,0)</f>
        <v>G80800</v>
      </c>
      <c r="AP1031" s="487" t="str">
        <f>+VLOOKUP($AJ1031,Data_Validation!$A:$D,3,0)</f>
        <v>Véhicules usagés</v>
      </c>
      <c r="AQ1031" s="487" t="str">
        <f>+VLOOKUP($AJ1031,Data_Validation!$A:$D,4,0)</f>
        <v>Rev. Finances</v>
      </c>
      <c r="AR1031" s="487" t="s">
        <v>299</v>
      </c>
      <c r="AS1031" s="487" t="str">
        <f>+VLOOKUP($AJ1031,Data_Validation!$A:$E,5,0)</f>
        <v>Oui</v>
      </c>
      <c r="AT1031" s="904" t="str">
        <f t="shared" si="113"/>
        <v>G80800</v>
      </c>
      <c r="AU1031" s="488" t="str">
        <f t="shared" si="114"/>
        <v>REVENUS FINANCE VEH.USAGE</v>
      </c>
      <c r="AV1031" s="899">
        <f>IFERROR(INDEX(V1031:AG1031,1,MATCH(Parametres!$B$3,V$1:AG$1,0)-1)*IF(OR(C1031="L",C1031="S",C1031="I"),-1,1),"")</f>
        <v>59</v>
      </c>
      <c r="AW1031" s="899">
        <f t="shared" si="115"/>
        <v>16</v>
      </c>
      <c r="AX1031" s="899">
        <f>INDEX(V1031:AG1031,1,MATCH(Parametres!$B$3,V$1:AG$1,0))*IF(OR(C1031="L",C1031="S",C1031="I"),-1,1)</f>
        <v>75</v>
      </c>
      <c r="AY1031" s="487" t="s">
        <v>337</v>
      </c>
      <c r="AZ1031" s="487" t="str">
        <f>+VLOOKUP($AJ1031,Data_Validation!$A:$E,5,0)</f>
        <v>Oui</v>
      </c>
    </row>
    <row r="1032" spans="1:52" ht="15" customHeight="1">
      <c r="A1032" s="706" t="s">
        <v>1148</v>
      </c>
      <c r="B1032" s="706">
        <v>2026</v>
      </c>
      <c r="C1032" s="706" t="s">
        <v>3038</v>
      </c>
      <c r="D1032" s="706" t="s">
        <v>3039</v>
      </c>
      <c r="E1032" s="706" t="s">
        <v>333</v>
      </c>
      <c r="F1032" s="706" t="s">
        <v>1150</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G809</v>
      </c>
      <c r="AK1032" s="905" t="str">
        <f t="shared" si="111"/>
        <v>COMM/ASSURANCE USAGES</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G809</v>
      </c>
      <c r="AU1032" s="488" t="str">
        <f t="shared" si="114"/>
        <v>COMM/ASSURANCE USAGES</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customHeight="1">
      <c r="A1033" s="706" t="s">
        <v>1148</v>
      </c>
      <c r="B1033" s="706">
        <v>2026</v>
      </c>
      <c r="C1033" s="706" t="s">
        <v>3040</v>
      </c>
      <c r="D1033" s="706" t="s">
        <v>3041</v>
      </c>
      <c r="E1033" s="706" t="s">
        <v>333</v>
      </c>
      <c r="F1033" s="706" t="s">
        <v>1150</v>
      </c>
      <c r="G1033" s="706">
        <v>969.88</v>
      </c>
      <c r="H1033" s="706">
        <v>969.88</v>
      </c>
      <c r="I1033" s="706">
        <v>969.88</v>
      </c>
      <c r="J1033" s="706">
        <v>3540.5</v>
      </c>
      <c r="K1033" s="706">
        <v>3540.5</v>
      </c>
      <c r="L1033" s="706">
        <v>3540.5</v>
      </c>
      <c r="M1033" s="706">
        <v>3540.5</v>
      </c>
      <c r="N1033" s="706">
        <v>3540.5</v>
      </c>
      <c r="O1033" s="706">
        <v>3540.5</v>
      </c>
      <c r="P1033" s="706">
        <v>0</v>
      </c>
      <c r="Q1033" s="706">
        <v>0</v>
      </c>
      <c r="R1033" s="706">
        <v>0</v>
      </c>
      <c r="S1033" s="706">
        <v>442.56</v>
      </c>
      <c r="T1033" s="706">
        <v>442.56</v>
      </c>
      <c r="U1033" s="706">
        <v>0</v>
      </c>
      <c r="V1033" s="706">
        <v>0</v>
      </c>
      <c r="W1033" s="706">
        <v>0</v>
      </c>
      <c r="X1033" s="706">
        <v>0</v>
      </c>
      <c r="Y1033" s="706">
        <v>-1</v>
      </c>
      <c r="Z1033" s="706">
        <v>-1</v>
      </c>
      <c r="AA1033" s="706">
        <v>-1</v>
      </c>
      <c r="AB1033" s="706">
        <v>-1</v>
      </c>
      <c r="AC1033" s="706">
        <v>-1</v>
      </c>
      <c r="AD1033" s="706">
        <v>-1</v>
      </c>
      <c r="AE1033" s="706">
        <v>0</v>
      </c>
      <c r="AF1033" s="706">
        <v>0</v>
      </c>
      <c r="AG1033" s="706">
        <v>0</v>
      </c>
      <c r="AH1033" s="706">
        <v>0</v>
      </c>
      <c r="AI1033" s="706">
        <v>0</v>
      </c>
      <c r="AJ1033" s="905" t="str">
        <f t="shared" si="110"/>
        <v>G80900</v>
      </c>
      <c r="AK1033" s="905" t="str">
        <f t="shared" si="111"/>
        <v>REV. ASS-VIE INVAL. USAGE</v>
      </c>
      <c r="AL1033" s="905">
        <f>IFERROR(INDEX(G1033:R1033,1,MATCH(Parametres!$B$3,G$1:R$1,0)-1)*IF(OR(F1033="L",F1033="S",F1033="I"),-1,1),"")</f>
        <v>-3540.5</v>
      </c>
      <c r="AM1033" s="905">
        <f t="shared" si="112"/>
        <v>0</v>
      </c>
      <c r="AN1033" s="905">
        <f>INDEX(G1033:R1033,1,MATCH(Parametres!$B$3,G$1:R$1,0))*IF(OR(F1033="L",F1033="S",F1033="I"),-1,1)</f>
        <v>-3540.5</v>
      </c>
      <c r="AO1033" s="487" t="str">
        <f>+VLOOKUP($AJ1033,Data_Validation!$A:$D,1,0)</f>
        <v>G80900</v>
      </c>
      <c r="AP1033" s="487" t="str">
        <f>+VLOOKUP($AJ1033,Data_Validation!$A:$D,3,0)</f>
        <v>Véhicules usagés</v>
      </c>
      <c r="AQ1033" s="487" t="str">
        <f>+VLOOKUP($AJ1033,Data_Validation!$A:$D,4,0)</f>
        <v>Rev. Protections</v>
      </c>
      <c r="AR1033" s="487" t="s">
        <v>299</v>
      </c>
      <c r="AS1033" s="487" t="str">
        <f>+VLOOKUP($AJ1033,Data_Validation!$A:$E,5,0)</f>
        <v>Oui</v>
      </c>
      <c r="AT1033" s="904" t="str">
        <f t="shared" si="113"/>
        <v>G80900</v>
      </c>
      <c r="AU1033" s="488" t="str">
        <f t="shared" si="114"/>
        <v>REV. ASS-VIE INVAL. USAGE</v>
      </c>
      <c r="AV1033" s="899">
        <f>IFERROR(INDEX(V1033:AG1033,1,MATCH(Parametres!$B$3,V$1:AG$1,0)-1)*IF(OR(C1033="L",C1033="S",C1033="I"),-1,1),"")</f>
        <v>-1</v>
      </c>
      <c r="AW1033" s="899">
        <f t="shared" si="115"/>
        <v>0</v>
      </c>
      <c r="AX1033" s="899">
        <f>INDEX(V1033:AG1033,1,MATCH(Parametres!$B$3,V$1:AG$1,0))*IF(OR(C1033="L",C1033="S",C1033="I"),-1,1)</f>
        <v>-1</v>
      </c>
      <c r="AY1033" s="487" t="s">
        <v>337</v>
      </c>
      <c r="AZ1033" s="487" t="str">
        <f>+VLOOKUP($AJ1033,Data_Validation!$A:$E,5,0)</f>
        <v>Oui</v>
      </c>
    </row>
    <row r="1034" spans="1:52" ht="15" customHeight="1">
      <c r="A1034" s="706" t="s">
        <v>1148</v>
      </c>
      <c r="B1034" s="706">
        <v>2026</v>
      </c>
      <c r="C1034" s="706" t="s">
        <v>3042</v>
      </c>
      <c r="D1034" s="706" t="s">
        <v>3043</v>
      </c>
      <c r="E1034" s="706" t="s">
        <v>333</v>
      </c>
      <c r="F1034" s="706" t="s">
        <v>1149</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G810</v>
      </c>
      <c r="AK1034" s="905" t="str">
        <f t="shared" si="111"/>
        <v>VTES-ACCESSOIRES NEUF</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G810</v>
      </c>
      <c r="AU1034" s="488" t="str">
        <f t="shared" si="114"/>
        <v>VTES-ACCESSOIRES NEUF</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customHeight="1">
      <c r="A1035" s="706" t="s">
        <v>1148</v>
      </c>
      <c r="B1035" s="706">
        <v>2026</v>
      </c>
      <c r="C1035" s="706" t="s">
        <v>3044</v>
      </c>
      <c r="D1035" s="706" t="s">
        <v>3045</v>
      </c>
      <c r="E1035" s="706" t="s">
        <v>333</v>
      </c>
      <c r="F1035" s="706" t="s">
        <v>1152</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G810C</v>
      </c>
      <c r="AK1035" s="905" t="str">
        <f t="shared" si="111"/>
        <v>COUT-ACCESSOIRES NEUF</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G810C</v>
      </c>
      <c r="AU1035" s="488" t="str">
        <f t="shared" si="114"/>
        <v>COUT-ACCESSOIRES NEUF</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customHeight="1">
      <c r="A1036" s="706" t="s">
        <v>1148</v>
      </c>
      <c r="B1036" s="706">
        <v>2026</v>
      </c>
      <c r="C1036" s="706" t="s">
        <v>3046</v>
      </c>
      <c r="D1036" s="706" t="s">
        <v>3047</v>
      </c>
      <c r="E1036" s="706" t="s">
        <v>333</v>
      </c>
      <c r="F1036" s="706" t="s">
        <v>1149</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G811</v>
      </c>
      <c r="AK1036" s="905" t="str">
        <f t="shared" si="111"/>
        <v>VTES-ACCESSOIRES USAGE</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G811</v>
      </c>
      <c r="AU1036" s="488" t="str">
        <f t="shared" si="114"/>
        <v>VTES-ACCESSOIRES USAGE</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customHeight="1">
      <c r="A1037" s="706" t="s">
        <v>1148</v>
      </c>
      <c r="B1037" s="706">
        <v>2026</v>
      </c>
      <c r="C1037" s="706" t="s">
        <v>3048</v>
      </c>
      <c r="D1037" s="706" t="s">
        <v>3049</v>
      </c>
      <c r="E1037" s="706" t="s">
        <v>333</v>
      </c>
      <c r="F1037" s="706" t="s">
        <v>1152</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G811C</v>
      </c>
      <c r="AK1037" s="905" t="str">
        <f t="shared" si="111"/>
        <v>COUT-ACCESSOIRES USAGE</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G811C</v>
      </c>
      <c r="AU1037" s="488" t="str">
        <f t="shared" si="114"/>
        <v>COUT-ACCESSOIRES USAGE</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customHeight="1">
      <c r="A1038" s="706" t="s">
        <v>1148</v>
      </c>
      <c r="B1038" s="706">
        <v>2026</v>
      </c>
      <c r="C1038" s="706" t="s">
        <v>3050</v>
      </c>
      <c r="D1038" s="706" t="s">
        <v>3051</v>
      </c>
      <c r="E1038" s="706" t="s">
        <v>333</v>
      </c>
      <c r="F1038" s="706" t="s">
        <v>1150</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G82200</v>
      </c>
      <c r="AK1038" s="905" t="str">
        <f t="shared" si="111"/>
        <v>AUTRES REVENUS VEH. NEUFS</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G82200</v>
      </c>
      <c r="AU1038" s="488" t="str">
        <f t="shared" si="114"/>
        <v>AUTRES REVENUS VEH. NEUFS</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customHeight="1">
      <c r="A1039" s="706" t="s">
        <v>1148</v>
      </c>
      <c r="B1039" s="706">
        <v>2026</v>
      </c>
      <c r="C1039" s="706" t="s">
        <v>3052</v>
      </c>
      <c r="D1039" s="706" t="s">
        <v>3053</v>
      </c>
      <c r="E1039" s="706" t="s">
        <v>333</v>
      </c>
      <c r="F1039" s="706" t="s">
        <v>1150</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G82300</v>
      </c>
      <c r="AK1039" s="905" t="str">
        <f t="shared" si="111"/>
        <v>AUTRES REVENUS VEH.USAGÉS</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G82300</v>
      </c>
      <c r="AU1039" s="488" t="str">
        <f t="shared" si="114"/>
        <v>AUTRES REVENUS VEH.USAGÉS</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customHeight="1">
      <c r="A1040" s="706" t="s">
        <v>1148</v>
      </c>
      <c r="B1040" s="706">
        <v>2026</v>
      </c>
      <c r="C1040" s="706" t="s">
        <v>3054</v>
      </c>
      <c r="D1040" s="706" t="s">
        <v>3055</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G850</v>
      </c>
      <c r="AK1040" s="905" t="str">
        <f t="shared" si="111"/>
        <v>RETROFACTURATION F&amp;A NEUF</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G850</v>
      </c>
      <c r="AU1040" s="488" t="str">
        <f t="shared" si="114"/>
        <v>RETROFACTURATION F&amp;A NEUF</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customHeight="1">
      <c r="A1041" s="706" t="s">
        <v>1148</v>
      </c>
      <c r="B1041" s="706">
        <v>2026</v>
      </c>
      <c r="C1041" s="706" t="s">
        <v>3056</v>
      </c>
      <c r="D1041" s="706" t="s">
        <v>3057</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G851</v>
      </c>
      <c r="AK1041" s="905" t="str">
        <f t="shared" si="111"/>
        <v>RETROFACTURATION F&amp;A USAG</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G851</v>
      </c>
      <c r="AU1041" s="488" t="str">
        <f t="shared" si="114"/>
        <v>RETROFACTURATION F&amp;A USAG</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customHeight="1">
      <c r="A1042" s="706" t="s">
        <v>1148</v>
      </c>
      <c r="B1042" s="706">
        <v>2026</v>
      </c>
      <c r="C1042" s="706" t="s">
        <v>3058</v>
      </c>
      <c r="D1042" s="706" t="s">
        <v>3059</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G853</v>
      </c>
      <c r="AK1042" s="905" t="str">
        <f t="shared" si="111"/>
        <v>PERTE REPOSSESSION NEUF</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G853</v>
      </c>
      <c r="AU1042" s="488" t="str">
        <f t="shared" si="114"/>
        <v>PERTE REPOSSESSION NEUF</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customHeight="1">
      <c r="A1043" s="706" t="s">
        <v>1148</v>
      </c>
      <c r="B1043" s="706">
        <v>2026</v>
      </c>
      <c r="C1043" s="706" t="s">
        <v>3060</v>
      </c>
      <c r="D1043" s="706" t="s">
        <v>3059</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G85300</v>
      </c>
      <c r="AK1043" s="905" t="str">
        <f t="shared" si="111"/>
        <v>PERTE REPOSSESSION NEUF</v>
      </c>
      <c r="AL1043" s="905">
        <f>IFERROR(INDEX(G1043:R1043,1,MATCH(Parametres!$B$3,G$1:R$1,0)-1)*IF(OR(F1043="L",F1043="S",F1043="I"),-1,1),"")</f>
        <v>0</v>
      </c>
      <c r="AM1043" s="905">
        <f t="shared" si="112"/>
        <v>0</v>
      </c>
      <c r="AN1043" s="905">
        <f>INDEX(G1043:R1043,1,MATCH(Parametres!$B$3,G$1:R$1,0))*IF(OR(F1043="L",F1043="S",F1043="I"),-1,1)</f>
        <v>0</v>
      </c>
      <c r="AO1043" s="487" t="str">
        <f>+VLOOKUP($AJ1043,Data_Validation!$A:$D,1,0)</f>
        <v>G85300</v>
      </c>
      <c r="AP1043" s="487">
        <f>+VLOOKUP($AJ1043,Data_Validation!$A:$D,3,0)</f>
        <v>0</v>
      </c>
      <c r="AQ1043" s="487">
        <f>+VLOOKUP($AJ1043,Data_Validation!$A:$D,4,0)</f>
        <v>0</v>
      </c>
      <c r="AR1043" s="487" t="s">
        <v>299</v>
      </c>
      <c r="AS1043" s="487">
        <f>+VLOOKUP($AJ1043,Data_Validation!$A:$E,5,0)</f>
        <v>0</v>
      </c>
      <c r="AT1043" s="904" t="str">
        <f t="shared" si="113"/>
        <v>G85300</v>
      </c>
      <c r="AU1043" s="488" t="str">
        <f t="shared" si="114"/>
        <v>PERTE REPOSSESSION NEUF</v>
      </c>
      <c r="AV1043" s="899">
        <f>IFERROR(INDEX(V1043:AG1043,1,MATCH(Parametres!$B$3,V$1:AG$1,0)-1)*IF(OR(C1043="L",C1043="S",C1043="I"),-1,1),"")</f>
        <v>0</v>
      </c>
      <c r="AW1043" s="899">
        <f t="shared" si="115"/>
        <v>0</v>
      </c>
      <c r="AX1043" s="899">
        <f>INDEX(V1043:AG1043,1,MATCH(Parametres!$B$3,V$1:AG$1,0))*IF(OR(C1043="L",C1043="S",C1043="I"),-1,1)</f>
        <v>0</v>
      </c>
      <c r="AY1043" s="487" t="s">
        <v>337</v>
      </c>
      <c r="AZ1043" s="487">
        <f>+VLOOKUP($AJ1043,Data_Validation!$A:$E,5,0)</f>
        <v>0</v>
      </c>
    </row>
    <row r="1044" spans="1:52" ht="15" customHeight="1">
      <c r="A1044" s="706" t="s">
        <v>1148</v>
      </c>
      <c r="B1044" s="706">
        <v>2026</v>
      </c>
      <c r="C1044" s="706" t="s">
        <v>3061</v>
      </c>
      <c r="D1044" s="706" t="s">
        <v>3062</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G854</v>
      </c>
      <c r="AK1044" s="905" t="str">
        <f t="shared" si="111"/>
        <v>PERTE REPOSSESSION USAG</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G854</v>
      </c>
      <c r="AU1044" s="488" t="str">
        <f t="shared" si="114"/>
        <v>PERTE REPOSSESSION USAG</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customHeight="1">
      <c r="A1045" s="706" t="s">
        <v>1148</v>
      </c>
      <c r="B1045" s="706">
        <v>2026</v>
      </c>
      <c r="C1045" s="706" t="s">
        <v>3063</v>
      </c>
      <c r="D1045" s="706" t="s">
        <v>3064</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G85400</v>
      </c>
      <c r="AK1045" s="905" t="str">
        <f t="shared" si="111"/>
        <v>PERTE REPOSSESSION USAGE</v>
      </c>
      <c r="AL1045" s="905">
        <f>IFERROR(INDEX(G1045:R1045,1,MATCH(Parametres!$B$3,G$1:R$1,0)-1)*IF(OR(F1045="L",F1045="S",F1045="I"),-1,1),"")</f>
        <v>0</v>
      </c>
      <c r="AM1045" s="905">
        <f t="shared" si="112"/>
        <v>0</v>
      </c>
      <c r="AN1045" s="905">
        <f>INDEX(G1045:R1045,1,MATCH(Parametres!$B$3,G$1:R$1,0))*IF(OR(F1045="L",F1045="S",F1045="I"),-1,1)</f>
        <v>0</v>
      </c>
      <c r="AO1045" s="487" t="str">
        <f>+VLOOKUP($AJ1045,Data_Validation!$A:$D,1,0)</f>
        <v>G85400</v>
      </c>
      <c r="AP1045" s="487">
        <f>+VLOOKUP($AJ1045,Data_Validation!$A:$D,3,0)</f>
        <v>0</v>
      </c>
      <c r="AQ1045" s="487">
        <f>+VLOOKUP($AJ1045,Data_Validation!$A:$D,4,0)</f>
        <v>0</v>
      </c>
      <c r="AR1045" s="487" t="s">
        <v>299</v>
      </c>
      <c r="AS1045" s="487">
        <f>+VLOOKUP($AJ1045,Data_Validation!$A:$E,5,0)</f>
        <v>0</v>
      </c>
      <c r="AT1045" s="904" t="str">
        <f t="shared" si="113"/>
        <v>G85400</v>
      </c>
      <c r="AU1045" s="488" t="str">
        <f t="shared" si="114"/>
        <v>PERTE REPOSSESSION USAGE</v>
      </c>
      <c r="AV1045" s="899">
        <f>IFERROR(INDEX(V1045:AG1045,1,MATCH(Parametres!$B$3,V$1:AG$1,0)-1)*IF(OR(C1045="L",C1045="S",C1045="I"),-1,1),"")</f>
        <v>0</v>
      </c>
      <c r="AW1045" s="899">
        <f t="shared" si="115"/>
        <v>0</v>
      </c>
      <c r="AX1045" s="899">
        <f>INDEX(V1045:AG1045,1,MATCH(Parametres!$B$3,V$1:AG$1,0))*IF(OR(C1045="L",C1045="S",C1045="I"),-1,1)</f>
        <v>0</v>
      </c>
      <c r="AY1045" s="487" t="s">
        <v>337</v>
      </c>
      <c r="AZ1045" s="487">
        <f>+VLOOKUP($AJ1045,Data_Validation!$A:$E,5,0)</f>
        <v>0</v>
      </c>
    </row>
    <row r="1046" spans="1:52" ht="15" customHeight="1">
      <c r="A1046" s="706" t="s">
        <v>1148</v>
      </c>
      <c r="B1046" s="706">
        <v>2026</v>
      </c>
      <c r="C1046" s="706" t="s">
        <v>3065</v>
      </c>
      <c r="D1046" s="706" t="s">
        <v>3066</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G855</v>
      </c>
      <c r="AK1046" s="905" t="str">
        <f t="shared" si="111"/>
        <v>REMUNERATION F&amp;A NEUF</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G855</v>
      </c>
      <c r="AU1046" s="488" t="str">
        <f t="shared" si="114"/>
        <v>REMUNERATION F&amp;A NEUF</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customHeight="1">
      <c r="A1047" s="706" t="s">
        <v>1148</v>
      </c>
      <c r="B1047" s="706">
        <v>2026</v>
      </c>
      <c r="C1047" s="706" t="s">
        <v>3067</v>
      </c>
      <c r="D1047" s="706" t="s">
        <v>3068</v>
      </c>
      <c r="E1047" s="706" t="s">
        <v>333</v>
      </c>
      <c r="F1047" s="706" t="s">
        <v>1104</v>
      </c>
      <c r="G1047" s="706">
        <v>12958.69</v>
      </c>
      <c r="H1047" s="706">
        <v>21768.99</v>
      </c>
      <c r="I1047" s="706">
        <v>32787.4</v>
      </c>
      <c r="J1047" s="706">
        <v>57498.720000000001</v>
      </c>
      <c r="K1047" s="706">
        <v>68000.55</v>
      </c>
      <c r="L1047" s="706">
        <v>83684.160000000003</v>
      </c>
      <c r="M1047" s="706">
        <v>96110.74</v>
      </c>
      <c r="N1047" s="706">
        <v>105171.33</v>
      </c>
      <c r="O1047" s="706">
        <v>114061.64</v>
      </c>
      <c r="P1047" s="706">
        <v>0</v>
      </c>
      <c r="Q1047" s="706">
        <v>0</v>
      </c>
      <c r="R1047" s="706">
        <v>0</v>
      </c>
      <c r="S1047" s="706">
        <v>13146.42</v>
      </c>
      <c r="T1047" s="706">
        <v>13146.42</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G85500</v>
      </c>
      <c r="AK1047" s="905" t="str">
        <f t="shared" si="111"/>
        <v>REMUNERATION F&amp;I NEUF</v>
      </c>
      <c r="AL1047" s="905">
        <f>IFERROR(INDEX(G1047:R1047,1,MATCH(Parametres!$B$3,G$1:R$1,0)-1)*IF(OR(F1047="L",F1047="S",F1047="I"),-1,1),"")</f>
        <v>96110.74</v>
      </c>
      <c r="AM1047" s="905">
        <f t="shared" si="112"/>
        <v>9060.5899999999965</v>
      </c>
      <c r="AN1047" s="905">
        <f>INDEX(G1047:R1047,1,MATCH(Parametres!$B$3,G$1:R$1,0))*IF(OR(F1047="L",F1047="S",F1047="I"),-1,1)</f>
        <v>105171.33</v>
      </c>
      <c r="AO1047" s="487" t="str">
        <f>+VLOOKUP($AJ1047,Data_Validation!$A:$D,1,0)</f>
        <v>G85500</v>
      </c>
      <c r="AP1047" s="487" t="str">
        <f>+VLOOKUP($AJ1047,Data_Validation!$A:$D,3,0)</f>
        <v>Véhicules neufs</v>
      </c>
      <c r="AQ1047" s="487" t="str">
        <f>+VLOOKUP($AJ1047,Data_Validation!$A:$D,4,0)</f>
        <v>Comm. F&amp;I</v>
      </c>
      <c r="AR1047" s="487" t="s">
        <v>299</v>
      </c>
      <c r="AS1047" s="487">
        <f>+VLOOKUP($AJ1047,Data_Validation!$A:$E,5,0)</f>
        <v>0</v>
      </c>
      <c r="AT1047" s="904" t="str">
        <f t="shared" si="113"/>
        <v>G85500</v>
      </c>
      <c r="AU1047" s="488" t="str">
        <f t="shared" si="114"/>
        <v>REMUNERATION F&amp;I NEUF</v>
      </c>
      <c r="AV1047" s="899">
        <f>IFERROR(INDEX(V1047:AG1047,1,MATCH(Parametres!$B$3,V$1:AG$1,0)-1)*IF(OR(C1047="L",C1047="S",C1047="I"),-1,1),"")</f>
        <v>0</v>
      </c>
      <c r="AW1047" s="899">
        <f t="shared" si="115"/>
        <v>0</v>
      </c>
      <c r="AX1047" s="899">
        <f>INDEX(V1047:AG1047,1,MATCH(Parametres!$B$3,V$1:AG$1,0))*IF(OR(C1047="L",C1047="S",C1047="I"),-1,1)</f>
        <v>0</v>
      </c>
      <c r="AY1047" s="487" t="s">
        <v>337</v>
      </c>
      <c r="AZ1047" s="487">
        <f>+VLOOKUP($AJ1047,Data_Validation!$A:$E,5,0)</f>
        <v>0</v>
      </c>
    </row>
    <row r="1048" spans="1:52" ht="15" customHeight="1">
      <c r="A1048" s="706" t="s">
        <v>1148</v>
      </c>
      <c r="B1048" s="706">
        <v>2026</v>
      </c>
      <c r="C1048" s="706" t="s">
        <v>3069</v>
      </c>
      <c r="D1048" s="706" t="s">
        <v>3070</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G856</v>
      </c>
      <c r="AK1048" s="905" t="str">
        <f t="shared" si="111"/>
        <v>REMUNERATION F&amp;A USAGE</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G856</v>
      </c>
      <c r="AU1048" s="488" t="str">
        <f t="shared" si="114"/>
        <v>REMUNERATION F&amp;A USAGE</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customHeight="1">
      <c r="A1049" s="706" t="s">
        <v>1148</v>
      </c>
      <c r="B1049" s="706">
        <v>2026</v>
      </c>
      <c r="C1049" s="706" t="s">
        <v>3071</v>
      </c>
      <c r="D1049" s="706" t="s">
        <v>3072</v>
      </c>
      <c r="E1049" s="706" t="s">
        <v>333</v>
      </c>
      <c r="F1049" s="706" t="s">
        <v>1104</v>
      </c>
      <c r="G1049" s="706">
        <v>6574.65</v>
      </c>
      <c r="H1049" s="706">
        <v>9305.9500000000007</v>
      </c>
      <c r="I1049" s="706">
        <v>13960.22</v>
      </c>
      <c r="J1049" s="706">
        <v>21591.39</v>
      </c>
      <c r="K1049" s="706">
        <v>27429.56</v>
      </c>
      <c r="L1049" s="706">
        <v>31922.66</v>
      </c>
      <c r="M1049" s="706">
        <v>36714.019999999997</v>
      </c>
      <c r="N1049" s="706">
        <v>42473.25</v>
      </c>
      <c r="O1049" s="706">
        <v>42919.86</v>
      </c>
      <c r="P1049" s="706">
        <v>0</v>
      </c>
      <c r="Q1049" s="706">
        <v>0</v>
      </c>
      <c r="R1049" s="706">
        <v>0</v>
      </c>
      <c r="S1049" s="706">
        <v>5309.16</v>
      </c>
      <c r="T1049" s="706">
        <v>5309.16</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G85600</v>
      </c>
      <c r="AK1049" s="905" t="str">
        <f t="shared" si="111"/>
        <v>REMUNERATION F&amp;I USAGE</v>
      </c>
      <c r="AL1049" s="905">
        <f>IFERROR(INDEX(G1049:R1049,1,MATCH(Parametres!$B$3,G$1:R$1,0)-1)*IF(OR(F1049="L",F1049="S",F1049="I"),-1,1),"")</f>
        <v>36714.019999999997</v>
      </c>
      <c r="AM1049" s="905">
        <f t="shared" si="112"/>
        <v>5759.2300000000032</v>
      </c>
      <c r="AN1049" s="905">
        <f>INDEX(G1049:R1049,1,MATCH(Parametres!$B$3,G$1:R$1,0))*IF(OR(F1049="L",F1049="S",F1049="I"),-1,1)</f>
        <v>42473.25</v>
      </c>
      <c r="AO1049" s="487" t="str">
        <f>+VLOOKUP($AJ1049,Data_Validation!$A:$D,1,0)</f>
        <v>G85600</v>
      </c>
      <c r="AP1049" s="487" t="str">
        <f>+VLOOKUP($AJ1049,Data_Validation!$A:$D,3,0)</f>
        <v>Véhicules usagés</v>
      </c>
      <c r="AQ1049" s="487" t="str">
        <f>+VLOOKUP($AJ1049,Data_Validation!$A:$D,4,0)</f>
        <v>Comm. F&amp;I</v>
      </c>
      <c r="AR1049" s="487" t="s">
        <v>299</v>
      </c>
      <c r="AS1049" s="487">
        <f>+VLOOKUP($AJ1049,Data_Validation!$A:$E,5,0)</f>
        <v>0</v>
      </c>
      <c r="AT1049" s="904" t="str">
        <f t="shared" si="113"/>
        <v>G85600</v>
      </c>
      <c r="AU1049" s="488" t="str">
        <f t="shared" si="114"/>
        <v>REMUNERATION F&amp;I USAGE</v>
      </c>
      <c r="AV1049" s="899">
        <f>IFERROR(INDEX(V1049:AG1049,1,MATCH(Parametres!$B$3,V$1:AG$1,0)-1)*IF(OR(C1049="L",C1049="S",C1049="I"),-1,1),"")</f>
        <v>0</v>
      </c>
      <c r="AW1049" s="899">
        <f t="shared" si="115"/>
        <v>0</v>
      </c>
      <c r="AX1049" s="899">
        <f>INDEX(V1049:AG1049,1,MATCH(Parametres!$B$3,V$1:AG$1,0))*IF(OR(C1049="L",C1049="S",C1049="I"),-1,1)</f>
        <v>0</v>
      </c>
      <c r="AY1049" s="487" t="s">
        <v>337</v>
      </c>
      <c r="AZ1049" s="487">
        <f>+VLOOKUP($AJ1049,Data_Validation!$A:$E,5,0)</f>
        <v>0</v>
      </c>
    </row>
    <row r="1050" spans="1:52" ht="15" customHeight="1">
      <c r="A1050" s="706" t="s">
        <v>1148</v>
      </c>
      <c r="B1050" s="706">
        <v>2026</v>
      </c>
      <c r="C1050" s="706" t="s">
        <v>3073</v>
      </c>
      <c r="D1050" s="706" t="s">
        <v>3051</v>
      </c>
      <c r="E1050" s="706" t="s">
        <v>333</v>
      </c>
      <c r="F1050" s="706" t="s">
        <v>1104</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G87200</v>
      </c>
      <c r="AK1050" s="905" t="str">
        <f t="shared" si="111"/>
        <v>AUTRES REVENUS VEH. NEUFS</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G87200</v>
      </c>
      <c r="AU1050" s="488" t="str">
        <f t="shared" si="114"/>
        <v>AUTRES REVENUS VEH. NEUFS</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customHeight="1">
      <c r="A1051" s="706" t="s">
        <v>1148</v>
      </c>
      <c r="B1051" s="706">
        <v>2026</v>
      </c>
      <c r="C1051" s="706" t="s">
        <v>3074</v>
      </c>
      <c r="D1051" s="706" t="s">
        <v>3075</v>
      </c>
      <c r="E1051" s="706" t="s">
        <v>333</v>
      </c>
      <c r="F1051" s="706" t="s">
        <v>1104</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G87300</v>
      </c>
      <c r="AK1051" s="905" t="str">
        <f t="shared" si="111"/>
        <v>AUTRES REVENUS VEH.USAGES</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G87300</v>
      </c>
      <c r="AU1051" s="488" t="str">
        <f t="shared" si="114"/>
        <v>AUTRES REVENUS VEH.USAGES</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customHeight="1">
      <c r="A1052" s="706" t="s">
        <v>1148</v>
      </c>
      <c r="B1052" s="706">
        <v>2026</v>
      </c>
      <c r="C1052" s="706" t="s">
        <v>3076</v>
      </c>
      <c r="D1052" s="706" t="s">
        <v>1153</v>
      </c>
      <c r="E1052" s="706" t="s">
        <v>333</v>
      </c>
      <c r="F1052" s="706" t="s">
        <v>1150</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G902</v>
      </c>
      <c r="AK1052" s="905" t="str">
        <f t="shared" si="111"/>
        <v>MAUVAISES CREANCES RECOUV</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G902</v>
      </c>
      <c r="AU1052" s="488" t="str">
        <f t="shared" si="114"/>
        <v>MAUVAISES CREANCES RECOUV</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3077</v>
      </c>
      <c r="D1053" s="706" t="s">
        <v>3078</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G90200</v>
      </c>
      <c r="AK1053" s="905" t="str">
        <f t="shared" si="111"/>
        <v>RENTREES CREANCES RADIEES</v>
      </c>
      <c r="AL1053" s="905">
        <f>IFERROR(INDEX(G1053:R1053,1,MATCH(Parametres!$B$3,G$1:R$1,0)-1)*IF(OR(F1053="L",F1053="S",F1053="I"),-1,1),"")</f>
        <v>0</v>
      </c>
      <c r="AM1053" s="905">
        <f t="shared" si="112"/>
        <v>0</v>
      </c>
      <c r="AN1053" s="905">
        <f>INDEX(G1053:R1053,1,MATCH(Parametres!$B$3,G$1:R$1,0))*IF(OR(F1053="L",F1053="S",F1053="I"),-1,1)</f>
        <v>0</v>
      </c>
      <c r="AO1053" s="487" t="str">
        <f>+VLOOKUP($AJ1053,Data_Validation!$A:$D,1,0)</f>
        <v>G90200</v>
      </c>
      <c r="AP1053" s="487">
        <f>+VLOOKUP($AJ1053,Data_Validation!$A:$D,3,0)</f>
        <v>0</v>
      </c>
      <c r="AQ1053" s="487">
        <f>+VLOOKUP($AJ1053,Data_Validation!$A:$D,4,0)</f>
        <v>0</v>
      </c>
      <c r="AR1053" s="487" t="s">
        <v>299</v>
      </c>
      <c r="AS1053" s="487">
        <f>+VLOOKUP($AJ1053,Data_Validation!$A:$E,5,0)</f>
        <v>0</v>
      </c>
      <c r="AT1053" s="904" t="str">
        <f t="shared" si="113"/>
        <v>G90200</v>
      </c>
      <c r="AU1053" s="488" t="str">
        <f t="shared" si="114"/>
        <v>RENTREES CREANCES RADIEES</v>
      </c>
      <c r="AV1053" s="899">
        <f>IFERROR(INDEX(V1053:AG1053,1,MATCH(Parametres!$B$3,V$1:AG$1,0)-1)*IF(OR(C1053="L",C1053="S",C1053="I"),-1,1),"")</f>
        <v>0</v>
      </c>
      <c r="AW1053" s="899">
        <f t="shared" si="115"/>
        <v>0</v>
      </c>
      <c r="AX1053" s="899">
        <f>INDEX(V1053:AG1053,1,MATCH(Parametres!$B$3,V$1:AG$1,0))*IF(OR(C1053="L",C1053="S",C1053="I"),-1,1)</f>
        <v>0</v>
      </c>
      <c r="AY1053" s="487" t="s">
        <v>337</v>
      </c>
      <c r="AZ1053" s="487">
        <f>+VLOOKUP($AJ1053,Data_Validation!$A:$E,5,0)</f>
        <v>0</v>
      </c>
    </row>
    <row r="1054" spans="1:52" ht="15" customHeight="1">
      <c r="A1054" s="706" t="s">
        <v>1148</v>
      </c>
      <c r="B1054" s="706">
        <v>2026</v>
      </c>
      <c r="C1054" s="706" t="s">
        <v>3079</v>
      </c>
      <c r="D1054" s="706" t="s">
        <v>3080</v>
      </c>
      <c r="E1054" s="706" t="s">
        <v>333</v>
      </c>
      <c r="F1054" s="706" t="s">
        <v>1150</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G903</v>
      </c>
      <c r="AK1054" s="905" t="str">
        <f t="shared" si="111"/>
        <v>ESCOMPTE DE CAISSE GAGNE</v>
      </c>
      <c r="AL1054" s="905">
        <f>IFERROR(INDEX(G1054:R1054,1,MATCH(Parametres!$B$3,G$1:R$1,0)-1)*IF(OR(F1054="L",F1054="S",F1054="I"),-1,1),"")</f>
        <v>0</v>
      </c>
      <c r="AM1054" s="905">
        <f t="shared" si="112"/>
        <v>0</v>
      </c>
      <c r="AN1054" s="905">
        <f>INDEX(G1054:R1054,1,MATCH(Parametres!$B$3,G$1:R$1,0))*IF(OR(F1054="L",F1054="S",F1054="I"),-1,1)</f>
        <v>0</v>
      </c>
      <c r="AO1054" s="487" t="e">
        <f>+VLOOKUP($AJ1054,Data_Validation!$A:$D,1,0)</f>
        <v>#N/A</v>
      </c>
      <c r="AP1054" s="487" t="e">
        <f>+VLOOKUP($AJ1054,Data_Validation!$A:$D,3,0)</f>
        <v>#N/A</v>
      </c>
      <c r="AQ1054" s="487" t="e">
        <f>+VLOOKUP($AJ1054,Data_Validation!$A:$D,4,0)</f>
        <v>#N/A</v>
      </c>
      <c r="AR1054" s="487" t="s">
        <v>299</v>
      </c>
      <c r="AS1054" s="487" t="e">
        <f>+VLOOKUP($AJ1054,Data_Validation!$A:$E,5,0)</f>
        <v>#N/A</v>
      </c>
      <c r="AT1054" s="904" t="str">
        <f t="shared" si="113"/>
        <v>G903</v>
      </c>
      <c r="AU1054" s="488" t="str">
        <f t="shared" si="114"/>
        <v>ESCOMPTE DE CAISSE GAGNE</v>
      </c>
      <c r="AV1054" s="899">
        <f>IFERROR(INDEX(V1054:AG1054,1,MATCH(Parametres!$B$3,V$1:AG$1,0)-1)*IF(OR(C1054="L",C1054="S",C1054="I"),-1,1),"")</f>
        <v>0</v>
      </c>
      <c r="AW1054" s="899">
        <f t="shared" si="115"/>
        <v>0</v>
      </c>
      <c r="AX1054" s="899">
        <f>INDEX(V1054:AG1054,1,MATCH(Parametres!$B$3,V$1:AG$1,0))*IF(OR(C1054="L",C1054="S",C1054="I"),-1,1)</f>
        <v>0</v>
      </c>
      <c r="AY1054" s="487" t="s">
        <v>337</v>
      </c>
      <c r="AZ1054" s="487" t="e">
        <f>+VLOOKUP($AJ1054,Data_Validation!$A:$E,5,0)</f>
        <v>#N/A</v>
      </c>
    </row>
    <row r="1055" spans="1:52" ht="15" customHeight="1">
      <c r="A1055" s="706" t="s">
        <v>1148</v>
      </c>
      <c r="B1055" s="706">
        <v>2026</v>
      </c>
      <c r="C1055" s="706" t="s">
        <v>3081</v>
      </c>
      <c r="D1055" s="706" t="s">
        <v>3082</v>
      </c>
      <c r="E1055" s="706" t="s">
        <v>333</v>
      </c>
      <c r="F1055" s="706" t="s">
        <v>1150</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G905</v>
      </c>
      <c r="AK1055" s="905" t="str">
        <f t="shared" si="111"/>
        <v>AUTRES REVENUS DIVERS</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G905</v>
      </c>
      <c r="AU1055" s="488" t="str">
        <f t="shared" si="114"/>
        <v>AUTRES REVENUS DIVERS</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customHeight="1">
      <c r="A1056" s="706" t="s">
        <v>1148</v>
      </c>
      <c r="B1056" s="706">
        <v>2026</v>
      </c>
      <c r="C1056" s="706" t="s">
        <v>3083</v>
      </c>
      <c r="D1056" s="706" t="s">
        <v>3082</v>
      </c>
      <c r="E1056" s="706" t="s">
        <v>333</v>
      </c>
      <c r="F1056" s="706" t="s">
        <v>1150</v>
      </c>
      <c r="G1056" s="706">
        <v>2822.27</v>
      </c>
      <c r="H1056" s="706">
        <v>17220.16</v>
      </c>
      <c r="I1056" s="706">
        <v>42749.61</v>
      </c>
      <c r="J1056" s="706">
        <v>65183.51</v>
      </c>
      <c r="K1056" s="706">
        <v>26545.14</v>
      </c>
      <c r="L1056" s="706">
        <v>31155.05</v>
      </c>
      <c r="M1056" s="706">
        <v>42868.43</v>
      </c>
      <c r="N1056" s="706">
        <v>42905.45</v>
      </c>
      <c r="O1056" s="706">
        <v>50679.6</v>
      </c>
      <c r="P1056" s="706">
        <v>0</v>
      </c>
      <c r="Q1056" s="706">
        <v>0</v>
      </c>
      <c r="R1056" s="706">
        <v>0</v>
      </c>
      <c r="S1056" s="706">
        <v>5363.18</v>
      </c>
      <c r="T1056" s="706">
        <v>5363.18</v>
      </c>
      <c r="U1056" s="706">
        <v>0</v>
      </c>
      <c r="V1056" s="706">
        <v>-1</v>
      </c>
      <c r="W1056" s="706">
        <v>-2</v>
      </c>
      <c r="X1056" s="706">
        <v>-12</v>
      </c>
      <c r="Y1056" s="706">
        <v>-20</v>
      </c>
      <c r="Z1056" s="706">
        <v>-25</v>
      </c>
      <c r="AA1056" s="706">
        <v>-34</v>
      </c>
      <c r="AB1056" s="706">
        <v>-48</v>
      </c>
      <c r="AC1056" s="706">
        <v>-50</v>
      </c>
      <c r="AD1056" s="706">
        <v>-56</v>
      </c>
      <c r="AE1056" s="706">
        <v>0</v>
      </c>
      <c r="AF1056" s="706">
        <v>0</v>
      </c>
      <c r="AG1056" s="706">
        <v>0</v>
      </c>
      <c r="AH1056" s="706">
        <v>-6</v>
      </c>
      <c r="AI1056" s="706">
        <v>-6</v>
      </c>
      <c r="AJ1056" s="905" t="str">
        <f t="shared" si="110"/>
        <v>G90500</v>
      </c>
      <c r="AK1056" s="905" t="str">
        <f t="shared" si="111"/>
        <v>AUTRES REVENUS DIVERS</v>
      </c>
      <c r="AL1056" s="905">
        <f>IFERROR(INDEX(G1056:R1056,1,MATCH(Parametres!$B$3,G$1:R$1,0)-1)*IF(OR(F1056="L",F1056="S",F1056="I"),-1,1),"")</f>
        <v>-42868.43</v>
      </c>
      <c r="AM1056" s="905">
        <f t="shared" si="112"/>
        <v>-37.019999999996799</v>
      </c>
      <c r="AN1056" s="905">
        <f>INDEX(G1056:R1056,1,MATCH(Parametres!$B$3,G$1:R$1,0))*IF(OR(F1056="L",F1056="S",F1056="I"),-1,1)</f>
        <v>-42905.45</v>
      </c>
      <c r="AO1056" s="487" t="str">
        <f>+VLOOKUP($AJ1056,Data_Validation!$A:$D,1,0)</f>
        <v>G90500</v>
      </c>
      <c r="AP1056" s="487" t="str">
        <f>+VLOOKUP($AJ1056,Data_Validation!$A:$D,3,0)</f>
        <v>TOTAL DES REVENUS ET DÉPENSES</v>
      </c>
      <c r="AQ1056" s="487" t="str">
        <f>+VLOOKUP($AJ1056,Data_Validation!$A:$D,4,0)</f>
        <v>Revenus autres</v>
      </c>
      <c r="AR1056" s="487" t="s">
        <v>299</v>
      </c>
      <c r="AS1056" s="487">
        <f>+VLOOKUP($AJ1056,Data_Validation!$A:$E,5,0)</f>
        <v>0</v>
      </c>
      <c r="AT1056" s="904" t="str">
        <f t="shared" si="113"/>
        <v>G90500</v>
      </c>
      <c r="AU1056" s="488" t="str">
        <f t="shared" si="114"/>
        <v>AUTRES REVENUS DIVERS</v>
      </c>
      <c r="AV1056" s="899">
        <f>IFERROR(INDEX(V1056:AG1056,1,MATCH(Parametres!$B$3,V$1:AG$1,0)-1)*IF(OR(C1056="L",C1056="S",C1056="I"),-1,1),"")</f>
        <v>-48</v>
      </c>
      <c r="AW1056" s="899">
        <f t="shared" si="115"/>
        <v>-2</v>
      </c>
      <c r="AX1056" s="899">
        <f>INDEX(V1056:AG1056,1,MATCH(Parametres!$B$3,V$1:AG$1,0))*IF(OR(C1056="L",C1056="S",C1056="I"),-1,1)</f>
        <v>-50</v>
      </c>
      <c r="AY1056" s="487" t="s">
        <v>337</v>
      </c>
      <c r="AZ1056" s="487">
        <f>+VLOOKUP($AJ1056,Data_Validation!$A:$E,5,0)</f>
        <v>0</v>
      </c>
    </row>
    <row r="1057" spans="1:52" ht="15" customHeight="1">
      <c r="A1057" s="706" t="s">
        <v>1148</v>
      </c>
      <c r="B1057" s="706">
        <v>2026</v>
      </c>
      <c r="C1057" s="706" t="s">
        <v>3413</v>
      </c>
      <c r="D1057" s="706" t="s">
        <v>3414</v>
      </c>
      <c r="E1057" s="706" t="s">
        <v>333</v>
      </c>
      <c r="F1057" s="706" t="s">
        <v>1150</v>
      </c>
      <c r="G1057" s="706">
        <v>0</v>
      </c>
      <c r="H1057" s="706">
        <v>0</v>
      </c>
      <c r="I1057" s="706">
        <v>0</v>
      </c>
      <c r="J1057" s="706">
        <v>0</v>
      </c>
      <c r="K1057" s="706">
        <v>0</v>
      </c>
      <c r="L1057" s="706">
        <v>0</v>
      </c>
      <c r="M1057" s="706">
        <v>0</v>
      </c>
      <c r="N1057" s="706">
        <v>0</v>
      </c>
      <c r="O1057" s="706">
        <v>0</v>
      </c>
      <c r="P1057" s="706">
        <v>0</v>
      </c>
      <c r="Q1057" s="706">
        <v>0</v>
      </c>
      <c r="R1057" s="706">
        <v>0</v>
      </c>
      <c r="S1057" s="706">
        <v>0</v>
      </c>
      <c r="T1057" s="706">
        <v>0</v>
      </c>
      <c r="U1057" s="706">
        <v>0</v>
      </c>
      <c r="V1057" s="706">
        <v>0</v>
      </c>
      <c r="W1057" s="706">
        <v>0</v>
      </c>
      <c r="X1057" s="706">
        <v>0</v>
      </c>
      <c r="Y1057" s="706">
        <v>0</v>
      </c>
      <c r="Z1057" s="706">
        <v>0</v>
      </c>
      <c r="AA1057" s="706">
        <v>0</v>
      </c>
      <c r="AB1057" s="706">
        <v>0</v>
      </c>
      <c r="AC1057" s="706">
        <v>0</v>
      </c>
      <c r="AD1057" s="706">
        <v>0</v>
      </c>
      <c r="AE1057" s="706">
        <v>0</v>
      </c>
      <c r="AF1057" s="706">
        <v>0</v>
      </c>
      <c r="AG1057" s="706">
        <v>0</v>
      </c>
      <c r="AH1057" s="706">
        <v>0</v>
      </c>
      <c r="AI1057" s="706">
        <v>0</v>
      </c>
      <c r="AJ1057" s="905" t="str">
        <f t="shared" si="110"/>
        <v>G90550</v>
      </c>
      <c r="AK1057" s="905" t="str">
        <f t="shared" si="111"/>
        <v>DEALER FINANCE - SPLIT</v>
      </c>
      <c r="AL1057" s="905">
        <f>IFERROR(INDEX(G1057:R1057,1,MATCH(Parametres!$B$3,G$1:R$1,0)-1)*IF(OR(F1057="L",F1057="S",F1057="I"),-1,1),"")</f>
        <v>0</v>
      </c>
      <c r="AM1057" s="905">
        <f t="shared" si="112"/>
        <v>0</v>
      </c>
      <c r="AN1057" s="905">
        <f>INDEX(G1057:R1057,1,MATCH(Parametres!$B$3,G$1:R$1,0))*IF(OR(F1057="L",F1057="S",F1057="I"),-1,1)</f>
        <v>0</v>
      </c>
      <c r="AO1057" s="487" t="e">
        <f>+VLOOKUP($AJ1057,Data_Validation!$A:$D,1,0)</f>
        <v>#N/A</v>
      </c>
      <c r="AP1057" s="487" t="e">
        <f>+VLOOKUP($AJ1057,Data_Validation!$A:$D,3,0)</f>
        <v>#N/A</v>
      </c>
      <c r="AQ1057" s="487" t="e">
        <f>+VLOOKUP($AJ1057,Data_Validation!$A:$D,4,0)</f>
        <v>#N/A</v>
      </c>
      <c r="AR1057" s="487" t="s">
        <v>299</v>
      </c>
      <c r="AS1057" s="487" t="e">
        <f>+VLOOKUP($AJ1057,Data_Validation!$A:$E,5,0)</f>
        <v>#N/A</v>
      </c>
      <c r="AT1057" s="904" t="str">
        <f t="shared" si="113"/>
        <v>G90550</v>
      </c>
      <c r="AU1057" s="488" t="str">
        <f t="shared" si="114"/>
        <v>DEALER FINANCE - SPLIT</v>
      </c>
      <c r="AV1057" s="899">
        <f>IFERROR(INDEX(V1057:AG1057,1,MATCH(Parametres!$B$3,V$1:AG$1,0)-1)*IF(OR(C1057="L",C1057="S",C1057="I"),-1,1),"")</f>
        <v>0</v>
      </c>
      <c r="AW1057" s="899">
        <f t="shared" si="115"/>
        <v>0</v>
      </c>
      <c r="AX1057" s="899">
        <f>INDEX(V1057:AG1057,1,MATCH(Parametres!$B$3,V$1:AG$1,0))*IF(OR(C1057="L",C1057="S",C1057="I"),-1,1)</f>
        <v>0</v>
      </c>
      <c r="AY1057" s="487" t="s">
        <v>337</v>
      </c>
      <c r="AZ1057" s="487" t="e">
        <f>+VLOOKUP($AJ1057,Data_Validation!$A:$E,5,0)</f>
        <v>#N/A</v>
      </c>
    </row>
    <row r="1058" spans="1:52" ht="15" customHeight="1">
      <c r="A1058" s="706" t="s">
        <v>1148</v>
      </c>
      <c r="B1058" s="706">
        <v>2026</v>
      </c>
      <c r="C1058" s="706" t="s">
        <v>3149</v>
      </c>
      <c r="D1058" s="706" t="s">
        <v>3150</v>
      </c>
      <c r="E1058" s="706" t="s">
        <v>333</v>
      </c>
      <c r="F1058" s="706" t="s">
        <v>1150</v>
      </c>
      <c r="G1058" s="706">
        <v>0</v>
      </c>
      <c r="H1058" s="706">
        <v>0</v>
      </c>
      <c r="I1058" s="706">
        <v>0</v>
      </c>
      <c r="J1058" s="706">
        <v>0</v>
      </c>
      <c r="K1058" s="706">
        <v>41353.94</v>
      </c>
      <c r="L1058" s="706">
        <v>55228.639999999999</v>
      </c>
      <c r="M1058" s="706">
        <v>66487.56</v>
      </c>
      <c r="N1058" s="706">
        <v>76787.350000000006</v>
      </c>
      <c r="O1058" s="706">
        <v>76787.350000000006</v>
      </c>
      <c r="P1058" s="706">
        <v>0</v>
      </c>
      <c r="Q1058" s="706">
        <v>0</v>
      </c>
      <c r="R1058" s="706">
        <v>0</v>
      </c>
      <c r="S1058" s="706">
        <v>9598.42</v>
      </c>
      <c r="T1058" s="706">
        <v>9598.42</v>
      </c>
      <c r="U1058" s="706">
        <v>0</v>
      </c>
      <c r="V1058" s="706">
        <v>0</v>
      </c>
      <c r="W1058" s="706">
        <v>0</v>
      </c>
      <c r="X1058" s="706">
        <v>0</v>
      </c>
      <c r="Y1058" s="706">
        <v>0</v>
      </c>
      <c r="Z1058" s="706">
        <v>3</v>
      </c>
      <c r="AA1058" s="706">
        <v>4</v>
      </c>
      <c r="AB1058" s="706">
        <v>5</v>
      </c>
      <c r="AC1058" s="706">
        <v>6</v>
      </c>
      <c r="AD1058" s="706">
        <v>6</v>
      </c>
      <c r="AE1058" s="706">
        <v>0</v>
      </c>
      <c r="AF1058" s="706">
        <v>0</v>
      </c>
      <c r="AG1058" s="706">
        <v>0</v>
      </c>
      <c r="AH1058" s="706">
        <v>1</v>
      </c>
      <c r="AI1058" s="706">
        <v>1</v>
      </c>
      <c r="AJ1058" s="905" t="str">
        <f t="shared" si="110"/>
        <v>G90551</v>
      </c>
      <c r="AK1058" s="905" t="str">
        <f t="shared" si="111"/>
        <v>DEALER FINANCE - NEUF</v>
      </c>
      <c r="AL1058" s="905">
        <f>IFERROR(INDEX(G1058:R1058,1,MATCH(Parametres!$B$3,G$1:R$1,0)-1)*IF(OR(F1058="L",F1058="S",F1058="I"),-1,1),"")</f>
        <v>-66487.56</v>
      </c>
      <c r="AM1058" s="905">
        <f t="shared" si="112"/>
        <v>-10299.790000000008</v>
      </c>
      <c r="AN1058" s="905">
        <f>INDEX(G1058:R1058,1,MATCH(Parametres!$B$3,G$1:R$1,0))*IF(OR(F1058="L",F1058="S",F1058="I"),-1,1)</f>
        <v>-76787.350000000006</v>
      </c>
      <c r="AO1058" s="487" t="str">
        <f>+VLOOKUP($AJ1058,Data_Validation!$A:$D,1,0)</f>
        <v>G90551</v>
      </c>
      <c r="AP1058" s="487" t="str">
        <f>+VLOOKUP($AJ1058,Data_Validation!$A:$D,3,0)</f>
        <v>Véhicules neufs</v>
      </c>
      <c r="AQ1058" s="487" t="str">
        <f>+VLOOKUP($AJ1058,Data_Validation!$A:$D,4,0)</f>
        <v>Crédit Boni TD</v>
      </c>
      <c r="AR1058" s="487" t="s">
        <v>299</v>
      </c>
      <c r="AS1058" s="487">
        <f>+VLOOKUP($AJ1058,Data_Validation!$A:$E,5,0)</f>
        <v>0</v>
      </c>
      <c r="AT1058" s="904" t="str">
        <f t="shared" si="113"/>
        <v>G90551</v>
      </c>
      <c r="AU1058" s="488" t="str">
        <f t="shared" si="114"/>
        <v>DEALER FINANCE - NEUF</v>
      </c>
      <c r="AV1058" s="899">
        <f>IFERROR(INDEX(V1058:AG1058,1,MATCH(Parametres!$B$3,V$1:AG$1,0)-1)*IF(OR(C1058="L",C1058="S",C1058="I"),-1,1),"")</f>
        <v>5</v>
      </c>
      <c r="AW1058" s="899">
        <f t="shared" si="115"/>
        <v>1</v>
      </c>
      <c r="AX1058" s="899">
        <f>INDEX(V1058:AG1058,1,MATCH(Parametres!$B$3,V$1:AG$1,0))*IF(OR(C1058="L",C1058="S",C1058="I"),-1,1)</f>
        <v>6</v>
      </c>
      <c r="AY1058" s="487" t="s">
        <v>337</v>
      </c>
      <c r="AZ1058" s="487">
        <f>+VLOOKUP($AJ1058,Data_Validation!$A:$E,5,0)</f>
        <v>0</v>
      </c>
    </row>
    <row r="1059" spans="1:52" ht="15" customHeight="1">
      <c r="A1059" s="706" t="s">
        <v>1148</v>
      </c>
      <c r="B1059" s="706">
        <v>2026</v>
      </c>
      <c r="C1059" s="706" t="s">
        <v>3151</v>
      </c>
      <c r="D1059" s="706" t="s">
        <v>3152</v>
      </c>
      <c r="E1059" s="706" t="s">
        <v>333</v>
      </c>
      <c r="F1059" s="706" t="s">
        <v>1150</v>
      </c>
      <c r="G1059" s="706">
        <v>0</v>
      </c>
      <c r="H1059" s="706">
        <v>0</v>
      </c>
      <c r="I1059" s="706">
        <v>0</v>
      </c>
      <c r="J1059" s="706">
        <v>0</v>
      </c>
      <c r="K1059" s="706">
        <v>27569.29</v>
      </c>
      <c r="L1059" s="706">
        <v>34506.639999999999</v>
      </c>
      <c r="M1059" s="706">
        <v>35329.78</v>
      </c>
      <c r="N1059" s="706">
        <v>36949.339999999997</v>
      </c>
      <c r="O1059" s="706">
        <v>36949.339999999997</v>
      </c>
      <c r="P1059" s="706">
        <v>0</v>
      </c>
      <c r="Q1059" s="706">
        <v>0</v>
      </c>
      <c r="R1059" s="706">
        <v>0</v>
      </c>
      <c r="S1059" s="706">
        <v>4618.67</v>
      </c>
      <c r="T1059" s="706">
        <v>4618.67</v>
      </c>
      <c r="U1059" s="706">
        <v>0</v>
      </c>
      <c r="V1059" s="706">
        <v>0</v>
      </c>
      <c r="W1059" s="706">
        <v>0</v>
      </c>
      <c r="X1059" s="706">
        <v>0</v>
      </c>
      <c r="Y1059" s="706">
        <v>0</v>
      </c>
      <c r="Z1059" s="706">
        <v>3</v>
      </c>
      <c r="AA1059" s="706">
        <v>4</v>
      </c>
      <c r="AB1059" s="706">
        <v>5</v>
      </c>
      <c r="AC1059" s="706">
        <v>6</v>
      </c>
      <c r="AD1059" s="706">
        <v>6</v>
      </c>
      <c r="AE1059" s="706">
        <v>0</v>
      </c>
      <c r="AF1059" s="706">
        <v>0</v>
      </c>
      <c r="AG1059" s="706">
        <v>0</v>
      </c>
      <c r="AH1059" s="706">
        <v>1</v>
      </c>
      <c r="AI1059" s="706">
        <v>1</v>
      </c>
      <c r="AJ1059" s="905" t="str">
        <f t="shared" si="110"/>
        <v>G90552</v>
      </c>
      <c r="AK1059" s="905" t="str">
        <f t="shared" si="111"/>
        <v>DEALER FINANCE - USAGE</v>
      </c>
      <c r="AL1059" s="905">
        <f>IFERROR(INDEX(G1059:R1059,1,MATCH(Parametres!$B$3,G$1:R$1,0)-1)*IF(OR(F1059="L",F1059="S",F1059="I"),-1,1),"")</f>
        <v>-35329.78</v>
      </c>
      <c r="AM1059" s="905">
        <f t="shared" si="112"/>
        <v>-1619.5599999999977</v>
      </c>
      <c r="AN1059" s="905">
        <f>INDEX(G1059:R1059,1,MATCH(Parametres!$B$3,G$1:R$1,0))*IF(OR(F1059="L",F1059="S",F1059="I"),-1,1)</f>
        <v>-36949.339999999997</v>
      </c>
      <c r="AO1059" s="487" t="str">
        <f>+VLOOKUP($AJ1059,Data_Validation!$A:$D,1,0)</f>
        <v>G90552</v>
      </c>
      <c r="AP1059" s="487" t="str">
        <f>+VLOOKUP($AJ1059,Data_Validation!$A:$D,3,0)</f>
        <v>Véhicules usagés</v>
      </c>
      <c r="AQ1059" s="487" t="str">
        <f>+VLOOKUP($AJ1059,Data_Validation!$A:$D,4,0)</f>
        <v>Crédit Boni TD</v>
      </c>
      <c r="AR1059" s="487" t="s">
        <v>299</v>
      </c>
      <c r="AS1059" s="487">
        <f>+VLOOKUP($AJ1059,Data_Validation!$A:$E,5,0)</f>
        <v>0</v>
      </c>
      <c r="AT1059" s="904" t="str">
        <f t="shared" si="113"/>
        <v>G90552</v>
      </c>
      <c r="AU1059" s="488" t="str">
        <f t="shared" si="114"/>
        <v>DEALER FINANCE - USAGE</v>
      </c>
      <c r="AV1059" s="899">
        <f>IFERROR(INDEX(V1059:AG1059,1,MATCH(Parametres!$B$3,V$1:AG$1,0)-1)*IF(OR(C1059="L",C1059="S",C1059="I"),-1,1),"")</f>
        <v>5</v>
      </c>
      <c r="AW1059" s="899">
        <f t="shared" si="115"/>
        <v>1</v>
      </c>
      <c r="AX1059" s="899">
        <f>INDEX(V1059:AG1059,1,MATCH(Parametres!$B$3,V$1:AG$1,0))*IF(OR(C1059="L",C1059="S",C1059="I"),-1,1)</f>
        <v>6</v>
      </c>
      <c r="AY1059" s="487" t="s">
        <v>337</v>
      </c>
      <c r="AZ1059" s="487">
        <f>+VLOOKUP($AJ1059,Data_Validation!$A:$E,5,0)</f>
        <v>0</v>
      </c>
    </row>
    <row r="1060" spans="1:52" ht="15" customHeight="1">
      <c r="A1060" s="706" t="s">
        <v>1148</v>
      </c>
      <c r="B1060" s="706">
        <v>2026</v>
      </c>
      <c r="C1060" s="706" t="s">
        <v>3415</v>
      </c>
      <c r="D1060" s="706" t="s">
        <v>3416</v>
      </c>
      <c r="E1060" s="706" t="s">
        <v>333</v>
      </c>
      <c r="F1060" s="706" t="s">
        <v>1150</v>
      </c>
      <c r="G1060" s="706">
        <v>0</v>
      </c>
      <c r="H1060" s="706">
        <v>0</v>
      </c>
      <c r="I1060" s="706">
        <v>0</v>
      </c>
      <c r="J1060" s="706">
        <v>0</v>
      </c>
      <c r="K1060" s="706">
        <v>0</v>
      </c>
      <c r="L1060" s="706">
        <v>0</v>
      </c>
      <c r="M1060" s="706">
        <v>4744.12</v>
      </c>
      <c r="N1060" s="706">
        <v>6676.04</v>
      </c>
      <c r="O1060" s="706">
        <v>6676.04</v>
      </c>
      <c r="P1060" s="706">
        <v>0</v>
      </c>
      <c r="Q1060" s="706">
        <v>0</v>
      </c>
      <c r="R1060" s="706">
        <v>0</v>
      </c>
      <c r="S1060" s="706">
        <v>834.51</v>
      </c>
      <c r="T1060" s="706">
        <v>834.51</v>
      </c>
      <c r="U1060" s="706">
        <v>0</v>
      </c>
      <c r="V1060" s="706">
        <v>0</v>
      </c>
      <c r="W1060" s="706">
        <v>0</v>
      </c>
      <c r="X1060" s="706">
        <v>0</v>
      </c>
      <c r="Y1060" s="706">
        <v>0</v>
      </c>
      <c r="Z1060" s="706">
        <v>0</v>
      </c>
      <c r="AA1060" s="706">
        <v>0</v>
      </c>
      <c r="AB1060" s="706">
        <v>1</v>
      </c>
      <c r="AC1060" s="706">
        <v>2</v>
      </c>
      <c r="AD1060" s="706">
        <v>2</v>
      </c>
      <c r="AE1060" s="706">
        <v>0</v>
      </c>
      <c r="AF1060" s="706">
        <v>0</v>
      </c>
      <c r="AG1060" s="706">
        <v>0</v>
      </c>
      <c r="AH1060" s="706">
        <v>0</v>
      </c>
      <c r="AI1060" s="706">
        <v>0</v>
      </c>
      <c r="AJ1060" s="905" t="str">
        <f t="shared" si="110"/>
        <v>G90553</v>
      </c>
      <c r="AK1060" s="905" t="str">
        <f t="shared" si="111"/>
        <v>DEALER FINANCE - USA</v>
      </c>
      <c r="AL1060" s="905">
        <f>IFERROR(INDEX(G1060:R1060,1,MATCH(Parametres!$B$3,G$1:R$1,0)-1)*IF(OR(F1060="L",F1060="S",F1060="I"),-1,1),"")</f>
        <v>-4744.12</v>
      </c>
      <c r="AM1060" s="905">
        <f t="shared" si="112"/>
        <v>-1931.92</v>
      </c>
      <c r="AN1060" s="905">
        <f>INDEX(G1060:R1060,1,MATCH(Parametres!$B$3,G$1:R$1,0))*IF(OR(F1060="L",F1060="S",F1060="I"),-1,1)</f>
        <v>-6676.04</v>
      </c>
      <c r="AO1060" s="487" t="str">
        <f>+VLOOKUP($AJ1060,Data_Validation!$A:$D,1,0)</f>
        <v>G90553</v>
      </c>
      <c r="AP1060" s="487" t="str">
        <f>+VLOOKUP($AJ1060,Data_Validation!$A:$D,3,0)</f>
        <v>Wholesale autres</v>
      </c>
      <c r="AQ1060" s="487" t="str">
        <f>+VLOOKUP($AJ1060,Data_Validation!$A:$D,4,0)</f>
        <v>Crédit Boni TD</v>
      </c>
      <c r="AR1060" s="487" t="s">
        <v>299</v>
      </c>
      <c r="AS1060" s="487">
        <f>+VLOOKUP($AJ1060,Data_Validation!$A:$E,5,0)</f>
        <v>0</v>
      </c>
      <c r="AT1060" s="904" t="str">
        <f t="shared" si="113"/>
        <v>G90553</v>
      </c>
      <c r="AU1060" s="488" t="str">
        <f t="shared" si="114"/>
        <v>DEALER FINANCE - USA</v>
      </c>
      <c r="AV1060" s="899">
        <f>IFERROR(INDEX(V1060:AG1060,1,MATCH(Parametres!$B$3,V$1:AG$1,0)-1)*IF(OR(C1060="L",C1060="S",C1060="I"),-1,1),"")</f>
        <v>1</v>
      </c>
      <c r="AW1060" s="899">
        <f t="shared" si="115"/>
        <v>1</v>
      </c>
      <c r="AX1060" s="899">
        <f>INDEX(V1060:AG1060,1,MATCH(Parametres!$B$3,V$1:AG$1,0))*IF(OR(C1060="L",C1060="S",C1060="I"),-1,1)</f>
        <v>2</v>
      </c>
      <c r="AY1060" s="487" t="s">
        <v>337</v>
      </c>
      <c r="AZ1060" s="487">
        <f>+VLOOKUP($AJ1060,Data_Validation!$A:$E,5,0)</f>
        <v>0</v>
      </c>
    </row>
    <row r="1061" spans="1:52" ht="15" customHeight="1">
      <c r="A1061" s="706" t="s">
        <v>1148</v>
      </c>
      <c r="B1061" s="706">
        <v>2026</v>
      </c>
      <c r="C1061" s="706" t="s">
        <v>3084</v>
      </c>
      <c r="D1061" s="706" t="s">
        <v>3085</v>
      </c>
      <c r="E1061" s="706" t="s">
        <v>333</v>
      </c>
      <c r="F1061" s="706" t="s">
        <v>1150</v>
      </c>
      <c r="G1061" s="706">
        <v>0</v>
      </c>
      <c r="H1061" s="706">
        <v>0</v>
      </c>
      <c r="I1061" s="706">
        <v>37199.85</v>
      </c>
      <c r="J1061" s="706">
        <v>50434.879999999997</v>
      </c>
      <c r="K1061" s="706">
        <v>63583.76</v>
      </c>
      <c r="L1061" s="706">
        <v>76646.100000000006</v>
      </c>
      <c r="M1061" s="706">
        <v>89621.54</v>
      </c>
      <c r="N1061" s="706">
        <v>102509.7</v>
      </c>
      <c r="O1061" s="706">
        <v>102509.7</v>
      </c>
      <c r="P1061" s="706">
        <v>0</v>
      </c>
      <c r="Q1061" s="706">
        <v>0</v>
      </c>
      <c r="R1061" s="706">
        <v>0</v>
      </c>
      <c r="S1061" s="706">
        <v>12813.71</v>
      </c>
      <c r="T1061" s="706">
        <v>12813.71</v>
      </c>
      <c r="U1061" s="706">
        <v>0</v>
      </c>
      <c r="V1061" s="706">
        <v>0</v>
      </c>
      <c r="W1061" s="706">
        <v>0</v>
      </c>
      <c r="X1061" s="706">
        <v>2</v>
      </c>
      <c r="Y1061" s="706">
        <v>4</v>
      </c>
      <c r="Z1061" s="706">
        <v>6</v>
      </c>
      <c r="AA1061" s="706">
        <v>8</v>
      </c>
      <c r="AB1061" s="706">
        <v>10</v>
      </c>
      <c r="AC1061" s="706">
        <v>12</v>
      </c>
      <c r="AD1061" s="706">
        <v>12</v>
      </c>
      <c r="AE1061" s="706">
        <v>0</v>
      </c>
      <c r="AF1061" s="706">
        <v>0</v>
      </c>
      <c r="AG1061" s="706">
        <v>0</v>
      </c>
      <c r="AH1061" s="706">
        <v>2</v>
      </c>
      <c r="AI1061" s="706">
        <v>2</v>
      </c>
      <c r="AJ1061" s="905" t="str">
        <f t="shared" si="110"/>
        <v>G90800</v>
      </c>
      <c r="AK1061" s="905" t="str">
        <f t="shared" si="111"/>
        <v>REVENU INTERET (PRETS)</v>
      </c>
      <c r="AL1061" s="905">
        <f>IFERROR(INDEX(G1061:R1061,1,MATCH(Parametres!$B$3,G$1:R$1,0)-1)*IF(OR(F1061="L",F1061="S",F1061="I"),-1,1),"")</f>
        <v>-89621.54</v>
      </c>
      <c r="AM1061" s="905">
        <f t="shared" si="112"/>
        <v>-12888.160000000003</v>
      </c>
      <c r="AN1061" s="905">
        <f>INDEX(G1061:R1061,1,MATCH(Parametres!$B$3,G$1:R$1,0))*IF(OR(F1061="L",F1061="S",F1061="I"),-1,1)</f>
        <v>-102509.7</v>
      </c>
      <c r="AO1061" s="487" t="str">
        <f>+VLOOKUP($AJ1061,Data_Validation!$A:$D,1,0)</f>
        <v>G90800</v>
      </c>
      <c r="AP1061" s="487" t="str">
        <f>+VLOOKUP($AJ1061,Data_Validation!$A:$D,3,0)</f>
        <v>TOTAL DES REVENUS ET DÉPENSES</v>
      </c>
      <c r="AQ1061" s="487" t="str">
        <f>+VLOOKUP($AJ1061,Data_Validation!$A:$D,4,0)</f>
        <v>Intérêts sur prêt</v>
      </c>
      <c r="AR1061" s="487" t="s">
        <v>299</v>
      </c>
      <c r="AS1061" s="487">
        <f>+VLOOKUP($AJ1061,Data_Validation!$A:$E,5,0)</f>
        <v>0</v>
      </c>
      <c r="AT1061" s="904" t="str">
        <f t="shared" si="113"/>
        <v>G90800</v>
      </c>
      <c r="AU1061" s="488" t="str">
        <f t="shared" si="114"/>
        <v>REVENU INTERET (PRETS)</v>
      </c>
      <c r="AV1061" s="899">
        <f>IFERROR(INDEX(V1061:AG1061,1,MATCH(Parametres!$B$3,V$1:AG$1,0)-1)*IF(OR(C1061="L",C1061="S",C1061="I"),-1,1),"")</f>
        <v>10</v>
      </c>
      <c r="AW1061" s="899">
        <f t="shared" si="115"/>
        <v>2</v>
      </c>
      <c r="AX1061" s="899">
        <f>INDEX(V1061:AG1061,1,MATCH(Parametres!$B$3,V$1:AG$1,0))*IF(OR(C1061="L",C1061="S",C1061="I"),-1,1)</f>
        <v>12</v>
      </c>
      <c r="AY1061" s="487" t="s">
        <v>337</v>
      </c>
      <c r="AZ1061" s="487">
        <f>+VLOOKUP($AJ1061,Data_Validation!$A:$E,5,0)</f>
        <v>0</v>
      </c>
    </row>
    <row r="1062" spans="1:52" ht="15" customHeight="1">
      <c r="A1062" s="706" t="s">
        <v>1148</v>
      </c>
      <c r="B1062" s="706">
        <v>2026</v>
      </c>
      <c r="C1062" s="706" t="s">
        <v>3086</v>
      </c>
      <c r="D1062" s="706" t="s">
        <v>3087</v>
      </c>
      <c r="E1062" s="706" t="s">
        <v>333</v>
      </c>
      <c r="F1062" s="706" t="s">
        <v>1150</v>
      </c>
      <c r="G1062" s="706">
        <v>0</v>
      </c>
      <c r="H1062" s="706">
        <v>0</v>
      </c>
      <c r="I1062" s="706">
        <v>0</v>
      </c>
      <c r="J1062" s="706">
        <v>810.96</v>
      </c>
      <c r="K1062" s="706">
        <v>3953.43</v>
      </c>
      <c r="L1062" s="706">
        <v>5930.14</v>
      </c>
      <c r="M1062" s="706">
        <v>5980.82</v>
      </c>
      <c r="N1062" s="706">
        <v>5980.82</v>
      </c>
      <c r="O1062" s="706">
        <v>5980.82</v>
      </c>
      <c r="P1062" s="706">
        <v>0</v>
      </c>
      <c r="Q1062" s="706">
        <v>0</v>
      </c>
      <c r="R1062" s="706">
        <v>0</v>
      </c>
      <c r="S1062" s="706">
        <v>747.6</v>
      </c>
      <c r="T1062" s="706">
        <v>747.6</v>
      </c>
      <c r="U1062" s="706">
        <v>0</v>
      </c>
      <c r="V1062" s="706">
        <v>0</v>
      </c>
      <c r="W1062" s="706">
        <v>0</v>
      </c>
      <c r="X1062" s="706">
        <v>0</v>
      </c>
      <c r="Y1062" s="706">
        <v>1</v>
      </c>
      <c r="Z1062" s="706">
        <v>2</v>
      </c>
      <c r="AA1062" s="706">
        <v>3</v>
      </c>
      <c r="AB1062" s="706">
        <v>4</v>
      </c>
      <c r="AC1062" s="706">
        <v>4</v>
      </c>
      <c r="AD1062" s="706">
        <v>4</v>
      </c>
      <c r="AE1062" s="706">
        <v>0</v>
      </c>
      <c r="AF1062" s="706">
        <v>0</v>
      </c>
      <c r="AG1062" s="706">
        <v>0</v>
      </c>
      <c r="AH1062" s="706">
        <v>1</v>
      </c>
      <c r="AI1062" s="706">
        <v>1</v>
      </c>
      <c r="AJ1062" s="905" t="str">
        <f t="shared" si="110"/>
        <v>G90810</v>
      </c>
      <c r="AK1062" s="905" t="str">
        <f t="shared" si="111"/>
        <v>REVENU INTERET (BULK)</v>
      </c>
      <c r="AL1062" s="905">
        <f>IFERROR(INDEX(G1062:R1062,1,MATCH(Parametres!$B$3,G$1:R$1,0)-1)*IF(OR(F1062="L",F1062="S",F1062="I"),-1,1),"")</f>
        <v>-5980.82</v>
      </c>
      <c r="AM1062" s="905">
        <f t="shared" si="112"/>
        <v>0</v>
      </c>
      <c r="AN1062" s="905">
        <f>INDEX(G1062:R1062,1,MATCH(Parametres!$B$3,G$1:R$1,0))*IF(OR(F1062="L",F1062="S",F1062="I"),-1,1)</f>
        <v>-5980.82</v>
      </c>
      <c r="AO1062" s="487" t="str">
        <f>+VLOOKUP($AJ1062,Data_Validation!$A:$D,1,0)</f>
        <v>G90810</v>
      </c>
      <c r="AP1062" s="487" t="str">
        <f>+VLOOKUP($AJ1062,Data_Validation!$A:$D,3,0)</f>
        <v>TOTAL DES REVENUS ET DÉPENSES</v>
      </c>
      <c r="AQ1062" s="487" t="str">
        <f>+VLOOKUP($AJ1062,Data_Validation!$A:$D,4,0)</f>
        <v>Revenus d'intérêts Floor plan</v>
      </c>
      <c r="AR1062" s="487" t="s">
        <v>299</v>
      </c>
      <c r="AS1062" s="487">
        <f>+VLOOKUP($AJ1062,Data_Validation!$A:$E,5,0)</f>
        <v>0</v>
      </c>
      <c r="AT1062" s="904" t="str">
        <f t="shared" si="113"/>
        <v>G90810</v>
      </c>
      <c r="AU1062" s="488" t="str">
        <f t="shared" si="114"/>
        <v>REVENU INTERET (BULK)</v>
      </c>
      <c r="AV1062" s="899">
        <f>IFERROR(INDEX(V1062:AG1062,1,MATCH(Parametres!$B$3,V$1:AG$1,0)-1)*IF(OR(C1062="L",C1062="S",C1062="I"),-1,1),"")</f>
        <v>4</v>
      </c>
      <c r="AW1062" s="899">
        <f t="shared" si="115"/>
        <v>0</v>
      </c>
      <c r="AX1062" s="899">
        <f>INDEX(V1062:AG1062,1,MATCH(Parametres!$B$3,V$1:AG$1,0))*IF(OR(C1062="L",C1062="S",C1062="I"),-1,1)</f>
        <v>4</v>
      </c>
      <c r="AY1062" s="487" t="s">
        <v>337</v>
      </c>
      <c r="AZ1062" s="487">
        <f>+VLOOKUP($AJ1062,Data_Validation!$A:$E,5,0)</f>
        <v>0</v>
      </c>
    </row>
    <row r="1063" spans="1:52" ht="15" customHeight="1">
      <c r="A1063" s="706" t="s">
        <v>1148</v>
      </c>
      <c r="B1063" s="706">
        <v>2026</v>
      </c>
      <c r="C1063" s="706" t="s">
        <v>3453</v>
      </c>
      <c r="D1063" s="706" t="s">
        <v>3454</v>
      </c>
      <c r="E1063" s="706" t="s">
        <v>333</v>
      </c>
      <c r="F1063" s="706" t="s">
        <v>1150</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G90820</v>
      </c>
      <c r="AK1063" s="905" t="str">
        <f t="shared" si="111"/>
        <v>REVENU INTERETS DIVERS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G90820</v>
      </c>
      <c r="AU1063" s="488" t="str">
        <f t="shared" si="114"/>
        <v>REVENU INTERETS DIVERS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customHeight="1">
      <c r="A1064" s="706" t="s">
        <v>1148</v>
      </c>
      <c r="B1064" s="706">
        <v>2026</v>
      </c>
      <c r="C1064" s="706" t="s">
        <v>3088</v>
      </c>
      <c r="D1064" s="706" t="s">
        <v>3089</v>
      </c>
      <c r="E1064" s="706" t="s">
        <v>333</v>
      </c>
      <c r="F1064" s="706" t="s">
        <v>1150</v>
      </c>
      <c r="G1064" s="706">
        <v>31433.86</v>
      </c>
      <c r="H1064" s="706">
        <v>29413.86</v>
      </c>
      <c r="I1064" s="706">
        <v>29146.86</v>
      </c>
      <c r="J1064" s="706">
        <v>37628.720000000001</v>
      </c>
      <c r="K1064" s="706">
        <v>69120.7</v>
      </c>
      <c r="L1064" s="706">
        <v>93472.23</v>
      </c>
      <c r="M1064" s="706">
        <v>96266.62</v>
      </c>
      <c r="N1064" s="706">
        <v>131508.06</v>
      </c>
      <c r="O1064" s="706">
        <v>135576.69</v>
      </c>
      <c r="P1064" s="706">
        <v>0</v>
      </c>
      <c r="Q1064" s="706">
        <v>0</v>
      </c>
      <c r="R1064" s="706">
        <v>0</v>
      </c>
      <c r="S1064" s="706">
        <v>16438.509999999998</v>
      </c>
      <c r="T1064" s="706">
        <v>16438.509999999998</v>
      </c>
      <c r="U1064" s="706">
        <v>0</v>
      </c>
      <c r="V1064" s="706">
        <v>3</v>
      </c>
      <c r="W1064" s="706">
        <v>1</v>
      </c>
      <c r="X1064" s="706">
        <v>0</v>
      </c>
      <c r="Y1064" s="706">
        <v>1</v>
      </c>
      <c r="Z1064" s="706">
        <v>7</v>
      </c>
      <c r="AA1064" s="706">
        <v>25</v>
      </c>
      <c r="AB1064" s="706">
        <v>33</v>
      </c>
      <c r="AC1064" s="706">
        <v>40</v>
      </c>
      <c r="AD1064" s="706">
        <v>54</v>
      </c>
      <c r="AE1064" s="706">
        <v>0</v>
      </c>
      <c r="AF1064" s="706">
        <v>0</v>
      </c>
      <c r="AG1064" s="706">
        <v>0</v>
      </c>
      <c r="AH1064" s="706">
        <v>5</v>
      </c>
      <c r="AI1064" s="706">
        <v>5</v>
      </c>
      <c r="AJ1064" s="905" t="str">
        <f t="shared" si="110"/>
        <v>G90900</v>
      </c>
      <c r="AK1064" s="905" t="str">
        <f t="shared" si="111"/>
        <v>REMBOURSEMENTS DE GMCL</v>
      </c>
      <c r="AL1064" s="905">
        <f>IFERROR(INDEX(G1064:R1064,1,MATCH(Parametres!$B$3,G$1:R$1,0)-1)*IF(OR(F1064="L",F1064="S",F1064="I"),-1,1),"")</f>
        <v>-96266.62</v>
      </c>
      <c r="AM1064" s="905">
        <f t="shared" si="112"/>
        <v>-35241.440000000002</v>
      </c>
      <c r="AN1064" s="905">
        <f>INDEX(G1064:R1064,1,MATCH(Parametres!$B$3,G$1:R$1,0))*IF(OR(F1064="L",F1064="S",F1064="I"),-1,1)</f>
        <v>-131508.06</v>
      </c>
      <c r="AO1064" s="487" t="str">
        <f>+VLOOKUP($AJ1064,Data_Validation!$A:$D,1,0)</f>
        <v>G90900</v>
      </c>
      <c r="AP1064" s="487" t="str">
        <f>+VLOOKUP($AJ1064,Data_Validation!$A:$D,3,0)</f>
        <v>Véhicules neufs</v>
      </c>
      <c r="AQ1064" s="487" t="str">
        <f>+VLOOKUP($AJ1064,Data_Validation!$A:$D,4,0)</f>
        <v>Programme Excellence</v>
      </c>
      <c r="AR1064" s="487" t="s">
        <v>299</v>
      </c>
      <c r="AS1064" s="487">
        <f>+VLOOKUP($AJ1064,Data_Validation!$A:$E,5,0)</f>
        <v>0</v>
      </c>
      <c r="AT1064" s="904" t="str">
        <f t="shared" si="113"/>
        <v>G90900</v>
      </c>
      <c r="AU1064" s="488" t="str">
        <f t="shared" si="114"/>
        <v>REMBOURSEMENTS DE GMCL</v>
      </c>
      <c r="AV1064" s="899">
        <f>IFERROR(INDEX(V1064:AG1064,1,MATCH(Parametres!$B$3,V$1:AG$1,0)-1)*IF(OR(C1064="L",C1064="S",C1064="I"),-1,1),"")</f>
        <v>33</v>
      </c>
      <c r="AW1064" s="899">
        <f t="shared" si="115"/>
        <v>7</v>
      </c>
      <c r="AX1064" s="899">
        <f>INDEX(V1064:AG1064,1,MATCH(Parametres!$B$3,V$1:AG$1,0))*IF(OR(C1064="L",C1064="S",C1064="I"),-1,1)</f>
        <v>40</v>
      </c>
      <c r="AY1064" s="487" t="s">
        <v>337</v>
      </c>
      <c r="AZ1064" s="487">
        <f>+VLOOKUP($AJ1064,Data_Validation!$A:$E,5,0)</f>
        <v>0</v>
      </c>
    </row>
    <row r="1065" spans="1:52" ht="15" customHeight="1">
      <c r="A1065" s="706" t="s">
        <v>1148</v>
      </c>
      <c r="B1065" s="706">
        <v>2026</v>
      </c>
      <c r="C1065" s="706" t="s">
        <v>3090</v>
      </c>
      <c r="D1065" s="706" t="s">
        <v>3091</v>
      </c>
      <c r="E1065" s="706" t="s">
        <v>333</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G953</v>
      </c>
      <c r="AK1065" s="905" t="str">
        <f t="shared" si="111"/>
        <v>ESCOMPTE ACCORDE</v>
      </c>
      <c r="AL1065" s="905">
        <f>IFERROR(INDEX(G1065:R1065,1,MATCH(Parametres!$B$3,G$1:R$1,0)-1)*IF(OR(F1065="L",F1065="S",F1065="I"),-1,1),"")</f>
        <v>0</v>
      </c>
      <c r="AM1065" s="905">
        <f t="shared" si="112"/>
        <v>0</v>
      </c>
      <c r="AN1065" s="905">
        <f>INDEX(G1065:R1065,1,MATCH(Parametres!$B$3,G$1:R$1,0))*IF(OR(F1065="L",F1065="S",F1065="I"),-1,1)</f>
        <v>0</v>
      </c>
      <c r="AO1065" s="487" t="e">
        <f>+VLOOKUP($AJ1065,Data_Validation!$A:$D,1,0)</f>
        <v>#N/A</v>
      </c>
      <c r="AP1065" s="487" t="e">
        <f>+VLOOKUP($AJ1065,Data_Validation!$A:$D,3,0)</f>
        <v>#N/A</v>
      </c>
      <c r="AQ1065" s="487" t="e">
        <f>+VLOOKUP($AJ1065,Data_Validation!$A:$D,4,0)</f>
        <v>#N/A</v>
      </c>
      <c r="AR1065" s="487" t="s">
        <v>299</v>
      </c>
      <c r="AS1065" s="487" t="e">
        <f>+VLOOKUP($AJ1065,Data_Validation!$A:$E,5,0)</f>
        <v>#N/A</v>
      </c>
      <c r="AT1065" s="904" t="str">
        <f t="shared" si="113"/>
        <v>G953</v>
      </c>
      <c r="AU1065" s="488" t="str">
        <f t="shared" si="114"/>
        <v>ESCOMPTE ACCORDE</v>
      </c>
      <c r="AV1065" s="899">
        <f>IFERROR(INDEX(V1065:AG1065,1,MATCH(Parametres!$B$3,V$1:AG$1,0)-1)*IF(OR(C1065="L",C1065="S",C1065="I"),-1,1),"")</f>
        <v>0</v>
      </c>
      <c r="AW1065" s="899">
        <f t="shared" si="115"/>
        <v>0</v>
      </c>
      <c r="AX1065" s="899">
        <f>INDEX(V1065:AG1065,1,MATCH(Parametres!$B$3,V$1:AG$1,0))*IF(OR(C1065="L",C1065="S",C1065="I"),-1,1)</f>
        <v>0</v>
      </c>
      <c r="AY1065" s="487" t="s">
        <v>337</v>
      </c>
      <c r="AZ1065" s="487" t="e">
        <f>+VLOOKUP($AJ1065,Data_Validation!$A:$E,5,0)</f>
        <v>#N/A</v>
      </c>
    </row>
    <row r="1066" spans="1:52" ht="15" customHeight="1">
      <c r="A1066" s="706" t="s">
        <v>1148</v>
      </c>
      <c r="B1066" s="706">
        <v>2026</v>
      </c>
      <c r="C1066" s="706" t="s">
        <v>3092</v>
      </c>
      <c r="D1066" s="706" t="s">
        <v>3093</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G955</v>
      </c>
      <c r="AK1066" s="905" t="str">
        <f t="shared" si="111"/>
        <v>AUTRES DEDUCTIONS</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G955</v>
      </c>
      <c r="AU1066" s="488" t="str">
        <f t="shared" si="114"/>
        <v>AUTRES DEDUCTIONS</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customHeight="1">
      <c r="A1067" s="706" t="s">
        <v>1148</v>
      </c>
      <c r="B1067" s="706">
        <v>2026</v>
      </c>
      <c r="C1067" s="706" t="s">
        <v>3094</v>
      </c>
      <c r="D1067" s="706" t="s">
        <v>3093</v>
      </c>
      <c r="E1067" s="706" t="s">
        <v>333</v>
      </c>
      <c r="F1067" s="706" t="s">
        <v>1104</v>
      </c>
      <c r="G1067" s="706">
        <v>40.75</v>
      </c>
      <c r="H1067" s="706">
        <v>305.54000000000002</v>
      </c>
      <c r="I1067" s="706">
        <v>-1036.4000000000001</v>
      </c>
      <c r="J1067" s="706">
        <v>-1010.84</v>
      </c>
      <c r="K1067" s="706">
        <v>49163.08</v>
      </c>
      <c r="L1067" s="706">
        <v>49240.4</v>
      </c>
      <c r="M1067" s="706">
        <v>51449.07</v>
      </c>
      <c r="N1067" s="706">
        <v>51496.87</v>
      </c>
      <c r="O1067" s="706">
        <v>51532.47</v>
      </c>
      <c r="P1067" s="706">
        <v>0</v>
      </c>
      <c r="Q1067" s="706">
        <v>0</v>
      </c>
      <c r="R1067" s="706">
        <v>0</v>
      </c>
      <c r="S1067" s="706">
        <v>6437.11</v>
      </c>
      <c r="T1067" s="706">
        <v>6437.11</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G95500</v>
      </c>
      <c r="AK1067" s="905" t="str">
        <f t="shared" si="111"/>
        <v>AUTRES DEDUCTIONS</v>
      </c>
      <c r="AL1067" s="905">
        <f>IFERROR(INDEX(G1067:R1067,1,MATCH(Parametres!$B$3,G$1:R$1,0)-1)*IF(OR(F1067="L",F1067="S",F1067="I"),-1,1),"")</f>
        <v>51449.07</v>
      </c>
      <c r="AM1067" s="905">
        <f t="shared" si="112"/>
        <v>47.80000000000291</v>
      </c>
      <c r="AN1067" s="905">
        <f>INDEX(G1067:R1067,1,MATCH(Parametres!$B$3,G$1:R$1,0))*IF(OR(F1067="L",F1067="S",F1067="I"),-1,1)</f>
        <v>51496.87</v>
      </c>
      <c r="AO1067" s="487" t="str">
        <f>+VLOOKUP($AJ1067,Data_Validation!$A:$D,1,0)</f>
        <v>G95500</v>
      </c>
      <c r="AP1067" s="487" t="str">
        <f>+VLOOKUP($AJ1067,Data_Validation!$A:$D,3,0)</f>
        <v>TOTAL DES REVENUS ET DÉPENSES</v>
      </c>
      <c r="AQ1067" s="487" t="str">
        <f>+VLOOKUP($AJ1067,Data_Validation!$A:$D,4,0)</f>
        <v>Revenus autres</v>
      </c>
      <c r="AR1067" s="487" t="s">
        <v>299</v>
      </c>
      <c r="AS1067" s="487">
        <f>+VLOOKUP($AJ1067,Data_Validation!$A:$E,5,0)</f>
        <v>0</v>
      </c>
      <c r="AT1067" s="904" t="str">
        <f t="shared" si="113"/>
        <v>G95500</v>
      </c>
      <c r="AU1067" s="488" t="str">
        <f t="shared" si="114"/>
        <v>AUTRES DEDUCTIONS</v>
      </c>
      <c r="AV1067" s="899">
        <f>IFERROR(INDEX(V1067:AG1067,1,MATCH(Parametres!$B$3,V$1:AG$1,0)-1)*IF(OR(C1067="L",C1067="S",C1067="I"),-1,1),"")</f>
        <v>0</v>
      </c>
      <c r="AW1067" s="899">
        <f t="shared" si="115"/>
        <v>0</v>
      </c>
      <c r="AX1067" s="899">
        <f>INDEX(V1067:AG1067,1,MATCH(Parametres!$B$3,V$1:AG$1,0))*IF(OR(C1067="L",C1067="S",C1067="I"),-1,1)</f>
        <v>0</v>
      </c>
      <c r="AY1067" s="487" t="s">
        <v>337</v>
      </c>
      <c r="AZ1067" s="487">
        <f>+VLOOKUP($AJ1067,Data_Validation!$A:$E,5,0)</f>
        <v>0</v>
      </c>
    </row>
    <row r="1068" spans="1:52" ht="15" customHeight="1">
      <c r="A1068" s="706" t="s">
        <v>1148</v>
      </c>
      <c r="B1068" s="706">
        <v>2026</v>
      </c>
      <c r="C1068" s="706" t="s">
        <v>3095</v>
      </c>
      <c r="D1068" s="706" t="s">
        <v>3096</v>
      </c>
      <c r="E1068" s="706" t="s">
        <v>333</v>
      </c>
      <c r="F1068" s="706" t="s">
        <v>1104</v>
      </c>
      <c r="G1068" s="706">
        <v>0</v>
      </c>
      <c r="H1068" s="706">
        <v>0</v>
      </c>
      <c r="I1068" s="706">
        <v>37199.85</v>
      </c>
      <c r="J1068" s="706">
        <v>58589.83</v>
      </c>
      <c r="K1068" s="706">
        <v>79840.570000000007</v>
      </c>
      <c r="L1068" s="706">
        <v>100951.46</v>
      </c>
      <c r="M1068" s="706">
        <v>121921.9</v>
      </c>
      <c r="N1068" s="706">
        <v>142751.28</v>
      </c>
      <c r="O1068" s="706">
        <v>142751.28</v>
      </c>
      <c r="P1068" s="706">
        <v>0</v>
      </c>
      <c r="Q1068" s="706">
        <v>0</v>
      </c>
      <c r="R1068" s="706">
        <v>0</v>
      </c>
      <c r="S1068" s="706">
        <v>17843.91</v>
      </c>
      <c r="T1068" s="706">
        <v>17843.91</v>
      </c>
      <c r="U1068" s="706">
        <v>0</v>
      </c>
      <c r="V1068" s="706">
        <v>0</v>
      </c>
      <c r="W1068" s="706">
        <v>0</v>
      </c>
      <c r="X1068" s="706">
        <v>0</v>
      </c>
      <c r="Y1068" s="706">
        <v>0</v>
      </c>
      <c r="Z1068" s="706">
        <v>0</v>
      </c>
      <c r="AA1068" s="706">
        <v>0</v>
      </c>
      <c r="AB1068" s="706">
        <v>0</v>
      </c>
      <c r="AC1068" s="706">
        <v>0</v>
      </c>
      <c r="AD1068" s="706">
        <v>0</v>
      </c>
      <c r="AE1068" s="706">
        <v>0</v>
      </c>
      <c r="AF1068" s="706">
        <v>0</v>
      </c>
      <c r="AG1068" s="706">
        <v>0</v>
      </c>
      <c r="AH1068" s="706">
        <v>0</v>
      </c>
      <c r="AI1068" s="706">
        <v>0</v>
      </c>
      <c r="AJ1068" s="905" t="str">
        <f t="shared" si="110"/>
        <v>G95800</v>
      </c>
      <c r="AK1068" s="905" t="str">
        <f t="shared" si="111"/>
        <v>DEPENSES D'INTERET</v>
      </c>
      <c r="AL1068" s="905">
        <f>IFERROR(INDEX(G1068:R1068,1,MATCH(Parametres!$B$3,G$1:R$1,0)-1)*IF(OR(F1068="L",F1068="S",F1068="I"),-1,1),"")</f>
        <v>121921.9</v>
      </c>
      <c r="AM1068" s="905">
        <f t="shared" si="112"/>
        <v>20829.380000000005</v>
      </c>
      <c r="AN1068" s="905">
        <f>INDEX(G1068:R1068,1,MATCH(Parametres!$B$3,G$1:R$1,0))*IF(OR(F1068="L",F1068="S",F1068="I"),-1,1)</f>
        <v>142751.28</v>
      </c>
      <c r="AO1068" s="487" t="str">
        <f>+VLOOKUP($AJ1068,Data_Validation!$A:$D,1,0)</f>
        <v>G95800</v>
      </c>
      <c r="AP1068" s="487" t="str">
        <f>+VLOOKUP($AJ1068,Data_Validation!$A:$D,3,0)</f>
        <v>TOTAL DES REVENUS ET DÉPENSES</v>
      </c>
      <c r="AQ1068" s="487" t="str">
        <f>+VLOOKUP($AJ1068,Data_Validation!$A:$D,4,0)</f>
        <v>Intérêts sur prêt</v>
      </c>
      <c r="AR1068" s="487" t="s">
        <v>299</v>
      </c>
      <c r="AS1068" s="487">
        <f>+VLOOKUP($AJ1068,Data_Validation!$A:$E,5,0)</f>
        <v>0</v>
      </c>
      <c r="AT1068" s="904" t="str">
        <f t="shared" si="113"/>
        <v>G95800</v>
      </c>
      <c r="AU1068" s="488" t="str">
        <f t="shared" si="114"/>
        <v>DEPENSES D'INTERET</v>
      </c>
      <c r="AV1068" s="899">
        <f>IFERROR(INDEX(V1068:AG1068,1,MATCH(Parametres!$B$3,V$1:AG$1,0)-1)*IF(OR(C1068="L",C1068="S",C1068="I"),-1,1),"")</f>
        <v>0</v>
      </c>
      <c r="AW1068" s="899">
        <f t="shared" si="115"/>
        <v>0</v>
      </c>
      <c r="AX1068" s="899">
        <f>INDEX(V1068:AG1068,1,MATCH(Parametres!$B$3,V$1:AG$1,0))*IF(OR(C1068="L",C1068="S",C1068="I"),-1,1)</f>
        <v>0</v>
      </c>
      <c r="AY1068" s="487" t="s">
        <v>337</v>
      </c>
      <c r="AZ1068" s="487">
        <f>+VLOOKUP($AJ1068,Data_Validation!$A:$E,5,0)</f>
        <v>0</v>
      </c>
    </row>
    <row r="1069" spans="1:52" ht="15" customHeight="1">
      <c r="A1069" s="706" t="s">
        <v>1148</v>
      </c>
      <c r="B1069" s="706">
        <v>2026</v>
      </c>
      <c r="C1069" s="706" t="s">
        <v>3455</v>
      </c>
      <c r="D1069" s="706" t="s">
        <v>3456</v>
      </c>
      <c r="E1069" s="706" t="s">
        <v>333</v>
      </c>
      <c r="F1069" s="706" t="s">
        <v>1104</v>
      </c>
      <c r="G1069" s="706">
        <v>0</v>
      </c>
      <c r="H1069" s="706">
        <v>0</v>
      </c>
      <c r="I1069" s="706">
        <v>0</v>
      </c>
      <c r="J1069" s="706">
        <v>0</v>
      </c>
      <c r="K1069" s="706">
        <v>0</v>
      </c>
      <c r="L1069" s="706">
        <v>0</v>
      </c>
      <c r="M1069" s="706">
        <v>0</v>
      </c>
      <c r="N1069" s="706">
        <v>266.98</v>
      </c>
      <c r="O1069" s="706">
        <v>266.98</v>
      </c>
      <c r="P1069" s="706">
        <v>0</v>
      </c>
      <c r="Q1069" s="706">
        <v>0</v>
      </c>
      <c r="R1069" s="706">
        <v>0</v>
      </c>
      <c r="S1069" s="706">
        <v>33.369999999999997</v>
      </c>
      <c r="T1069" s="706">
        <v>33.369999999999997</v>
      </c>
      <c r="U1069" s="706">
        <v>0</v>
      </c>
      <c r="V1069" s="706">
        <v>0</v>
      </c>
      <c r="W1069" s="706">
        <v>0</v>
      </c>
      <c r="X1069" s="706">
        <v>0</v>
      </c>
      <c r="Y1069" s="706">
        <v>0</v>
      </c>
      <c r="Z1069" s="706">
        <v>0</v>
      </c>
      <c r="AA1069" s="706">
        <v>0</v>
      </c>
      <c r="AB1069" s="706">
        <v>0</v>
      </c>
      <c r="AC1069" s="706">
        <v>0</v>
      </c>
      <c r="AD1069" s="706">
        <v>0</v>
      </c>
      <c r="AE1069" s="706">
        <v>0</v>
      </c>
      <c r="AF1069" s="706">
        <v>0</v>
      </c>
      <c r="AG1069" s="706">
        <v>0</v>
      </c>
      <c r="AH1069" s="706">
        <v>0</v>
      </c>
      <c r="AI1069" s="706">
        <v>0</v>
      </c>
      <c r="AJ1069" s="905" t="str">
        <f t="shared" si="110"/>
        <v>G95820</v>
      </c>
      <c r="AK1069" s="905" t="str">
        <f t="shared" si="111"/>
        <v>DEPENSES INTERETS DIVERS</v>
      </c>
      <c r="AL1069" s="905">
        <f>IFERROR(INDEX(G1069:R1069,1,MATCH(Parametres!$B$3,G$1:R$1,0)-1)*IF(OR(F1069="L",F1069="S",F1069="I"),-1,1),"")</f>
        <v>0</v>
      </c>
      <c r="AM1069" s="905">
        <f t="shared" si="112"/>
        <v>266.98</v>
      </c>
      <c r="AN1069" s="905">
        <f>INDEX(G1069:R1069,1,MATCH(Parametres!$B$3,G$1:R$1,0))*IF(OR(F1069="L",F1069="S",F1069="I"),-1,1)</f>
        <v>266.98</v>
      </c>
      <c r="AO1069" s="487" t="str">
        <f>+VLOOKUP($AJ1069,Data_Validation!$A:$D,1,0)</f>
        <v>G95820</v>
      </c>
      <c r="AP1069" s="487" t="str">
        <f>+VLOOKUP($AJ1069,Data_Validation!$A:$D,3,0)</f>
        <v>TOTAL DES REVENUS ET DÉPENSES</v>
      </c>
      <c r="AQ1069" s="487" t="str">
        <f>+VLOOKUP($AJ1069,Data_Validation!$A:$D,4,0)</f>
        <v>Revenus autres</v>
      </c>
      <c r="AR1069" s="487" t="s">
        <v>299</v>
      </c>
      <c r="AS1069" s="487">
        <f>+VLOOKUP($AJ1069,Data_Validation!$A:$E,5,0)</f>
        <v>0</v>
      </c>
      <c r="AT1069" s="904" t="str">
        <f t="shared" si="113"/>
        <v>G95820</v>
      </c>
      <c r="AU1069" s="488" t="str">
        <f t="shared" si="114"/>
        <v>DEPENSES INTERETS DIVERS</v>
      </c>
      <c r="AV1069" s="899">
        <f>IFERROR(INDEX(V1069:AG1069,1,MATCH(Parametres!$B$3,V$1:AG$1,0)-1)*IF(OR(C1069="L",C1069="S",C1069="I"),-1,1),"")</f>
        <v>0</v>
      </c>
      <c r="AW1069" s="899">
        <f t="shared" si="115"/>
        <v>0</v>
      </c>
      <c r="AX1069" s="899">
        <f>INDEX(V1069:AG1069,1,MATCH(Parametres!$B$3,V$1:AG$1,0))*IF(OR(C1069="L",C1069="S",C1069="I"),-1,1)</f>
        <v>0</v>
      </c>
      <c r="AY1069" s="487" t="s">
        <v>337</v>
      </c>
      <c r="AZ1069" s="487">
        <f>+VLOOKUP($AJ1069,Data_Validation!$A:$E,5,0)</f>
        <v>0</v>
      </c>
    </row>
    <row r="1070" spans="1:52" ht="15" customHeight="1">
      <c r="A1070" s="706" t="s">
        <v>1148</v>
      </c>
      <c r="B1070" s="706">
        <v>2026</v>
      </c>
      <c r="C1070" s="706" t="s">
        <v>3097</v>
      </c>
      <c r="D1070" s="706" t="s">
        <v>1784</v>
      </c>
      <c r="E1070" s="706" t="s">
        <v>333</v>
      </c>
      <c r="F1070" s="706" t="s">
        <v>1104</v>
      </c>
      <c r="G1070" s="706">
        <v>0</v>
      </c>
      <c r="H1070" s="706">
        <v>0</v>
      </c>
      <c r="I1070" s="706">
        <v>0</v>
      </c>
      <c r="J1070" s="706">
        <v>0</v>
      </c>
      <c r="K1070" s="706">
        <v>0</v>
      </c>
      <c r="L1070" s="706">
        <v>0</v>
      </c>
      <c r="M1070" s="706">
        <v>0</v>
      </c>
      <c r="N1070" s="706">
        <v>0</v>
      </c>
      <c r="O1070" s="706">
        <v>0</v>
      </c>
      <c r="P1070" s="706">
        <v>0</v>
      </c>
      <c r="Q1070" s="706">
        <v>0</v>
      </c>
      <c r="R1070" s="706">
        <v>0</v>
      </c>
      <c r="S1070" s="706">
        <v>0</v>
      </c>
      <c r="T1070" s="706">
        <v>0</v>
      </c>
      <c r="U1070" s="706">
        <v>0</v>
      </c>
      <c r="V1070" s="706">
        <v>0</v>
      </c>
      <c r="W1070" s="706">
        <v>0</v>
      </c>
      <c r="X1070" s="706">
        <v>0</v>
      </c>
      <c r="Y1070" s="706">
        <v>0</v>
      </c>
      <c r="Z1070" s="706">
        <v>0</v>
      </c>
      <c r="AA1070" s="706">
        <v>0</v>
      </c>
      <c r="AB1070" s="706">
        <v>0</v>
      </c>
      <c r="AC1070" s="706">
        <v>0</v>
      </c>
      <c r="AD1070" s="706">
        <v>0</v>
      </c>
      <c r="AE1070" s="706">
        <v>0</v>
      </c>
      <c r="AF1070" s="706">
        <v>0</v>
      </c>
      <c r="AG1070" s="706">
        <v>0</v>
      </c>
      <c r="AH1070" s="706">
        <v>0</v>
      </c>
      <c r="AI1070" s="706">
        <v>0</v>
      </c>
      <c r="AJ1070" s="905" t="str">
        <f t="shared" si="110"/>
        <v>G99960</v>
      </c>
      <c r="AK1070" s="905" t="str">
        <f t="shared" si="111"/>
        <v>IN &amp; OUT PAYROLL</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t="str">
        <f t="shared" si="113"/>
        <v>G99960</v>
      </c>
      <c r="AU1070" s="488" t="str">
        <f t="shared" si="114"/>
        <v>IN &amp; OUT PAYROLL</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customHeight="1">
      <c r="A1071" s="706" t="s">
        <v>1148</v>
      </c>
      <c r="B1071" s="706">
        <v>2026</v>
      </c>
      <c r="C1071" s="706" t="s">
        <v>3098</v>
      </c>
      <c r="D1071" s="706" t="s">
        <v>3099</v>
      </c>
      <c r="E1071" s="706" t="s">
        <v>1141</v>
      </c>
      <c r="F1071" s="706" t="s">
        <v>1104</v>
      </c>
      <c r="G1071" s="706">
        <v>0</v>
      </c>
      <c r="H1071" s="706">
        <v>0</v>
      </c>
      <c r="I1071" s="706">
        <v>0</v>
      </c>
      <c r="J1071" s="706">
        <v>0</v>
      </c>
      <c r="K1071" s="706">
        <v>0</v>
      </c>
      <c r="L1071" s="706">
        <v>0</v>
      </c>
      <c r="M1071" s="706">
        <v>0</v>
      </c>
      <c r="N1071" s="706">
        <v>0</v>
      </c>
      <c r="O1071" s="706">
        <v>0</v>
      </c>
      <c r="P1071" s="706">
        <v>0</v>
      </c>
      <c r="Q1071" s="706">
        <v>0</v>
      </c>
      <c r="R1071" s="706">
        <v>0</v>
      </c>
      <c r="S1071" s="706">
        <v>0</v>
      </c>
      <c r="T1071" s="706">
        <v>0</v>
      </c>
      <c r="U1071" s="706">
        <v>0</v>
      </c>
      <c r="V1071" s="706">
        <v>0</v>
      </c>
      <c r="W1071" s="706">
        <v>0</v>
      </c>
      <c r="X1071" s="706">
        <v>0</v>
      </c>
      <c r="Y1071" s="706">
        <v>0</v>
      </c>
      <c r="Z1071" s="706">
        <v>0</v>
      </c>
      <c r="AA1071" s="706">
        <v>0</v>
      </c>
      <c r="AB1071" s="706">
        <v>0</v>
      </c>
      <c r="AC1071" s="706">
        <v>0</v>
      </c>
      <c r="AD1071" s="706">
        <v>0</v>
      </c>
      <c r="AE1071" s="706">
        <v>0</v>
      </c>
      <c r="AF1071" s="706">
        <v>0</v>
      </c>
      <c r="AG1071" s="706">
        <v>0</v>
      </c>
      <c r="AH1071" s="706">
        <v>0</v>
      </c>
      <c r="AI1071" s="706">
        <v>0</v>
      </c>
      <c r="AJ1071" s="905" t="str">
        <f t="shared" si="110"/>
        <v>G9999</v>
      </c>
      <c r="AK1071" s="905" t="str">
        <f t="shared" si="111"/>
        <v>CHARGES A REFACTURER</v>
      </c>
      <c r="AL1071" s="905">
        <f>IFERROR(INDEX(G1071:R1071,1,MATCH(Parametres!$B$3,G$1:R$1,0)-1)*IF(OR(F1071="L",F1071="S",F1071="I"),-1,1),"")</f>
        <v>0</v>
      </c>
      <c r="AM1071" s="905">
        <f t="shared" si="112"/>
        <v>0</v>
      </c>
      <c r="AN1071" s="905">
        <f>INDEX(G1071:R1071,1,MATCH(Parametres!$B$3,G$1:R$1,0))*IF(OR(F1071="L",F1071="S",F1071="I"),-1,1)</f>
        <v>0</v>
      </c>
      <c r="AO1071" s="487" t="str">
        <f>+VLOOKUP($AJ1071,Data_Validation!$A:$D,1,0)</f>
        <v>G9999</v>
      </c>
      <c r="AP1071" s="487" t="str">
        <f>+VLOOKUP($AJ1071,Data_Validation!$A:$D,3,0)</f>
        <v>Wholesale autres</v>
      </c>
      <c r="AQ1071" s="487" t="str">
        <f>+VLOOKUP($AJ1071,Data_Validation!$A:$D,4,0)</f>
        <v>Frais de livraison</v>
      </c>
      <c r="AR1071" s="487" t="s">
        <v>299</v>
      </c>
      <c r="AS1071" s="487">
        <f>+VLOOKUP($AJ1071,Data_Validation!$A:$E,5,0)</f>
        <v>0</v>
      </c>
      <c r="AT1071" s="904" t="str">
        <f t="shared" si="113"/>
        <v>G9999</v>
      </c>
      <c r="AU1071" s="488" t="str">
        <f t="shared" si="114"/>
        <v>CHARGES A REFACTURER</v>
      </c>
      <c r="AV1071" s="899">
        <f>IFERROR(INDEX(V1071:AG1071,1,MATCH(Parametres!$B$3,V$1:AG$1,0)-1)*IF(OR(C1071="L",C1071="S",C1071="I"),-1,1),"")</f>
        <v>0</v>
      </c>
      <c r="AW1071" s="899">
        <f t="shared" si="115"/>
        <v>0</v>
      </c>
      <c r="AX1071" s="899">
        <f>INDEX(V1071:AG1071,1,MATCH(Parametres!$B$3,V$1:AG$1,0))*IF(OR(C1071="L",C1071="S",C1071="I"),-1,1)</f>
        <v>0</v>
      </c>
      <c r="AY1071" s="487" t="s">
        <v>337</v>
      </c>
      <c r="AZ1071" s="487">
        <f>+VLOOKUP($AJ1071,Data_Validation!$A:$E,5,0)</f>
        <v>0</v>
      </c>
    </row>
    <row r="1072" spans="1:52" ht="15"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611"/>
  <sheetViews>
    <sheetView topLeftCell="A775" workbookViewId="0">
      <selection activeCell="D795" sqref="D795"/>
    </sheetView>
  </sheetViews>
  <sheetFormatPr baseColWidth="10" defaultColWidth="12.625" defaultRowHeight="15" customHeight="1" outlineLevelCol="1"/>
  <cols>
    <col min="1" max="1" width="8" bestFit="1" customWidth="1"/>
    <col min="2" max="2" width="34.5" customWidth="1"/>
    <col min="3" max="3" width="16.625" customWidth="1"/>
    <col min="4" max="4" width="27.5"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5"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49" t="s">
        <v>3431</v>
      </c>
      <c r="B783" s="1249" t="s">
        <v>3433</v>
      </c>
      <c r="C783" s="710" t="s">
        <v>1162</v>
      </c>
      <c r="D783" s="710" t="s">
        <v>208</v>
      </c>
      <c r="E783" s="710"/>
      <c r="F783" s="3"/>
    </row>
    <row r="784" spans="1:6" ht="15" customHeight="1">
      <c r="A784" t="s">
        <v>3423</v>
      </c>
      <c r="B784" t="s">
        <v>3424</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3438</v>
      </c>
      <c r="C788" s="710" t="s">
        <v>148</v>
      </c>
      <c r="D788" s="710" t="s">
        <v>1081</v>
      </c>
      <c r="E788" s="710"/>
      <c r="F788" s="3"/>
    </row>
    <row r="789" spans="1:6" ht="15" customHeight="1">
      <c r="A789" t="s">
        <v>3388</v>
      </c>
      <c r="B789" t="s">
        <v>3439</v>
      </c>
      <c r="C789" s="710" t="s">
        <v>148</v>
      </c>
      <c r="D789" s="710" t="s">
        <v>1081</v>
      </c>
      <c r="E789" s="710"/>
      <c r="F789" s="3"/>
    </row>
    <row r="790" spans="1:6" ht="15" customHeight="1">
      <c r="A790" t="s">
        <v>3268</v>
      </c>
      <c r="B790" t="s">
        <v>3269</v>
      </c>
      <c r="C790" s="710" t="s">
        <v>157</v>
      </c>
      <c r="D790" s="710" t="s">
        <v>132</v>
      </c>
      <c r="E790" s="710"/>
      <c r="F790" s="3"/>
    </row>
    <row r="791" spans="1:6" ht="15" customHeight="1">
      <c r="A791" t="s">
        <v>3270</v>
      </c>
      <c r="B791" t="s">
        <v>3271</v>
      </c>
      <c r="C791" s="710" t="s">
        <v>172</v>
      </c>
      <c r="D791" s="710" t="s">
        <v>132</v>
      </c>
      <c r="E791" s="710"/>
      <c r="F791" s="3"/>
    </row>
    <row r="792" spans="1:6" ht="15" customHeight="1">
      <c r="A792" t="s">
        <v>3274</v>
      </c>
      <c r="B792" t="s">
        <v>3275</v>
      </c>
      <c r="C792" s="710" t="s">
        <v>1162</v>
      </c>
      <c r="D792" s="710" t="s">
        <v>132</v>
      </c>
      <c r="E792" s="710"/>
      <c r="F792" s="3"/>
    </row>
    <row r="793" spans="1:6" ht="15" customHeight="1">
      <c r="A793" t="s">
        <v>3449</v>
      </c>
      <c r="B793" t="s">
        <v>3450</v>
      </c>
      <c r="C793" s="710" t="s">
        <v>652</v>
      </c>
      <c r="D793" s="710" t="s">
        <v>56</v>
      </c>
      <c r="E793" s="710"/>
      <c r="F793" s="3"/>
    </row>
    <row r="794" spans="1:6" ht="15" customHeight="1">
      <c r="A794" t="s">
        <v>3451</v>
      </c>
      <c r="B794" t="s">
        <v>3452</v>
      </c>
      <c r="C794" s="710" t="s">
        <v>652</v>
      </c>
      <c r="D794" s="710" t="s">
        <v>53</v>
      </c>
      <c r="E794" s="710"/>
      <c r="F794" s="3"/>
    </row>
    <row r="795" spans="1:6" ht="15" customHeight="1">
      <c r="A795" t="s">
        <v>3455</v>
      </c>
      <c r="B795" t="s">
        <v>3456</v>
      </c>
      <c r="C795" s="710" t="s">
        <v>667</v>
      </c>
      <c r="D795" s="710" t="s">
        <v>212</v>
      </c>
      <c r="E795" s="710"/>
      <c r="F795" s="3"/>
    </row>
    <row r="796" spans="1:6" ht="15" customHeight="1">
      <c r="C796" s="710"/>
      <c r="D796" s="710"/>
      <c r="E796" s="710"/>
      <c r="F796" s="3"/>
    </row>
    <row r="797" spans="1:6" ht="15" customHeight="1">
      <c r="C797" s="710"/>
      <c r="D797" s="710"/>
      <c r="E797" s="710"/>
      <c r="F797" s="3"/>
    </row>
    <row r="798" spans="1:6" ht="15" customHeight="1">
      <c r="C798" s="710"/>
      <c r="D798" s="710"/>
      <c r="E798" s="710"/>
      <c r="F798" s="3"/>
    </row>
    <row r="799" spans="1:6" ht="15" customHeight="1">
      <c r="C799" s="710"/>
      <c r="D799" s="710"/>
      <c r="E799" s="710"/>
      <c r="F799" s="3"/>
    </row>
    <row r="800" spans="1:6" ht="15" customHeight="1">
      <c r="C800" s="710"/>
      <c r="D800" s="710"/>
      <c r="E800" s="710"/>
      <c r="F800" s="3"/>
    </row>
    <row r="801" spans="2:6" ht="15" customHeight="1">
      <c r="C801" s="710"/>
      <c r="D801" s="710"/>
      <c r="E801" s="710"/>
      <c r="F801" s="3"/>
    </row>
    <row r="802" spans="2:6" ht="15" customHeight="1">
      <c r="C802" s="710"/>
      <c r="D802" s="710"/>
      <c r="E802" s="710"/>
      <c r="F802" s="3"/>
    </row>
    <row r="803" spans="2:6" ht="15" customHeight="1">
      <c r="C803" s="710"/>
      <c r="D803" s="710"/>
      <c r="E803" s="710"/>
      <c r="F803" s="3"/>
    </row>
    <row r="804" spans="2:6" ht="15" customHeight="1">
      <c r="C804" s="710"/>
      <c r="D804" s="710"/>
      <c r="E804" s="710"/>
      <c r="F804" s="3"/>
    </row>
    <row r="805" spans="2:6" ht="15" customHeight="1">
      <c r="C805" s="710"/>
      <c r="D805" s="710"/>
      <c r="E805" s="710"/>
      <c r="F805" s="3"/>
    </row>
    <row r="806" spans="2:6" ht="15" customHeight="1">
      <c r="C806" s="710"/>
      <c r="D806" s="710"/>
      <c r="E806" s="710"/>
      <c r="F806" s="3"/>
    </row>
    <row r="807" spans="2:6" ht="15" customHeight="1">
      <c r="C807" s="710"/>
      <c r="D807" s="710"/>
      <c r="E807" s="710"/>
      <c r="F807" s="3"/>
    </row>
    <row r="808" spans="2:6" ht="15" customHeight="1">
      <c r="B808" t="s">
        <v>1157</v>
      </c>
      <c r="F808" s="3"/>
    </row>
    <row r="809" spans="2:6" ht="15" customHeight="1">
      <c r="F809" s="3"/>
    </row>
    <row r="810" spans="2:6" ht="15" customHeight="1">
      <c r="F810" s="3"/>
    </row>
    <row r="811" spans="2:6" ht="15" customHeight="1">
      <c r="F811" s="3"/>
    </row>
    <row r="812" spans="2:6" ht="15" customHeight="1">
      <c r="F812" s="3"/>
    </row>
    <row r="813" spans="2:6" ht="15" customHeight="1">
      <c r="F813" s="3"/>
    </row>
    <row r="814" spans="2:6" ht="15" customHeight="1">
      <c r="F814" s="3"/>
    </row>
    <row r="815" spans="2:6" ht="15" customHeight="1">
      <c r="F815" s="3"/>
    </row>
    <row r="816" spans="2: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3"/>
    </row>
    <row r="846" spans="6:6" ht="15" customHeight="1">
      <c r="F846" s="3"/>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4"/>
    </row>
    <row r="860" spans="6:6" ht="15" customHeight="1">
      <c r="F860" s="4"/>
    </row>
    <row r="861" spans="6:6" ht="15" customHeight="1">
      <c r="F861" s="3"/>
    </row>
    <row r="862" spans="6:6" ht="15" customHeight="1">
      <c r="F862" s="3"/>
    </row>
    <row r="863" spans="6:6" ht="15" customHeight="1">
      <c r="F863" s="3"/>
    </row>
    <row r="864" spans="6:6" ht="15" customHeight="1">
      <c r="F864" s="3"/>
    </row>
    <row r="865" spans="6:6" ht="15" customHeight="1">
      <c r="F865" s="3"/>
    </row>
    <row r="866" spans="6:6" ht="15" customHeight="1">
      <c r="F866" s="3"/>
    </row>
    <row r="867" spans="6:6" ht="15" customHeight="1">
      <c r="F867" s="3"/>
    </row>
    <row r="868" spans="6:6" ht="15" customHeight="1">
      <c r="F868" s="3"/>
    </row>
    <row r="869" spans="6:6" ht="15" customHeight="1">
      <c r="F869" s="3"/>
    </row>
    <row r="870" spans="6:6" ht="15" customHeight="1">
      <c r="F870" s="3"/>
    </row>
    <row r="871" spans="6:6" ht="15" customHeight="1">
      <c r="F871" s="3"/>
    </row>
    <row r="872" spans="6:6" ht="15" customHeight="1">
      <c r="F872" s="3"/>
    </row>
    <row r="873" spans="6:6" ht="15" customHeight="1">
      <c r="F873" s="3"/>
    </row>
    <row r="874" spans="6:6" ht="15" customHeight="1">
      <c r="F874" s="3"/>
    </row>
    <row r="875" spans="6:6" ht="15" customHeight="1">
      <c r="F875" s="3"/>
    </row>
    <row r="876" spans="6:6" ht="15" customHeight="1">
      <c r="F876" s="3"/>
    </row>
    <row r="877" spans="6:6" ht="15" customHeight="1">
      <c r="F877" s="3"/>
    </row>
    <row r="878" spans="6:6" ht="15" customHeight="1">
      <c r="F878" s="3"/>
    </row>
    <row r="879" spans="6:6" ht="15" customHeight="1">
      <c r="F879" s="3"/>
    </row>
    <row r="880" spans="6:6" ht="15" customHeight="1">
      <c r="F880" s="3"/>
    </row>
    <row r="881" spans="6:10" ht="15" customHeight="1">
      <c r="F881" s="3"/>
    </row>
    <row r="882" spans="6:10" ht="15" customHeight="1">
      <c r="F882" s="3"/>
    </row>
    <row r="883" spans="6:10" ht="15" customHeight="1">
      <c r="F883" s="3"/>
    </row>
    <row r="884" spans="6:10" ht="15" customHeight="1">
      <c r="F884" s="3"/>
    </row>
    <row r="885" spans="6:10" ht="15" customHeight="1">
      <c r="F885" s="3"/>
    </row>
    <row r="886" spans="6:10" ht="15" customHeight="1">
      <c r="F886" s="3"/>
    </row>
    <row r="887" spans="6:10" ht="15" customHeight="1">
      <c r="F887" s="3"/>
    </row>
    <row r="888" spans="6:10" ht="15" customHeight="1">
      <c r="F888" s="3"/>
    </row>
    <row r="889" spans="6:10" ht="15" customHeight="1">
      <c r="F889" s="3"/>
    </row>
    <row r="890" spans="6:10" ht="15" customHeight="1">
      <c r="F890" s="3"/>
      <c r="J890" s="3"/>
    </row>
    <row r="891" spans="6:10" ht="15" customHeight="1">
      <c r="F891" s="3"/>
      <c r="J891" s="3"/>
    </row>
    <row r="892" spans="6:10" ht="15" customHeight="1">
      <c r="F892" s="3"/>
    </row>
    <row r="893" spans="6:10" ht="15" customHeight="1">
      <c r="F893" s="3"/>
    </row>
    <row r="894" spans="6:10" ht="15" customHeight="1">
      <c r="F894" s="3"/>
    </row>
    <row r="895" spans="6:10" ht="15" customHeight="1">
      <c r="F895" s="3"/>
    </row>
    <row r="896" spans="6:10"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6" ht="15" customHeight="1">
      <c r="F961" s="3"/>
    </row>
    <row r="962" spans="6:6" ht="15" customHeight="1">
      <c r="F962" s="3"/>
    </row>
    <row r="963" spans="6:6" ht="15" customHeight="1">
      <c r="F963" s="3"/>
    </row>
    <row r="964" spans="6:6" ht="15" customHeight="1">
      <c r="F964" s="3"/>
    </row>
    <row r="965" spans="6:6" ht="15" customHeight="1">
      <c r="F965" s="3"/>
    </row>
    <row r="966" spans="6:6" ht="15" customHeight="1">
      <c r="F966" s="3"/>
    </row>
    <row r="967" spans="6:6" ht="15" customHeight="1">
      <c r="F967" s="3"/>
    </row>
    <row r="968" spans="6:6" ht="15" customHeight="1">
      <c r="F968" s="3"/>
    </row>
    <row r="969" spans="6:6" ht="15" customHeight="1">
      <c r="F969" s="3"/>
    </row>
    <row r="970" spans="6:6" ht="15" customHeight="1">
      <c r="F970" s="3"/>
    </row>
    <row r="971" spans="6:6" ht="15" customHeight="1">
      <c r="F971" s="3"/>
    </row>
    <row r="972" spans="6:6" ht="15" customHeight="1">
      <c r="F972" s="3"/>
    </row>
    <row r="973" spans="6:6" ht="15" customHeight="1">
      <c r="F973" s="3"/>
    </row>
    <row r="974" spans="6:6" ht="15" customHeight="1">
      <c r="F974" s="3"/>
    </row>
    <row r="975" spans="6:6" ht="15" customHeight="1">
      <c r="F975" s="3"/>
    </row>
    <row r="976" spans="6:6"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c r="G986" s="3"/>
      <c r="H986" s="3"/>
      <c r="J986" s="3"/>
      <c r="K986" s="3"/>
      <c r="L986" s="3"/>
      <c r="M986" s="3"/>
      <c r="N986" s="3"/>
      <c r="O986" s="3"/>
      <c r="P986" s="3"/>
      <c r="Q986" s="3"/>
      <c r="R986" s="3"/>
      <c r="S986" s="3"/>
      <c r="T986" s="3"/>
      <c r="U986" s="3"/>
      <c r="V986" s="3"/>
      <c r="W986" s="3"/>
      <c r="X986" s="3"/>
      <c r="Y986" s="3"/>
      <c r="Z986" s="3"/>
      <c r="AA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3.5" customHeight="1">
      <c r="F988" s="3"/>
    </row>
    <row r="989" spans="6:27" ht="15" customHeight="1">
      <c r="F989" s="3"/>
    </row>
    <row r="990" spans="6:27" ht="15" customHeight="1">
      <c r="F990" s="3"/>
    </row>
    <row r="991" spans="6:27" ht="15" customHeight="1">
      <c r="F991" s="3"/>
    </row>
    <row r="992" spans="6:27" ht="15" customHeight="1">
      <c r="F992" s="3"/>
    </row>
    <row r="993" spans="6:27" ht="15" customHeight="1">
      <c r="F993" s="3"/>
      <c r="I993" s="3"/>
    </row>
    <row r="994" spans="6:27" ht="15" customHeight="1">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c r="F1002" s="3"/>
      <c r="I1002" s="3"/>
    </row>
    <row r="1003" spans="6:27" ht="15" customHeight="1">
      <c r="F1003" s="3"/>
      <c r="I1003" s="3"/>
    </row>
    <row r="1004" spans="6:27" ht="15" customHeight="1">
      <c r="F1004" s="3"/>
    </row>
    <row r="1005" spans="6:27" ht="15" customHeight="1">
      <c r="F1005" s="3"/>
    </row>
    <row r="1006" spans="6:27" ht="15" customHeight="1">
      <c r="F1006" s="3"/>
    </row>
    <row r="1007" spans="6:27" ht="15" customHeight="1">
      <c r="F1007" s="3"/>
    </row>
    <row r="1008" spans="6:27" ht="15" customHeight="1">
      <c r="F1008" s="3"/>
    </row>
    <row r="1009" spans="6:27" ht="15" customHeight="1">
      <c r="F1009" s="3"/>
    </row>
    <row r="1010" spans="6:27" ht="15" customHeight="1">
      <c r="F1010" s="3"/>
    </row>
    <row r="1011" spans="6:27" ht="15" customHeight="1">
      <c r="F1011" s="3"/>
    </row>
    <row r="1012" spans="6:27" ht="15" customHeight="1">
      <c r="F1012" s="3"/>
    </row>
    <row r="1013" spans="6:27" ht="15" customHeight="1">
      <c r="F1013" s="3"/>
    </row>
    <row r="1014" spans="6:27" ht="15" customHeight="1">
      <c r="F1014" s="3"/>
    </row>
    <row r="1015" spans="6:27" ht="15" customHeight="1">
      <c r="F1015" s="3"/>
    </row>
    <row r="1016" spans="6:27" ht="15" customHeight="1">
      <c r="F1016" s="3"/>
    </row>
    <row r="1017" spans="6:27" ht="15" customHeight="1">
      <c r="F1017" s="3"/>
    </row>
    <row r="1018" spans="6:27" ht="15" customHeight="1">
      <c r="F1018" s="3"/>
    </row>
    <row r="1019" spans="6:27" ht="15" customHeight="1">
      <c r="F1019" s="3"/>
    </row>
    <row r="1020" spans="6:27" ht="15" customHeight="1">
      <c r="F1020" s="3"/>
      <c r="G1020" s="3"/>
      <c r="H1020" s="3"/>
      <c r="J1020" s="3"/>
      <c r="K1020" s="3"/>
      <c r="L1020" s="3"/>
      <c r="M1020" s="3"/>
      <c r="N1020" s="3"/>
      <c r="O1020" s="3"/>
      <c r="P1020" s="3"/>
      <c r="Q1020" s="3"/>
      <c r="R1020" s="3"/>
      <c r="S1020" s="3"/>
      <c r="T1020" s="3"/>
      <c r="U1020" s="3"/>
      <c r="V1020" s="3"/>
      <c r="W1020" s="3"/>
      <c r="X1020" s="3"/>
      <c r="Y1020" s="3"/>
      <c r="Z1020" s="3"/>
      <c r="AA1020" s="3"/>
    </row>
    <row r="1021" spans="6:27" ht="15" customHeight="1">
      <c r="F1021" s="3"/>
    </row>
    <row r="1022" spans="6:27" ht="15" customHeight="1">
      <c r="F1022" s="3"/>
    </row>
    <row r="1023" spans="6:27" ht="15" customHeight="1">
      <c r="F1023" s="3"/>
    </row>
    <row r="1024" spans="6:27" ht="15" customHeight="1">
      <c r="F1024" s="3"/>
    </row>
    <row r="1025" spans="6:6" ht="15" customHeight="1">
      <c r="F1025" s="3"/>
    </row>
    <row r="1026" spans="6:6" ht="15" customHeight="1">
      <c r="F1026" s="3"/>
    </row>
    <row r="1027" spans="6:6" ht="15" customHeight="1">
      <c r="F1027" s="3"/>
    </row>
    <row r="1028" spans="6:6" ht="15" customHeight="1">
      <c r="F1028" s="3"/>
    </row>
    <row r="1029" spans="6:6" ht="15" customHeight="1">
      <c r="F1029" s="3"/>
    </row>
    <row r="1030" spans="6:6" ht="15" customHeight="1">
      <c r="F1030" s="3"/>
    </row>
    <row r="1031" spans="6:6" ht="15" customHeight="1">
      <c r="F1031" s="3"/>
    </row>
    <row r="1032" spans="6:6" ht="15" customHeight="1">
      <c r="F1032" s="3"/>
    </row>
    <row r="1033" spans="6:6" ht="15" customHeight="1">
      <c r="F1033" s="3"/>
    </row>
    <row r="1034" spans="6:6" ht="15" customHeight="1">
      <c r="F1034" s="3"/>
    </row>
    <row r="1035" spans="6:6" ht="15" customHeight="1">
      <c r="F1035" s="3"/>
    </row>
    <row r="1036" spans="6:6" ht="15" customHeight="1">
      <c r="F1036" s="3"/>
    </row>
    <row r="1037" spans="6:6" ht="15" customHeight="1">
      <c r="F1037" s="3"/>
    </row>
    <row r="1038" spans="6:6" ht="15" customHeight="1">
      <c r="F1038" s="3"/>
    </row>
    <row r="1039" spans="6:6" ht="15" customHeight="1">
      <c r="F1039" s="3"/>
    </row>
    <row r="1040" spans="6:6"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row>
    <row r="1049" spans="6:9" ht="15" customHeight="1">
      <c r="F1049" s="3"/>
      <c r="I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9" ht="15" customHeight="1">
      <c r="F1057" s="3"/>
    </row>
    <row r="1058" spans="6:9" ht="15" customHeight="1">
      <c r="F1058" s="3"/>
    </row>
    <row r="1059" spans="6:9" ht="15" customHeight="1">
      <c r="F1059" s="3"/>
    </row>
    <row r="1060" spans="6:9" ht="15" customHeight="1">
      <c r="F1060" s="3"/>
    </row>
    <row r="1061" spans="6:9" ht="15" customHeight="1">
      <c r="F1061" s="3"/>
    </row>
    <row r="1062" spans="6:9" ht="15" customHeight="1">
      <c r="F1062" s="3"/>
      <c r="I1062" s="3"/>
    </row>
    <row r="1063" spans="6:9" ht="15" customHeight="1">
      <c r="F1063" s="3"/>
    </row>
    <row r="1064" spans="6:9" ht="15" customHeight="1">
      <c r="F1064" s="3"/>
    </row>
    <row r="1065" spans="6:9" ht="15" customHeight="1">
      <c r="F1065" s="3"/>
    </row>
    <row r="1066" spans="6:9" ht="15" customHeight="1">
      <c r="F1066" s="3"/>
    </row>
    <row r="1067" spans="6:9" ht="15" customHeight="1">
      <c r="F1067" s="3"/>
    </row>
    <row r="1068" spans="6:9" ht="15" customHeight="1">
      <c r="F1068" s="3"/>
    </row>
    <row r="1069" spans="6:9" ht="15" customHeight="1">
      <c r="F1069" s="3"/>
    </row>
    <row r="1070" spans="6:9" ht="15" customHeight="1">
      <c r="F1070" s="3"/>
    </row>
    <row r="1071" spans="6:9" ht="15" customHeight="1">
      <c r="F1071" s="3"/>
    </row>
    <row r="1072" spans="6:9" ht="15" customHeight="1">
      <c r="F1072" s="3"/>
    </row>
    <row r="1073" spans="6:6" ht="15" customHeight="1">
      <c r="F1073" s="3"/>
    </row>
    <row r="1074" spans="6:6" ht="15" customHeight="1">
      <c r="F1074" s="3"/>
    </row>
    <row r="1075" spans="6:6" ht="15" customHeight="1">
      <c r="F1075" s="3"/>
    </row>
    <row r="1076" spans="6:6" ht="15" customHeight="1">
      <c r="F1076" s="3"/>
    </row>
    <row r="1077" spans="6:6" ht="15" customHeight="1">
      <c r="F1077" s="3"/>
    </row>
    <row r="1078" spans="6:6" ht="15" customHeight="1">
      <c r="F1078" s="3"/>
    </row>
    <row r="1079" spans="6:6" ht="15" customHeight="1">
      <c r="F1079" s="3"/>
    </row>
    <row r="1080" spans="6:6" ht="15" customHeight="1">
      <c r="F1080" s="3"/>
    </row>
    <row r="1081" spans="6:6" ht="15" customHeight="1">
      <c r="F1081" s="3"/>
    </row>
    <row r="1082" spans="6:6" ht="15" customHeight="1">
      <c r="F1082" s="3"/>
    </row>
    <row r="1083" spans="6:6" ht="15" customHeight="1">
      <c r="F1083" s="3"/>
    </row>
    <row r="1084" spans="6:6" ht="15" customHeight="1">
      <c r="F1084" s="3"/>
    </row>
    <row r="1085" spans="6:6" ht="15" customHeight="1">
      <c r="F1085" s="3"/>
    </row>
    <row r="1086" spans="6:6" ht="15" customHeight="1">
      <c r="F1086" s="3"/>
    </row>
    <row r="1087" spans="6:6" ht="15" customHeight="1">
      <c r="F1087" s="3"/>
    </row>
    <row r="1088" spans="6:6" ht="15" customHeight="1">
      <c r="F1088" s="3"/>
    </row>
    <row r="1089" spans="6:27" ht="15" customHeight="1">
      <c r="F1089" s="3"/>
    </row>
    <row r="1090" spans="6:27" ht="15" customHeight="1">
      <c r="F1090" s="3"/>
    </row>
    <row r="1091" spans="6:27" ht="15" customHeight="1">
      <c r="F1091" s="3"/>
    </row>
    <row r="1092" spans="6:27" ht="15" customHeight="1">
      <c r="F1092" s="3"/>
    </row>
    <row r="1093" spans="6:27" ht="15" customHeight="1">
      <c r="F1093" s="3"/>
    </row>
    <row r="1094" spans="6:27" ht="15" customHeight="1">
      <c r="F1094" s="3"/>
    </row>
    <row r="1095" spans="6:27" ht="15" customHeight="1">
      <c r="F1095" s="3"/>
    </row>
    <row r="1096" spans="6:27" ht="15" customHeight="1">
      <c r="F1096" s="3"/>
    </row>
    <row r="1097" spans="6:27" ht="15" customHeight="1">
      <c r="F1097" s="3"/>
    </row>
    <row r="1098" spans="6:27" ht="15" customHeight="1">
      <c r="F1098" s="3"/>
      <c r="G1098" s="3"/>
      <c r="H1098" s="3"/>
      <c r="J1098" s="3"/>
      <c r="K1098" s="3"/>
      <c r="L1098" s="3"/>
      <c r="M1098" s="3"/>
      <c r="N1098" s="3"/>
      <c r="O1098" s="3"/>
      <c r="P1098" s="3"/>
      <c r="Q1098" s="3"/>
      <c r="R1098" s="3"/>
      <c r="S1098" s="3"/>
      <c r="T1098" s="3"/>
      <c r="U1098" s="3"/>
      <c r="V1098" s="3"/>
      <c r="W1098" s="3"/>
      <c r="X1098" s="3"/>
      <c r="Y1098" s="3"/>
      <c r="Z1098" s="3"/>
      <c r="AA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9" ht="15" customHeight="1">
      <c r="F1105" s="3"/>
      <c r="I1105" s="3"/>
    </row>
    <row r="1106" spans="6:9" ht="15" customHeight="1">
      <c r="F1106" s="3"/>
    </row>
    <row r="1107" spans="6:9" ht="15" customHeight="1">
      <c r="F1107" s="3"/>
    </row>
    <row r="1108" spans="6:9" ht="15" customHeight="1">
      <c r="F1108" s="3"/>
    </row>
    <row r="1109" spans="6:9" ht="15" customHeight="1">
      <c r="F1109" s="3"/>
    </row>
    <row r="1110" spans="6:9" ht="15" customHeight="1">
      <c r="F1110" s="3"/>
    </row>
    <row r="1111" spans="6:9" ht="15" customHeight="1">
      <c r="F1111" s="3"/>
    </row>
    <row r="1112" spans="6:9" ht="15" customHeight="1">
      <c r="F1112" s="3"/>
    </row>
    <row r="1113" spans="6:9" ht="15" customHeight="1">
      <c r="F1113" s="3"/>
    </row>
    <row r="1114" spans="6:9" ht="15" customHeight="1">
      <c r="F1114" s="3"/>
    </row>
    <row r="1115" spans="6:9" ht="15" customHeight="1">
      <c r="F1115" s="3"/>
    </row>
    <row r="1116" spans="6:9" ht="15" customHeight="1">
      <c r="F1116" s="3"/>
    </row>
    <row r="1117" spans="6:9" ht="15" customHeight="1">
      <c r="F1117" s="3"/>
    </row>
    <row r="1118" spans="6:9" ht="15" customHeight="1">
      <c r="F1118" s="3"/>
    </row>
    <row r="1119" spans="6:9" ht="15" customHeight="1">
      <c r="F1119" s="3"/>
    </row>
    <row r="1120" spans="6:9" ht="15" customHeight="1">
      <c r="F1120" s="3"/>
    </row>
    <row r="1121" spans="6:27" ht="15" customHeight="1">
      <c r="F1121" s="3"/>
    </row>
    <row r="1122" spans="6:27" ht="15" customHeight="1">
      <c r="F1122" s="3"/>
    </row>
    <row r="1123" spans="6:27" ht="15" customHeight="1">
      <c r="F1123" s="3"/>
    </row>
    <row r="1124" spans="6:27" ht="15" customHeight="1">
      <c r="F1124" s="3"/>
    </row>
    <row r="1125" spans="6:27" ht="15" customHeight="1">
      <c r="F1125" s="3"/>
    </row>
    <row r="1126" spans="6:27" ht="15" customHeight="1">
      <c r="F1126" s="3"/>
    </row>
    <row r="1127" spans="6:27" ht="15" customHeight="1">
      <c r="F1127" s="3"/>
    </row>
    <row r="1128" spans="6:27" ht="15" customHeight="1">
      <c r="F1128" s="3"/>
    </row>
    <row r="1129" spans="6:27" ht="15" customHeight="1">
      <c r="F1129" s="3"/>
      <c r="G1129" s="3"/>
      <c r="H1129" s="3"/>
      <c r="J1129" s="3"/>
      <c r="K1129" s="3"/>
      <c r="L1129" s="3"/>
      <c r="M1129" s="3"/>
      <c r="N1129" s="3"/>
      <c r="O1129" s="3"/>
      <c r="P1129" s="3"/>
      <c r="Q1129" s="3"/>
      <c r="R1129" s="3"/>
      <c r="S1129" s="3"/>
      <c r="T1129" s="3"/>
      <c r="U1129" s="3"/>
      <c r="V1129" s="3"/>
      <c r="W1129" s="3"/>
      <c r="X1129" s="3"/>
      <c r="Y1129" s="3"/>
      <c r="Z1129" s="3"/>
      <c r="AA1129" s="3"/>
    </row>
    <row r="1130" spans="6:27" ht="15" customHeight="1">
      <c r="F1130" s="3"/>
    </row>
    <row r="1131" spans="6:27" ht="15" customHeight="1">
      <c r="F1131" s="3"/>
    </row>
    <row r="1132" spans="6:27" ht="15" customHeight="1">
      <c r="F1132" s="3"/>
    </row>
    <row r="1133" spans="6:27" ht="15" customHeight="1">
      <c r="F1133" s="3"/>
    </row>
    <row r="1134" spans="6:27" ht="15" customHeight="1">
      <c r="F1134" s="3"/>
    </row>
    <row r="1135" spans="6:27" ht="15" customHeight="1">
      <c r="F1135" s="3"/>
    </row>
    <row r="1136" spans="6:27" ht="15" customHeight="1">
      <c r="F1136" s="3"/>
    </row>
    <row r="1137" spans="6:6" ht="15" customHeight="1">
      <c r="F1137" s="3"/>
    </row>
    <row r="1138" spans="6:6" ht="15" customHeight="1">
      <c r="F1138" s="3"/>
    </row>
    <row r="1139" spans="6:6" ht="15" customHeight="1">
      <c r="F1139" s="3"/>
    </row>
    <row r="1140" spans="6:6" ht="15" customHeight="1">
      <c r="F1140" s="3"/>
    </row>
    <row r="1141" spans="6:6" ht="15" customHeight="1">
      <c r="F1141" s="3"/>
    </row>
    <row r="1142" spans="6:6" ht="15" customHeight="1">
      <c r="F1142" s="3"/>
    </row>
    <row r="1143" spans="6:6" ht="15" customHeight="1">
      <c r="F1143" s="3"/>
    </row>
    <row r="1144" spans="6:6" ht="15" customHeight="1">
      <c r="F1144" s="3"/>
    </row>
    <row r="1145" spans="6:6" ht="15" customHeight="1">
      <c r="F1145" s="3"/>
    </row>
    <row r="1146" spans="6:6" ht="15" customHeight="1">
      <c r="F1146" s="3"/>
    </row>
    <row r="1147" spans="6:6" ht="15" customHeight="1">
      <c r="F1147" s="3"/>
    </row>
    <row r="1148" spans="6:6" ht="15" customHeight="1">
      <c r="F1148" s="3"/>
    </row>
    <row r="1149" spans="6:6" ht="15" customHeight="1">
      <c r="F1149" s="3"/>
    </row>
    <row r="1150" spans="6:6" ht="15" customHeight="1">
      <c r="F1150" s="3"/>
    </row>
    <row r="1151" spans="6:6" ht="15" customHeight="1">
      <c r="F1151" s="3"/>
    </row>
    <row r="1152" spans="6:6"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row>
    <row r="1164" spans="6:27" ht="15" customHeight="1">
      <c r="F1164" s="3"/>
      <c r="G1164" s="3"/>
      <c r="H1164" s="3"/>
      <c r="J1164" s="3"/>
      <c r="K1164" s="3"/>
      <c r="L1164" s="3"/>
      <c r="M1164" s="3"/>
      <c r="N1164" s="3"/>
      <c r="O1164" s="3"/>
      <c r="P1164" s="3"/>
      <c r="Q1164" s="3"/>
      <c r="R1164" s="3"/>
      <c r="S1164" s="3"/>
      <c r="T1164" s="3"/>
      <c r="U1164" s="3"/>
      <c r="V1164" s="3"/>
      <c r="W1164" s="3"/>
      <c r="X1164" s="3"/>
      <c r="Y1164" s="3"/>
      <c r="Z1164" s="3"/>
      <c r="AA1164" s="3"/>
    </row>
    <row r="1165" spans="6:27" ht="15" customHeight="1">
      <c r="F1165" s="3"/>
    </row>
    <row r="1166" spans="6:27" ht="15" customHeight="1">
      <c r="F1166" s="3"/>
    </row>
    <row r="1167" spans="6:27" ht="15" customHeight="1">
      <c r="F1167" s="3"/>
    </row>
    <row r="1168" spans="6:27" ht="15" customHeight="1">
      <c r="F1168" s="3"/>
    </row>
    <row r="1169" spans="6:27" ht="15" customHeight="1">
      <c r="F1169" s="3"/>
    </row>
    <row r="1170" spans="6:27" ht="15" customHeight="1">
      <c r="F1170" s="3"/>
    </row>
    <row r="1171" spans="6:27" ht="15" customHeight="1">
      <c r="F1171" s="3"/>
    </row>
    <row r="1172" spans="6:27" ht="15" customHeight="1">
      <c r="F1172" s="3"/>
    </row>
    <row r="1173" spans="6:27" ht="15" customHeight="1">
      <c r="F1173" s="3"/>
    </row>
    <row r="1174" spans="6:27" ht="15" customHeight="1">
      <c r="F1174" s="3"/>
    </row>
    <row r="1175" spans="6:27" ht="15" customHeight="1">
      <c r="F1175" s="3"/>
    </row>
    <row r="1176" spans="6:27" ht="15" customHeight="1">
      <c r="F1176" s="3"/>
    </row>
    <row r="1177" spans="6:27" ht="15" customHeight="1">
      <c r="F1177" s="3"/>
      <c r="G1177" s="3"/>
      <c r="H1177" s="3"/>
      <c r="J1177" s="3"/>
      <c r="K1177" s="3"/>
      <c r="L1177" s="3"/>
      <c r="M1177" s="3"/>
      <c r="N1177" s="3"/>
      <c r="O1177" s="3"/>
      <c r="P1177" s="3"/>
      <c r="Q1177" s="3"/>
      <c r="R1177" s="3"/>
      <c r="S1177" s="3"/>
      <c r="T1177" s="3"/>
      <c r="U1177" s="3"/>
      <c r="V1177" s="3"/>
      <c r="W1177" s="3"/>
      <c r="X1177" s="3"/>
      <c r="Y1177" s="3"/>
      <c r="Z1177" s="3"/>
      <c r="AA1177" s="3"/>
    </row>
    <row r="1178" spans="6:27" ht="15" customHeight="1">
      <c r="F1178" s="3"/>
    </row>
    <row r="1179" spans="6:27" ht="15" customHeight="1">
      <c r="F1179" s="3"/>
      <c r="G1179" s="3"/>
      <c r="H1179" s="3"/>
      <c r="J1179" s="3"/>
      <c r="K1179" s="3"/>
      <c r="L1179" s="3"/>
      <c r="M1179" s="3"/>
      <c r="N1179" s="3"/>
      <c r="O1179" s="3"/>
      <c r="P1179" s="3"/>
      <c r="Q1179" s="3"/>
      <c r="R1179" s="3"/>
      <c r="S1179" s="3"/>
      <c r="T1179" s="3"/>
      <c r="U1179" s="3"/>
      <c r="V1179" s="3"/>
      <c r="W1179" s="3"/>
      <c r="X1179" s="3"/>
      <c r="Y1179" s="3"/>
      <c r="Z1179" s="3"/>
      <c r="AA1179" s="3"/>
    </row>
    <row r="1180" spans="6:27" ht="15" customHeight="1">
      <c r="F1180" s="3"/>
      <c r="I1180" s="3"/>
    </row>
    <row r="1181" spans="6:27" ht="15" customHeight="1">
      <c r="F1181" s="3"/>
    </row>
    <row r="1182" spans="6:27" ht="15" customHeight="1">
      <c r="F1182" s="3"/>
    </row>
    <row r="1183" spans="6:27" ht="15" customHeight="1">
      <c r="F1183" s="3"/>
    </row>
    <row r="1184" spans="6:27"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row>
    <row r="1215" spans="6:9" ht="15" customHeight="1">
      <c r="F1215" s="3"/>
      <c r="I1215" s="3"/>
    </row>
    <row r="1216" spans="6:9" ht="15" customHeight="1">
      <c r="F1216" s="3"/>
    </row>
    <row r="1217" spans="6:9" ht="15" customHeight="1">
      <c r="F1217" s="3"/>
    </row>
    <row r="1218" spans="6:9" ht="15" customHeight="1">
      <c r="F1218" s="3"/>
    </row>
    <row r="1219" spans="6:9" ht="15" customHeight="1">
      <c r="F1219" s="3"/>
    </row>
    <row r="1220" spans="6:9" ht="15" customHeight="1">
      <c r="F1220" s="3"/>
    </row>
    <row r="1221" spans="6:9" ht="15" customHeight="1">
      <c r="F1221" s="3"/>
    </row>
    <row r="1222" spans="6:9" ht="15" customHeight="1">
      <c r="F1222" s="3"/>
    </row>
    <row r="1223" spans="6:9" ht="15" customHeight="1">
      <c r="F1223" s="3"/>
    </row>
    <row r="1224" spans="6:9" ht="15" customHeight="1">
      <c r="F1224" s="3"/>
    </row>
    <row r="1225" spans="6:9" ht="15" customHeight="1">
      <c r="F1225" s="3"/>
    </row>
    <row r="1226" spans="6:9" ht="15" customHeight="1">
      <c r="F1226" s="3"/>
    </row>
    <row r="1227" spans="6:9" ht="15" customHeight="1">
      <c r="F1227" s="3"/>
    </row>
    <row r="1228" spans="6:9" ht="15" customHeight="1">
      <c r="F1228" s="3"/>
      <c r="I1228" s="3"/>
    </row>
    <row r="1229" spans="6:9" ht="15" customHeight="1">
      <c r="F1229" s="3"/>
    </row>
    <row r="1230" spans="6:9" ht="15" customHeight="1">
      <c r="F1230" s="3"/>
      <c r="I1230" s="3"/>
    </row>
    <row r="1231" spans="6:9" ht="15" customHeight="1">
      <c r="F1231" s="3"/>
    </row>
    <row r="1232" spans="6:9" ht="15" customHeight="1">
      <c r="F1232" s="3"/>
    </row>
    <row r="1233" spans="6:27" ht="15" customHeight="1">
      <c r="F1233" s="3"/>
    </row>
    <row r="1234" spans="6:27" ht="15" customHeight="1">
      <c r="F1234" s="3"/>
    </row>
    <row r="1235" spans="6:27" ht="15" customHeight="1">
      <c r="F1235" s="3"/>
    </row>
    <row r="1236" spans="6:27" ht="15" customHeight="1">
      <c r="F1236" s="3"/>
    </row>
    <row r="1237" spans="6:27" ht="15" customHeight="1">
      <c r="F1237" s="3"/>
      <c r="G1237" s="3"/>
      <c r="H1237" s="3"/>
      <c r="J1237" s="3"/>
      <c r="K1237" s="3"/>
      <c r="L1237" s="3"/>
      <c r="M1237" s="3"/>
      <c r="N1237" s="3"/>
      <c r="O1237" s="3"/>
      <c r="P1237" s="3"/>
      <c r="Q1237" s="3"/>
      <c r="R1237" s="3"/>
      <c r="S1237" s="3"/>
      <c r="T1237" s="3"/>
      <c r="U1237" s="3"/>
      <c r="V1237" s="3"/>
      <c r="W1237" s="3"/>
      <c r="X1237" s="3"/>
      <c r="Y1237" s="3"/>
      <c r="Z1237" s="3"/>
      <c r="AA1237" s="3"/>
    </row>
    <row r="1238" spans="6:27" ht="15" customHeight="1">
      <c r="F1238" s="3"/>
    </row>
    <row r="1239" spans="6:27" ht="15" customHeight="1">
      <c r="F1239" s="3"/>
    </row>
    <row r="1240" spans="6:27" ht="15" customHeight="1">
      <c r="F1240" s="3"/>
    </row>
    <row r="1241" spans="6:27" ht="15" customHeight="1">
      <c r="F1241" s="3"/>
    </row>
    <row r="1242" spans="6:27" ht="15" customHeight="1">
      <c r="F1242" s="3"/>
    </row>
    <row r="1243" spans="6:27" ht="15" customHeight="1">
      <c r="F1243" s="3"/>
    </row>
    <row r="1244" spans="6:27" ht="15" customHeight="1">
      <c r="F1244" s="3"/>
    </row>
    <row r="1245" spans="6:27" ht="15" customHeight="1">
      <c r="F1245" s="3"/>
    </row>
    <row r="1246" spans="6:27" ht="15" customHeight="1">
      <c r="F1246" s="3"/>
    </row>
    <row r="1247" spans="6:27" ht="15" customHeight="1">
      <c r="F1247" s="3"/>
    </row>
    <row r="1248" spans="6:27" ht="15" customHeight="1">
      <c r="F1248" s="3"/>
    </row>
    <row r="1249" spans="6:6" ht="15" customHeight="1">
      <c r="F1249" s="3"/>
    </row>
    <row r="1250" spans="6:6" ht="15" customHeight="1">
      <c r="F1250" s="3"/>
    </row>
    <row r="1251" spans="6:6" ht="15" customHeight="1">
      <c r="F1251" s="3"/>
    </row>
    <row r="1252" spans="6:6" ht="15" customHeight="1">
      <c r="F1252" s="3"/>
    </row>
    <row r="1253" spans="6:6" ht="15" customHeight="1">
      <c r="F1253" s="3"/>
    </row>
    <row r="1254" spans="6:6" ht="15" customHeight="1">
      <c r="F1254" s="3"/>
    </row>
    <row r="1255" spans="6:6" ht="15" customHeight="1">
      <c r="F1255" s="3"/>
    </row>
    <row r="1256" spans="6:6" ht="15" customHeight="1">
      <c r="F1256" s="3"/>
    </row>
    <row r="1257" spans="6:6" ht="15" customHeight="1">
      <c r="F1257" s="3"/>
    </row>
    <row r="1258" spans="6:6" ht="15" customHeight="1">
      <c r="F1258" s="3"/>
    </row>
    <row r="1259" spans="6:6" ht="15" customHeight="1">
      <c r="F1259" s="3"/>
    </row>
    <row r="1260" spans="6:6" ht="15" customHeight="1">
      <c r="F1260" s="3"/>
    </row>
    <row r="1261" spans="6:6" ht="15" customHeight="1">
      <c r="F1261" s="3"/>
    </row>
    <row r="1262" spans="6:6" ht="15" customHeight="1">
      <c r="F1262" s="3"/>
    </row>
    <row r="1263" spans="6:6" ht="15" customHeight="1">
      <c r="F1263" s="3"/>
    </row>
    <row r="1264" spans="6:6" ht="15" customHeight="1">
      <c r="F1264" s="3"/>
    </row>
    <row r="1265" spans="6:27" ht="15" customHeight="1">
      <c r="F1265" s="3"/>
    </row>
    <row r="1266" spans="6:27" ht="15" customHeight="1">
      <c r="F1266" s="3"/>
    </row>
    <row r="1267" spans="6:27" ht="15" customHeight="1">
      <c r="F1267" s="3"/>
    </row>
    <row r="1268" spans="6:27" ht="15" customHeight="1">
      <c r="F1268" s="3"/>
    </row>
    <row r="1269" spans="6:27" ht="15" customHeight="1">
      <c r="F1269" s="3"/>
    </row>
    <row r="1270" spans="6:27" ht="15" customHeight="1">
      <c r="F1270" s="3"/>
    </row>
    <row r="1271" spans="6:27" ht="15" customHeight="1">
      <c r="F1271" s="3"/>
    </row>
    <row r="1272" spans="6:27" ht="15" customHeight="1">
      <c r="F1272" s="3"/>
    </row>
    <row r="1273" spans="6:27" ht="15" customHeight="1">
      <c r="F1273" s="3"/>
      <c r="G1273" s="3"/>
      <c r="H1273" s="3"/>
      <c r="J1273" s="3"/>
      <c r="K1273" s="3"/>
      <c r="L1273" s="3"/>
      <c r="M1273" s="3"/>
      <c r="N1273" s="3"/>
      <c r="O1273" s="3"/>
      <c r="P1273" s="3"/>
      <c r="Q1273" s="3"/>
      <c r="R1273" s="3"/>
      <c r="S1273" s="3"/>
      <c r="T1273" s="3"/>
      <c r="U1273" s="3"/>
      <c r="V1273" s="3"/>
      <c r="W1273" s="3"/>
      <c r="X1273" s="3"/>
      <c r="Y1273" s="3"/>
      <c r="Z1273" s="3"/>
      <c r="AA1273" s="3"/>
    </row>
    <row r="1274" spans="6:27" ht="15" customHeight="1">
      <c r="F1274" s="3"/>
    </row>
    <row r="1275" spans="6:27" ht="15" customHeight="1">
      <c r="F1275" s="3"/>
    </row>
    <row r="1276" spans="6:27" ht="15" customHeight="1">
      <c r="F1276" s="3"/>
    </row>
    <row r="1277" spans="6:27" ht="15" customHeight="1">
      <c r="F1277" s="3"/>
    </row>
    <row r="1278" spans="6:27" ht="15" customHeight="1">
      <c r="F1278" s="3"/>
    </row>
    <row r="1279" spans="6:27" ht="15" customHeight="1">
      <c r="F1279" s="3"/>
    </row>
    <row r="1280" spans="6:27" ht="15" customHeight="1">
      <c r="F1280" s="3"/>
      <c r="I1280" s="3"/>
    </row>
    <row r="1281" spans="6:27" ht="15" customHeight="1">
      <c r="F1281" s="3"/>
    </row>
    <row r="1282" spans="6:27" ht="15" customHeight="1">
      <c r="F1282" s="3"/>
    </row>
    <row r="1283" spans="6:27" ht="15" customHeight="1">
      <c r="F1283" s="3"/>
    </row>
    <row r="1284" spans="6:27" ht="15" customHeight="1">
      <c r="F1284" s="3"/>
    </row>
    <row r="1285" spans="6:27" ht="15" customHeight="1">
      <c r="F1285" s="4"/>
    </row>
    <row r="1286" spans="6:27" ht="15" customHeight="1">
      <c r="F1286" s="4"/>
    </row>
    <row r="1287" spans="6:27" ht="15" customHeight="1">
      <c r="F1287" s="3"/>
    </row>
    <row r="1288" spans="6:27" ht="15" customHeight="1">
      <c r="F1288" s="3"/>
    </row>
    <row r="1289" spans="6:27" ht="15" customHeight="1">
      <c r="F1289" s="3"/>
      <c r="G1289" s="3"/>
      <c r="H1289" s="3"/>
      <c r="I1289" s="3"/>
      <c r="J1289" s="3"/>
      <c r="K1289" s="3"/>
      <c r="L1289" s="3"/>
      <c r="M1289" s="3"/>
      <c r="N1289" s="3"/>
      <c r="O1289" s="3"/>
      <c r="P1289" s="3"/>
      <c r="Q1289" s="3"/>
      <c r="R1289" s="3"/>
      <c r="S1289" s="3"/>
      <c r="T1289" s="3"/>
      <c r="U1289" s="3"/>
      <c r="V1289" s="3"/>
      <c r="W1289" s="3"/>
      <c r="X1289" s="3"/>
      <c r="Y1289" s="3"/>
      <c r="Z1289" s="3"/>
      <c r="AA1289" s="3"/>
    </row>
    <row r="1290" spans="6:27" ht="15" customHeight="1">
      <c r="F1290" s="3"/>
      <c r="G1290" s="3"/>
      <c r="H1290" s="3"/>
      <c r="J1290" s="3"/>
      <c r="K1290" s="3"/>
      <c r="L1290" s="3"/>
      <c r="M1290" s="3"/>
      <c r="N1290" s="3"/>
      <c r="O1290" s="3"/>
      <c r="P1290" s="3"/>
      <c r="Q1290" s="3"/>
      <c r="R1290" s="3"/>
      <c r="S1290" s="3"/>
      <c r="T1290" s="3"/>
      <c r="U1290" s="3"/>
      <c r="V1290" s="3"/>
      <c r="W1290" s="3"/>
      <c r="X1290" s="3"/>
      <c r="Y1290" s="3"/>
      <c r="Z1290" s="3"/>
      <c r="AA1290" s="3"/>
    </row>
    <row r="1291" spans="6:27" ht="15" customHeight="1">
      <c r="F1291" s="3"/>
    </row>
    <row r="1292" spans="6:27" ht="15" customHeight="1">
      <c r="F1292" s="3"/>
    </row>
    <row r="1293" spans="6:27" ht="15" customHeight="1">
      <c r="F1293" s="3"/>
    </row>
    <row r="1294" spans="6:27" ht="15" customHeight="1">
      <c r="F1294" s="3"/>
    </row>
    <row r="1295" spans="6:27" ht="15" customHeight="1">
      <c r="F1295" s="30"/>
    </row>
    <row r="1296" spans="6:27" ht="15" customHeight="1">
      <c r="F1296" s="30"/>
      <c r="G1296" s="3"/>
      <c r="H1296" s="3"/>
      <c r="J1296" s="3"/>
      <c r="K1296" s="3"/>
      <c r="L1296" s="3"/>
      <c r="M1296" s="3"/>
      <c r="N1296" s="3"/>
      <c r="O1296" s="3"/>
      <c r="P1296" s="3"/>
      <c r="Q1296" s="3"/>
      <c r="R1296" s="3"/>
      <c r="S1296" s="3"/>
      <c r="T1296" s="3"/>
      <c r="U1296" s="3"/>
      <c r="V1296" s="3"/>
      <c r="W1296" s="3"/>
      <c r="X1296" s="3"/>
      <c r="Y1296" s="3"/>
      <c r="Z1296" s="3"/>
      <c r="AA1296" s="3"/>
    </row>
    <row r="1297" spans="6:6" ht="15" customHeight="1">
      <c r="F1297" s="30"/>
    </row>
    <row r="1298" spans="6:6" ht="15" customHeight="1">
      <c r="F1298" s="30"/>
    </row>
    <row r="1299" spans="6:6" ht="15" customHeight="1">
      <c r="F1299" s="30"/>
    </row>
    <row r="1300" spans="6:6" ht="15" customHeight="1">
      <c r="F1300" s="30"/>
    </row>
    <row r="1301" spans="6:6" ht="15" customHeight="1">
      <c r="F1301" s="30"/>
    </row>
    <row r="1302" spans="6:6" ht="15" customHeight="1">
      <c r="F1302" s="30"/>
    </row>
    <row r="1303" spans="6:6" ht="15" customHeight="1">
      <c r="F1303" s="30"/>
    </row>
    <row r="1304" spans="6:6" ht="15" customHeight="1">
      <c r="F1304" s="30"/>
    </row>
    <row r="1305" spans="6:6" ht="15" customHeight="1">
      <c r="F1305" s="30"/>
    </row>
    <row r="1306" spans="6:6" ht="15" customHeight="1">
      <c r="F1306" s="30"/>
    </row>
    <row r="1307" spans="6:6" ht="15" customHeight="1">
      <c r="F1307" s="30"/>
    </row>
    <row r="1308" spans="6:6" ht="15" customHeight="1">
      <c r="F1308" s="3"/>
    </row>
    <row r="1309" spans="6:6" ht="15" customHeight="1">
      <c r="F1309" s="3"/>
    </row>
    <row r="1310" spans="6:6" ht="15" customHeight="1">
      <c r="F1310" s="3"/>
    </row>
    <row r="1311" spans="6:6" ht="15" customHeight="1">
      <c r="F1311" s="3"/>
    </row>
    <row r="1312" spans="6:6" ht="15" customHeight="1">
      <c r="F1312" s="3"/>
    </row>
    <row r="1313" spans="6:6" ht="15" customHeight="1">
      <c r="F1313" s="3"/>
    </row>
    <row r="1314" spans="6:6" ht="15" customHeight="1">
      <c r="F1314" s="3"/>
    </row>
    <row r="1315" spans="6:6" ht="15" customHeight="1">
      <c r="F1315" s="3"/>
    </row>
    <row r="1316" spans="6:6" ht="15" customHeight="1">
      <c r="F1316" s="3"/>
    </row>
    <row r="1317" spans="6:6" ht="15" customHeight="1">
      <c r="F1317" s="3"/>
    </row>
    <row r="1318" spans="6:6" ht="15" customHeight="1">
      <c r="F1318" s="30"/>
    </row>
    <row r="1319" spans="6:6" ht="15" customHeight="1">
      <c r="F1319" s="30"/>
    </row>
    <row r="1320" spans="6:6" ht="15" customHeight="1">
      <c r="F1320" s="30"/>
    </row>
    <row r="1321" spans="6:6" ht="15" customHeight="1">
      <c r="F1321" s="30"/>
    </row>
    <row r="1322" spans="6:6" ht="15" customHeight="1">
      <c r="F1322" s="30"/>
    </row>
    <row r="1323" spans="6:6" ht="15" customHeight="1">
      <c r="F1323" s="30"/>
    </row>
    <row r="1324" spans="6:6" ht="15" customHeight="1">
      <c r="F1324" s="30"/>
    </row>
    <row r="1325" spans="6:6" ht="15" customHeight="1">
      <c r="F1325" s="30"/>
    </row>
    <row r="1326" spans="6:6" ht="15" customHeight="1">
      <c r="F1326" s="30"/>
    </row>
    <row r="1327" spans="6:6" ht="15" customHeight="1">
      <c r="F1327" s="30"/>
    </row>
    <row r="1328" spans="6:6" ht="15" customHeight="1">
      <c r="F1328" s="30"/>
    </row>
    <row r="1329" spans="6:9" ht="15" customHeight="1">
      <c r="F1329" s="30"/>
    </row>
    <row r="1330" spans="6:9" ht="15" customHeight="1">
      <c r="F1330" s="30"/>
    </row>
    <row r="1331" spans="6:9" ht="15" customHeight="1">
      <c r="F1331" s="30"/>
    </row>
    <row r="1332" spans="6:9" ht="15" customHeight="1">
      <c r="F1332" s="30"/>
    </row>
    <row r="1333" spans="6:9" ht="15" customHeight="1">
      <c r="F1333" s="30"/>
    </row>
    <row r="1334" spans="6:9" ht="15" customHeight="1">
      <c r="F1334" s="30"/>
    </row>
    <row r="1335" spans="6:9" ht="15" customHeight="1">
      <c r="F1335" s="30"/>
    </row>
    <row r="1336" spans="6:9" ht="15" customHeight="1">
      <c r="F1336" s="30"/>
    </row>
    <row r="1337" spans="6:9" ht="15" customHeight="1">
      <c r="F1337" s="30"/>
    </row>
    <row r="1338" spans="6:9" ht="15" customHeight="1">
      <c r="F1338" s="30"/>
    </row>
    <row r="1339" spans="6:9" ht="15" customHeight="1">
      <c r="F1339" s="30"/>
    </row>
    <row r="1340" spans="6:9" ht="15" customHeight="1">
      <c r="F1340" s="30"/>
      <c r="I1340" s="3"/>
    </row>
    <row r="1341" spans="6:9" ht="15" customHeight="1">
      <c r="F1341" s="30"/>
      <c r="I1341" s="3"/>
    </row>
    <row r="1342" spans="6:9" ht="15" customHeight="1">
      <c r="F1342" s="30"/>
    </row>
    <row r="1343" spans="6:9" ht="15" customHeight="1">
      <c r="F1343" s="30"/>
    </row>
    <row r="1344" spans="6:9" ht="15" customHeight="1">
      <c r="F1344" s="30"/>
    </row>
    <row r="1345" spans="6:27" ht="15" customHeight="1">
      <c r="F1345" s="30"/>
      <c r="G1345" s="3"/>
      <c r="H1345" s="3"/>
      <c r="J1345" s="3"/>
      <c r="K1345" s="3"/>
      <c r="L1345" s="3"/>
      <c r="M1345" s="3"/>
      <c r="N1345" s="3"/>
      <c r="O1345" s="3"/>
      <c r="P1345" s="3"/>
      <c r="Q1345" s="3"/>
      <c r="R1345" s="3"/>
      <c r="S1345" s="3"/>
      <c r="T1345" s="3"/>
      <c r="U1345" s="3"/>
      <c r="V1345" s="3"/>
      <c r="W1345" s="3"/>
      <c r="X1345" s="3"/>
      <c r="Y1345" s="3"/>
      <c r="Z1345" s="3"/>
      <c r="AA1345" s="3"/>
    </row>
    <row r="1346" spans="6:27" ht="15" customHeight="1">
      <c r="F1346" s="30"/>
    </row>
    <row r="1347" spans="6:27" ht="15" customHeight="1">
      <c r="F1347" s="30"/>
      <c r="I1347" s="3"/>
    </row>
    <row r="1348" spans="6:27" ht="15" customHeight="1">
      <c r="F1348" s="30"/>
    </row>
    <row r="1349" spans="6:27" ht="15" customHeight="1">
      <c r="F1349" s="30"/>
    </row>
    <row r="1350" spans="6:27" ht="15" customHeight="1">
      <c r="F1350" s="30"/>
    </row>
    <row r="1351" spans="6:27" ht="15" customHeight="1">
      <c r="F1351" s="30"/>
    </row>
    <row r="1352" spans="6:27" ht="15" customHeight="1">
      <c r="F1352" s="30"/>
      <c r="I1352" s="3"/>
    </row>
    <row r="1353" spans="6:27" ht="15" customHeight="1">
      <c r="F1353" s="30"/>
    </row>
    <row r="1354" spans="6:27" ht="15" customHeight="1">
      <c r="F1354" s="30"/>
    </row>
    <row r="1355" spans="6:27" ht="15" customHeight="1">
      <c r="F1355" s="30"/>
    </row>
    <row r="1356" spans="6:27" ht="15" customHeight="1">
      <c r="F1356" s="30"/>
    </row>
    <row r="1357" spans="6:27" ht="15" customHeight="1">
      <c r="F1357" s="30"/>
    </row>
    <row r="1358" spans="6:27" ht="15" customHeight="1">
      <c r="F1358" s="30"/>
    </row>
    <row r="1359" spans="6:27" ht="15" customHeight="1">
      <c r="F1359" s="30"/>
    </row>
    <row r="1360" spans="6:27"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30"/>
    </row>
    <row r="1372" spans="6:6" ht="15" customHeight="1">
      <c r="F1372" s="30"/>
    </row>
    <row r="1373" spans="6:6" ht="15" customHeight="1">
      <c r="F1373" s="30"/>
    </row>
    <row r="1374" spans="6:6" ht="15" customHeight="1">
      <c r="F1374" s="30"/>
    </row>
    <row r="1375" spans="6:6" ht="15" customHeight="1">
      <c r="F1375" s="30"/>
    </row>
    <row r="1376" spans="6:6" ht="15" customHeight="1">
      <c r="F1376" s="30"/>
    </row>
    <row r="1377" spans="6:6" ht="15" customHeight="1">
      <c r="F1377" s="30"/>
    </row>
    <row r="1378" spans="6:6" ht="15" customHeight="1">
      <c r="F1378" s="30"/>
    </row>
    <row r="1379" spans="6:6" ht="15" customHeight="1">
      <c r="F1379" s="30"/>
    </row>
    <row r="1380" spans="6:6" ht="15" customHeight="1">
      <c r="F1380" s="30"/>
    </row>
    <row r="1381" spans="6:6" ht="15" customHeight="1">
      <c r="F1381" s="30"/>
    </row>
    <row r="1382" spans="6:6" ht="15" customHeight="1">
      <c r="F1382" s="30"/>
    </row>
    <row r="1383" spans="6:6" ht="15" customHeight="1">
      <c r="F1383" s="30"/>
    </row>
    <row r="1384" spans="6:6" ht="15" customHeight="1">
      <c r="F1384" s="30"/>
    </row>
    <row r="1385" spans="6:6" ht="15" customHeight="1">
      <c r="F1385" s="4"/>
    </row>
    <row r="1386" spans="6:6" ht="15" customHeight="1">
      <c r="F1386" s="4"/>
    </row>
    <row r="1387" spans="6:6" ht="15" customHeight="1">
      <c r="F1387" s="4"/>
    </row>
    <row r="1388" spans="6:6" ht="15" customHeight="1">
      <c r="F1388" s="4"/>
    </row>
    <row r="1389" spans="6:6" ht="15" customHeight="1">
      <c r="F1389" s="4"/>
    </row>
    <row r="1390" spans="6:6" ht="15" customHeight="1">
      <c r="F1390" s="4"/>
    </row>
    <row r="1391" spans="6:6" ht="15" customHeight="1">
      <c r="F1391" s="4"/>
    </row>
    <row r="1392" spans="6:6" ht="15" customHeight="1">
      <c r="F1392" s="4"/>
    </row>
    <row r="1393" spans="6:27" ht="15" customHeight="1">
      <c r="F1393" s="4"/>
      <c r="G1393" s="3"/>
      <c r="H1393" s="3"/>
      <c r="J1393" s="3"/>
      <c r="K1393" s="3"/>
      <c r="L1393" s="3"/>
      <c r="M1393" s="3"/>
      <c r="N1393" s="3"/>
      <c r="O1393" s="3"/>
      <c r="P1393" s="3"/>
      <c r="Q1393" s="3"/>
      <c r="R1393" s="3"/>
      <c r="S1393" s="3"/>
      <c r="T1393" s="3"/>
      <c r="U1393" s="3"/>
      <c r="V1393" s="3"/>
      <c r="W1393" s="3"/>
      <c r="X1393" s="3"/>
      <c r="Y1393" s="3"/>
      <c r="Z1393" s="3"/>
      <c r="AA1393" s="3"/>
    </row>
    <row r="1394" spans="6:27" ht="15" customHeight="1">
      <c r="F1394" s="4"/>
    </row>
    <row r="1395" spans="6:27" ht="15" customHeight="1">
      <c r="F1395" s="4"/>
    </row>
    <row r="1396" spans="6:27" ht="15" customHeight="1">
      <c r="F1396" s="4"/>
    </row>
    <row r="1397" spans="6:27" ht="15" customHeight="1">
      <c r="F1397" s="4"/>
    </row>
    <row r="1398" spans="6:27" ht="15" customHeight="1">
      <c r="F1398" s="4"/>
    </row>
    <row r="1399" spans="6:27" ht="15" customHeight="1">
      <c r="F1399" s="3"/>
    </row>
    <row r="1400" spans="6:27" ht="15" customHeight="1">
      <c r="F1400" s="3"/>
    </row>
    <row r="1401" spans="6:27" ht="15" customHeight="1">
      <c r="F1401" s="3"/>
    </row>
    <row r="1402" spans="6:27" ht="15" customHeight="1">
      <c r="F1402" s="3"/>
    </row>
    <row r="1403" spans="6:27" ht="15" customHeight="1">
      <c r="F1403" s="3"/>
    </row>
    <row r="1404" spans="6:27" ht="15" customHeight="1">
      <c r="F1404" s="3"/>
      <c r="G1404" s="3"/>
      <c r="H1404" s="3"/>
      <c r="J1404" s="3"/>
      <c r="K1404" s="3"/>
      <c r="L1404" s="3"/>
      <c r="M1404" s="3"/>
      <c r="N1404" s="3"/>
      <c r="O1404" s="3"/>
      <c r="P1404" s="3"/>
      <c r="Q1404" s="3"/>
      <c r="R1404" s="3"/>
      <c r="S1404" s="3"/>
      <c r="T1404" s="3"/>
      <c r="U1404" s="3"/>
      <c r="V1404" s="3"/>
      <c r="W1404" s="3"/>
      <c r="X1404" s="3"/>
      <c r="Y1404" s="3"/>
      <c r="Z1404" s="3"/>
      <c r="AA1404" s="3"/>
    </row>
    <row r="1405" spans="6:27" ht="15" customHeight="1">
      <c r="F1405" s="3"/>
    </row>
    <row r="1406" spans="6:27" ht="15" customHeight="1">
      <c r="F1406" s="3"/>
    </row>
    <row r="1407" spans="6:27" ht="15" customHeight="1">
      <c r="F1407" s="3"/>
    </row>
    <row r="1408" spans="6:27" ht="15" customHeight="1">
      <c r="F1408" s="3"/>
    </row>
    <row r="1409" spans="6:27" ht="15" customHeight="1">
      <c r="F1409" s="3"/>
    </row>
    <row r="1410" spans="6:27" ht="15" customHeight="1">
      <c r="F1410" s="3"/>
      <c r="G1410" s="3"/>
      <c r="H1410" s="3"/>
      <c r="J1410" s="3"/>
      <c r="K1410" s="3"/>
      <c r="L1410" s="3"/>
      <c r="M1410" s="3"/>
      <c r="N1410" s="3"/>
      <c r="O1410" s="3"/>
      <c r="P1410" s="3"/>
      <c r="Q1410" s="3"/>
      <c r="R1410" s="3"/>
      <c r="S1410" s="3"/>
      <c r="T1410" s="3"/>
      <c r="U1410" s="3"/>
      <c r="V1410" s="3"/>
      <c r="W1410" s="3"/>
      <c r="X1410" s="3"/>
      <c r="Y1410" s="3"/>
      <c r="Z1410" s="3"/>
      <c r="AA1410" s="3"/>
    </row>
    <row r="1411" spans="6:27" ht="15" customHeight="1">
      <c r="F1411" s="3"/>
    </row>
    <row r="1412" spans="6:27" ht="15" customHeight="1">
      <c r="F1412" s="3"/>
    </row>
    <row r="1413" spans="6:27" ht="15" customHeight="1">
      <c r="F1413" s="3"/>
      <c r="G1413" s="3"/>
      <c r="H1413" s="3"/>
      <c r="J1413" s="3"/>
      <c r="K1413" s="3"/>
      <c r="L1413" s="3"/>
      <c r="M1413" s="3"/>
      <c r="N1413" s="3"/>
      <c r="O1413" s="3"/>
      <c r="P1413" s="3"/>
      <c r="Q1413" s="3"/>
      <c r="R1413" s="3"/>
      <c r="S1413" s="3"/>
      <c r="T1413" s="3"/>
      <c r="U1413" s="3"/>
      <c r="V1413" s="3"/>
      <c r="W1413" s="3"/>
      <c r="X1413" s="3"/>
      <c r="Y1413" s="3"/>
      <c r="Z1413" s="3"/>
      <c r="AA1413" s="3"/>
    </row>
    <row r="1414" spans="6:27" ht="15" customHeight="1">
      <c r="F1414" s="3"/>
    </row>
    <row r="1415" spans="6:27" ht="15" customHeight="1">
      <c r="F1415" s="3"/>
    </row>
    <row r="1416" spans="6:27" ht="15" customHeight="1">
      <c r="F1416" s="3"/>
    </row>
    <row r="1417" spans="6:27" ht="15" customHeight="1">
      <c r="F1417" s="3"/>
    </row>
    <row r="1418" spans="6:27" ht="15" customHeight="1">
      <c r="F1418" s="3"/>
    </row>
    <row r="1419" spans="6:27" ht="15" customHeight="1">
      <c r="F1419" s="3"/>
    </row>
    <row r="1420" spans="6:27" ht="15" customHeight="1">
      <c r="F1420" s="3"/>
    </row>
    <row r="1421" spans="6:27" ht="15" customHeight="1">
      <c r="F1421" s="3"/>
    </row>
    <row r="1422" spans="6:27" ht="15" customHeight="1">
      <c r="F1422" s="3"/>
    </row>
    <row r="1423" spans="6:27" ht="15" customHeight="1">
      <c r="F1423" s="3"/>
    </row>
    <row r="1424" spans="6:27" ht="15" customHeight="1">
      <c r="F1424" s="3"/>
    </row>
    <row r="1425" spans="6:6" ht="15" customHeight="1">
      <c r="F1425" s="3"/>
    </row>
    <row r="1426" spans="6:6" ht="15" customHeight="1">
      <c r="F1426" s="3"/>
    </row>
    <row r="1427" spans="6:6" ht="15" customHeight="1">
      <c r="F1427" s="3"/>
    </row>
    <row r="1428" spans="6:6" ht="15" customHeight="1">
      <c r="F1428" s="3"/>
    </row>
    <row r="1429" spans="6:6" ht="15" customHeight="1">
      <c r="F1429" s="3"/>
    </row>
    <row r="1430" spans="6:6" ht="15" customHeight="1">
      <c r="F1430" s="3"/>
    </row>
    <row r="1431" spans="6:6" ht="15" customHeight="1">
      <c r="F1431" s="3"/>
    </row>
    <row r="1432" spans="6:6" ht="15" customHeight="1">
      <c r="F1432" s="3"/>
    </row>
    <row r="1433" spans="6:6" ht="15" customHeight="1">
      <c r="F1433" s="3"/>
    </row>
    <row r="1434" spans="6:6" ht="15" customHeight="1">
      <c r="F1434" s="3"/>
    </row>
    <row r="1435" spans="6:6" ht="15" customHeight="1">
      <c r="F1435" s="3"/>
    </row>
    <row r="1436" spans="6:6" ht="15" customHeight="1">
      <c r="F1436" s="3"/>
    </row>
    <row r="1437" spans="6:6" ht="15" customHeight="1">
      <c r="F1437" s="3"/>
    </row>
    <row r="1438" spans="6:6" ht="15" customHeight="1">
      <c r="F1438" s="3"/>
    </row>
    <row r="1439" spans="6:6" ht="15" customHeight="1">
      <c r="F1439" s="3"/>
    </row>
    <row r="1440" spans="6:6" ht="15" customHeight="1">
      <c r="F1440" s="3"/>
    </row>
    <row r="1441" spans="6:9" ht="15" customHeight="1">
      <c r="F1441" s="3"/>
    </row>
    <row r="1442" spans="6:9" ht="15" customHeight="1">
      <c r="F1442" s="3"/>
    </row>
    <row r="1443" spans="6:9" ht="15" customHeight="1">
      <c r="F1443" s="3"/>
    </row>
    <row r="1444" spans="6:9" ht="15" customHeight="1">
      <c r="F1444" s="3"/>
      <c r="I1444" s="3"/>
    </row>
    <row r="1445" spans="6:9" ht="15" customHeight="1">
      <c r="F1445" s="3"/>
    </row>
    <row r="1446" spans="6:9" ht="15" customHeight="1">
      <c r="F1446" s="3"/>
    </row>
    <row r="1447" spans="6:9" ht="15" customHeight="1">
      <c r="F1447" s="3"/>
    </row>
    <row r="1448" spans="6:9" ht="15" customHeight="1">
      <c r="F1448" s="3"/>
    </row>
    <row r="1449" spans="6:9" ht="15" customHeight="1">
      <c r="F1449" s="3"/>
    </row>
    <row r="1450" spans="6:9" ht="15" customHeight="1">
      <c r="F1450" s="3"/>
    </row>
    <row r="1451" spans="6:9" ht="15" customHeight="1">
      <c r="F1451" s="3"/>
    </row>
    <row r="1452" spans="6:9" ht="15" customHeight="1">
      <c r="F1452" s="3"/>
    </row>
    <row r="1453" spans="6:9" ht="15" customHeight="1">
      <c r="F1453" s="3"/>
    </row>
    <row r="1454" spans="6:9" ht="15" customHeight="1">
      <c r="F1454" s="3"/>
    </row>
    <row r="1455" spans="6:9" ht="15" customHeight="1">
      <c r="F1455" s="3"/>
      <c r="I1455" s="3"/>
    </row>
    <row r="1456" spans="6:9" ht="15" customHeight="1">
      <c r="F1456" s="3"/>
    </row>
    <row r="1457" spans="6:9" ht="15" customHeight="1">
      <c r="F1457" s="3"/>
    </row>
    <row r="1458" spans="6:9" ht="15" customHeight="1">
      <c r="F1458" s="3"/>
    </row>
    <row r="1459" spans="6:9" ht="15" customHeight="1">
      <c r="F1459" s="3"/>
    </row>
    <row r="1460" spans="6:9" ht="15" customHeight="1">
      <c r="F1460" s="3"/>
    </row>
    <row r="1461" spans="6:9" ht="15" customHeight="1">
      <c r="F1461" s="3"/>
      <c r="I1461" s="3"/>
    </row>
    <row r="1462" spans="6:9" ht="15" customHeight="1">
      <c r="F1462" s="3"/>
    </row>
    <row r="1463" spans="6:9" ht="15" customHeight="1">
      <c r="F1463" s="3"/>
    </row>
    <row r="1464" spans="6:9" ht="15" customHeight="1">
      <c r="F1464" s="3"/>
      <c r="I1464" s="3"/>
    </row>
    <row r="1465" spans="6:9" ht="15" customHeight="1">
      <c r="F1465" s="3"/>
    </row>
    <row r="1466" spans="6:9" ht="15" customHeight="1">
      <c r="F1466" s="3"/>
    </row>
    <row r="1467" spans="6:9" ht="15" customHeight="1">
      <c r="F1467" s="3"/>
    </row>
    <row r="1468" spans="6:9" ht="15" customHeight="1">
      <c r="F1468" s="3"/>
    </row>
    <row r="1469" spans="6:9" ht="15" customHeight="1">
      <c r="F1469" s="3"/>
    </row>
    <row r="1470" spans="6:9" ht="15" customHeight="1">
      <c r="F1470" s="3"/>
    </row>
    <row r="1471" spans="6:9" ht="15" customHeight="1">
      <c r="F1471" s="3"/>
    </row>
    <row r="1472" spans="6:9" ht="15" customHeight="1">
      <c r="F1472" s="3"/>
    </row>
    <row r="1473" spans="6:27" ht="15" customHeight="1">
      <c r="F1473" s="3"/>
    </row>
    <row r="1474" spans="6:27" ht="15" customHeight="1">
      <c r="F1474" s="3"/>
      <c r="G1474" s="3"/>
      <c r="H1474" s="3"/>
      <c r="J1474" s="3"/>
      <c r="K1474" s="3"/>
      <c r="L1474" s="3"/>
      <c r="M1474" s="3"/>
      <c r="N1474" s="3"/>
      <c r="O1474" s="3"/>
      <c r="P1474" s="3"/>
      <c r="Q1474" s="3"/>
      <c r="R1474" s="3"/>
      <c r="S1474" s="3"/>
      <c r="T1474" s="3"/>
      <c r="U1474" s="3"/>
      <c r="V1474" s="3"/>
      <c r="W1474" s="3"/>
      <c r="X1474" s="3"/>
      <c r="Y1474" s="3"/>
      <c r="Z1474" s="3"/>
      <c r="AA1474" s="3"/>
    </row>
    <row r="1475" spans="6:27" ht="15" customHeight="1">
      <c r="F1475" s="3"/>
    </row>
    <row r="1476" spans="6:27" ht="15" customHeight="1">
      <c r="F1476" s="3"/>
    </row>
    <row r="1477" spans="6:27" ht="15" customHeight="1">
      <c r="F1477" s="3"/>
    </row>
    <row r="1478" spans="6:27" ht="15" customHeight="1">
      <c r="F1478" s="3"/>
    </row>
    <row r="1479" spans="6:27" ht="15" customHeight="1">
      <c r="F1479" s="3"/>
    </row>
    <row r="1480" spans="6:27" ht="15" customHeight="1">
      <c r="F1480" s="3"/>
    </row>
    <row r="1481" spans="6:27" ht="15" customHeight="1">
      <c r="F1481" s="3"/>
    </row>
    <row r="1482" spans="6:27" ht="15" customHeight="1">
      <c r="F1482" s="3"/>
    </row>
    <row r="1483" spans="6:27" ht="15" customHeight="1">
      <c r="F1483" s="3"/>
    </row>
    <row r="1484" spans="6:27" ht="15" customHeight="1">
      <c r="F1484" s="3"/>
    </row>
    <row r="1485" spans="6:27" ht="15" customHeight="1">
      <c r="F1485" s="3"/>
      <c r="K1485" s="3"/>
      <c r="L1485" s="3"/>
      <c r="M1485" s="3"/>
    </row>
    <row r="1486" spans="6:27" ht="15" customHeight="1">
      <c r="F1486" s="3"/>
    </row>
    <row r="1487" spans="6:27" ht="15" customHeight="1">
      <c r="F1487" s="3"/>
    </row>
    <row r="1488" spans="6:27" ht="15" customHeight="1">
      <c r="F1488" s="3"/>
    </row>
    <row r="1489" spans="6:6" ht="15" customHeight="1">
      <c r="F1489" s="3"/>
    </row>
    <row r="1490" spans="6:6" ht="15" customHeight="1">
      <c r="F1490" s="3"/>
    </row>
    <row r="1491" spans="6:6" ht="15" customHeight="1">
      <c r="F1491" s="3"/>
    </row>
    <row r="1492" spans="6:6" ht="15" customHeight="1">
      <c r="F1492" s="3"/>
    </row>
    <row r="1493" spans="6:6" ht="15" customHeight="1">
      <c r="F1493" s="3"/>
    </row>
    <row r="1494" spans="6:6" ht="15" customHeight="1">
      <c r="F1494" s="3"/>
    </row>
    <row r="1495" spans="6:6" ht="15" customHeight="1">
      <c r="F1495" s="3"/>
    </row>
    <row r="1496" spans="6:6" ht="15" customHeight="1">
      <c r="F1496" s="3"/>
    </row>
    <row r="1497" spans="6:6" ht="15" customHeight="1">
      <c r="F1497" s="3"/>
    </row>
    <row r="1498" spans="6:6" ht="15" customHeight="1">
      <c r="F1498" s="3"/>
    </row>
    <row r="1499" spans="6:6" ht="15" customHeight="1">
      <c r="F1499" s="3"/>
    </row>
    <row r="1500" spans="6:6" ht="15" customHeight="1">
      <c r="F1500" s="3"/>
    </row>
    <row r="1501" spans="6:6" ht="15" customHeight="1">
      <c r="F1501" s="3"/>
    </row>
    <row r="1502" spans="6:6" ht="15" customHeight="1">
      <c r="F1502" s="3"/>
    </row>
    <row r="1503" spans="6:6" ht="15" customHeight="1">
      <c r="F1503" s="3"/>
    </row>
    <row r="1504" spans="6:6" ht="15" customHeight="1">
      <c r="F1504" s="3"/>
    </row>
    <row r="1505" spans="6:27" ht="15" customHeight="1">
      <c r="F1505" s="3"/>
    </row>
    <row r="1506" spans="6:27" ht="15" customHeight="1">
      <c r="F1506" s="3"/>
    </row>
    <row r="1507" spans="6:27" ht="15" customHeight="1">
      <c r="F1507" s="3"/>
    </row>
    <row r="1508" spans="6:27" ht="15" customHeight="1">
      <c r="F1508" s="3"/>
    </row>
    <row r="1509" spans="6:27" ht="15" customHeight="1">
      <c r="F1509" s="3"/>
    </row>
    <row r="1510" spans="6:27" ht="15" customHeight="1">
      <c r="F1510" s="3"/>
      <c r="G1510" s="3"/>
      <c r="H1510" s="3"/>
      <c r="J1510" s="3"/>
      <c r="K1510" s="3"/>
      <c r="L1510" s="3"/>
      <c r="M1510" s="3"/>
      <c r="N1510" s="3"/>
      <c r="O1510" s="3"/>
      <c r="P1510" s="3"/>
      <c r="Q1510" s="3"/>
      <c r="R1510" s="3"/>
      <c r="S1510" s="3"/>
      <c r="T1510" s="3"/>
      <c r="U1510" s="3"/>
      <c r="V1510" s="3"/>
      <c r="W1510" s="3"/>
      <c r="X1510" s="3"/>
      <c r="Y1510" s="3"/>
      <c r="Z1510" s="3"/>
      <c r="AA1510" s="3"/>
    </row>
    <row r="1511" spans="6:27" ht="15" customHeight="1">
      <c r="F1511" s="3"/>
    </row>
    <row r="1512" spans="6:27" ht="15" customHeight="1">
      <c r="F1512" s="3"/>
    </row>
    <row r="1513" spans="6:27" ht="15" customHeight="1">
      <c r="F1513" s="3"/>
      <c r="G1513" s="3"/>
      <c r="H1513" s="3"/>
      <c r="J1513" s="3"/>
      <c r="K1513" s="3"/>
      <c r="L1513" s="3"/>
      <c r="M1513" s="3"/>
      <c r="N1513" s="3"/>
      <c r="O1513" s="3"/>
      <c r="P1513" s="3"/>
      <c r="Q1513" s="3"/>
      <c r="R1513" s="3"/>
      <c r="S1513" s="3"/>
      <c r="T1513" s="3"/>
      <c r="U1513" s="3"/>
      <c r="V1513" s="3"/>
      <c r="W1513" s="3"/>
      <c r="X1513" s="3"/>
      <c r="Y1513" s="3"/>
      <c r="Z1513" s="3"/>
      <c r="AA1513" s="3"/>
    </row>
    <row r="1514" spans="6:27" ht="15" customHeight="1">
      <c r="F1514" s="3"/>
      <c r="G1514" s="3"/>
      <c r="H1514" s="3"/>
      <c r="J1514" s="3"/>
      <c r="K1514" s="3"/>
      <c r="L1514" s="3"/>
      <c r="M1514" s="3"/>
      <c r="N1514" s="3"/>
      <c r="O1514" s="3"/>
      <c r="P1514" s="3"/>
      <c r="Q1514" s="3"/>
      <c r="R1514" s="3"/>
      <c r="S1514" s="3"/>
      <c r="T1514" s="3"/>
      <c r="U1514" s="3"/>
      <c r="V1514" s="3"/>
      <c r="W1514" s="3"/>
      <c r="X1514" s="3"/>
      <c r="Y1514" s="3"/>
      <c r="Z1514" s="3"/>
      <c r="AA1514" s="3"/>
    </row>
    <row r="1515" spans="6:27" ht="15" customHeight="1">
      <c r="F1515" s="3"/>
    </row>
    <row r="1516" spans="6:27" ht="15" customHeight="1">
      <c r="F1516" s="3"/>
    </row>
    <row r="1517" spans="6:27" ht="15" customHeight="1">
      <c r="F1517" s="3"/>
      <c r="I1517" s="3"/>
    </row>
    <row r="1518" spans="6:27" ht="15" customHeight="1">
      <c r="F1518" s="3"/>
    </row>
    <row r="1519" spans="6:27" ht="15" customHeight="1">
      <c r="F1519" s="3"/>
    </row>
    <row r="1520" spans="6:27" ht="15" customHeight="1">
      <c r="F1520" s="3"/>
      <c r="G1520" s="3"/>
      <c r="H1520" s="3"/>
      <c r="J1520" s="3"/>
      <c r="K1520" s="3"/>
      <c r="L1520" s="3"/>
      <c r="M1520" s="3"/>
      <c r="N1520" s="3"/>
      <c r="O1520" s="3"/>
      <c r="P1520" s="3"/>
      <c r="Q1520" s="3"/>
      <c r="R1520" s="3"/>
      <c r="S1520" s="3"/>
      <c r="T1520" s="3"/>
      <c r="U1520" s="3"/>
      <c r="V1520" s="3"/>
      <c r="W1520" s="3"/>
      <c r="X1520" s="3"/>
      <c r="Y1520" s="3"/>
      <c r="Z1520" s="3"/>
      <c r="AA1520" s="3"/>
    </row>
    <row r="1521" spans="6:9" ht="15" customHeight="1">
      <c r="F1521" s="3"/>
    </row>
    <row r="1522" spans="6:9" ht="15" customHeight="1">
      <c r="F1522" s="3"/>
    </row>
    <row r="1523" spans="6:9" ht="15" customHeight="1">
      <c r="F1523" s="3"/>
    </row>
    <row r="1524" spans="6:9" ht="15" customHeight="1">
      <c r="F1524" s="3"/>
    </row>
    <row r="1525" spans="6:9" ht="15" customHeight="1">
      <c r="F1525" s="3"/>
      <c r="I1525" s="3"/>
    </row>
    <row r="1526" spans="6:9" ht="15" customHeight="1">
      <c r="F1526" s="3"/>
    </row>
    <row r="1527" spans="6:9" ht="15" customHeight="1">
      <c r="F1527" s="3"/>
    </row>
    <row r="1528" spans="6:9" ht="15" customHeight="1">
      <c r="F1528" s="3"/>
    </row>
    <row r="1529" spans="6:9" ht="15" customHeight="1">
      <c r="F1529" s="3"/>
    </row>
    <row r="1530" spans="6:9" ht="15" customHeight="1">
      <c r="F1530" s="3"/>
    </row>
    <row r="1531" spans="6:9" ht="15" customHeight="1">
      <c r="F1531" s="3"/>
    </row>
    <row r="1532" spans="6:9" ht="15" customHeight="1">
      <c r="F1532" s="3"/>
    </row>
    <row r="1533" spans="6:9" ht="15" customHeight="1">
      <c r="F1533" s="3"/>
    </row>
    <row r="1534" spans="6:9" ht="15" customHeight="1">
      <c r="F1534" s="3"/>
    </row>
    <row r="1535" spans="6:9" ht="15" customHeight="1">
      <c r="F1535" s="3"/>
    </row>
    <row r="1536" spans="6:9" ht="15" customHeight="1">
      <c r="F1536" s="3"/>
    </row>
    <row r="1537" spans="6:6" ht="15" customHeight="1">
      <c r="F1537" s="3"/>
    </row>
    <row r="1538" spans="6:6" ht="15" customHeight="1">
      <c r="F1538" s="3"/>
    </row>
    <row r="1539" spans="6:6" ht="15" customHeight="1">
      <c r="F1539" s="3"/>
    </row>
    <row r="1540" spans="6:6" ht="15" customHeight="1">
      <c r="F1540" s="3"/>
    </row>
    <row r="1541" spans="6:6" ht="15" customHeight="1">
      <c r="F1541" s="3"/>
    </row>
    <row r="1542" spans="6:6" ht="15" customHeight="1">
      <c r="F1542" s="3"/>
    </row>
    <row r="1543" spans="6:6" ht="15" customHeight="1">
      <c r="F1543" s="3"/>
    </row>
    <row r="1544" spans="6:6" ht="15" customHeight="1">
      <c r="F1544" s="3"/>
    </row>
    <row r="1545" spans="6:6" ht="15" customHeight="1">
      <c r="F1545" s="3"/>
    </row>
    <row r="1546" spans="6:6" ht="15" customHeight="1">
      <c r="F1546" s="3"/>
    </row>
    <row r="1547" spans="6:6" ht="15" customHeight="1">
      <c r="F1547" s="3"/>
    </row>
    <row r="1548" spans="6:6" ht="15" customHeight="1">
      <c r="F1548" s="3"/>
    </row>
    <row r="1549" spans="6:6" ht="15" customHeight="1">
      <c r="F1549" s="3"/>
    </row>
    <row r="1550" spans="6:6" ht="15" customHeight="1">
      <c r="F1550" s="3"/>
    </row>
    <row r="1551" spans="6:6" ht="15" customHeight="1">
      <c r="F1551" s="3"/>
    </row>
    <row r="1552" spans="6:6" ht="15" customHeight="1">
      <c r="F1552" s="3"/>
    </row>
    <row r="1553" spans="6:9" ht="15" customHeight="1">
      <c r="F1553" s="3"/>
    </row>
    <row r="1554" spans="6:9" ht="15" customHeight="1">
      <c r="F1554" s="3"/>
    </row>
    <row r="1555" spans="6:9" ht="15" customHeight="1">
      <c r="F1555" s="3"/>
    </row>
    <row r="1556" spans="6:9" ht="15" customHeight="1">
      <c r="F1556" s="3"/>
    </row>
    <row r="1557" spans="6:9" ht="15" customHeight="1">
      <c r="F1557" s="3"/>
    </row>
    <row r="1558" spans="6:9" ht="15" customHeight="1">
      <c r="F1558" s="3"/>
    </row>
    <row r="1559" spans="6:9" ht="15" customHeight="1">
      <c r="F1559" s="3"/>
    </row>
    <row r="1560" spans="6:9" ht="15" customHeight="1">
      <c r="F1560" s="3"/>
    </row>
    <row r="1561" spans="6:9" ht="15" customHeight="1">
      <c r="F1561" s="3"/>
    </row>
    <row r="1562" spans="6:9" ht="15" customHeight="1">
      <c r="F1562" s="3"/>
    </row>
    <row r="1563" spans="6:9" ht="15" customHeight="1">
      <c r="F1563" s="3"/>
    </row>
    <row r="1564" spans="6:9" ht="15" customHeight="1">
      <c r="F1564" s="3"/>
      <c r="I1564" s="3"/>
    </row>
    <row r="1565" spans="6:9" ht="15" customHeight="1">
      <c r="F1565" s="3"/>
      <c r="I1565" s="3"/>
    </row>
    <row r="1566" spans="6:9" ht="15" customHeight="1">
      <c r="F1566" s="3"/>
    </row>
    <row r="1567" spans="6:9" ht="15" customHeight="1">
      <c r="F1567" s="3"/>
    </row>
    <row r="1568" spans="6:9" ht="15" customHeight="1">
      <c r="F1568" s="3"/>
    </row>
    <row r="1569" spans="6:27" ht="15" customHeight="1">
      <c r="F1569" s="3"/>
    </row>
    <row r="1570" spans="6:27" ht="15.75" customHeight="1">
      <c r="F1570" s="3"/>
    </row>
    <row r="1571" spans="6:27" ht="15.75" customHeight="1">
      <c r="F1571" s="3"/>
      <c r="I1571" s="3"/>
    </row>
    <row r="1572" spans="6:27" ht="15.75" customHeight="1">
      <c r="F1572" s="3"/>
    </row>
    <row r="1573" spans="6:27" ht="15.75" customHeight="1">
      <c r="F1573" s="3"/>
    </row>
    <row r="1574" spans="6:27" ht="15.75" customHeight="1">
      <c r="F1574" s="3"/>
    </row>
    <row r="1575" spans="6:27" ht="15.75" customHeight="1">
      <c r="F1575" s="3"/>
    </row>
    <row r="1576" spans="6:27" ht="15.75" customHeight="1">
      <c r="F1576" s="3"/>
    </row>
    <row r="1577" spans="6:27" ht="15.75" customHeight="1">
      <c r="F1577" s="3"/>
      <c r="G1577" s="3"/>
      <c r="H1577" s="3"/>
      <c r="J1577" s="3"/>
      <c r="K1577" s="3"/>
      <c r="L1577" s="3"/>
      <c r="M1577" s="3"/>
      <c r="N1577" s="3"/>
      <c r="O1577" s="3"/>
      <c r="P1577" s="3"/>
      <c r="Q1577" s="3"/>
      <c r="R1577" s="3"/>
      <c r="S1577" s="3"/>
      <c r="T1577" s="3"/>
      <c r="U1577" s="3"/>
      <c r="V1577" s="3"/>
      <c r="W1577" s="3"/>
      <c r="X1577" s="3"/>
      <c r="Y1577" s="3"/>
      <c r="Z1577" s="3"/>
      <c r="AA1577" s="3"/>
    </row>
    <row r="1578" spans="6:27" ht="15.75" customHeight="1">
      <c r="F1578" s="3"/>
    </row>
    <row r="1579" spans="6:27" ht="15.75" customHeight="1">
      <c r="F1579" s="3"/>
    </row>
    <row r="1580" spans="6:27" ht="15.75" customHeight="1">
      <c r="F1580" s="3"/>
    </row>
    <row r="1581" spans="6:27" ht="15.75" customHeight="1">
      <c r="F1581" s="3"/>
    </row>
    <row r="1582" spans="6:27" ht="15.75" customHeight="1">
      <c r="F1582" s="3"/>
    </row>
    <row r="1583" spans="6:27" ht="15.75" customHeight="1">
      <c r="F1583" s="3"/>
    </row>
    <row r="1584" spans="6:27" ht="15.75" customHeight="1">
      <c r="F1584" s="3"/>
      <c r="I1584" s="3"/>
    </row>
    <row r="1585" spans="6:6" ht="15.75" customHeight="1">
      <c r="F1585" s="3"/>
    </row>
    <row r="1586" spans="6:6" ht="15.75" customHeight="1">
      <c r="F1586" s="3"/>
    </row>
    <row r="1587" spans="6:6" ht="15.75" customHeight="1">
      <c r="F1587" s="3"/>
    </row>
    <row r="1588" spans="6:6" ht="15.75" customHeight="1">
      <c r="F1588" s="3"/>
    </row>
    <row r="1589" spans="6:6" ht="15.75" customHeight="1">
      <c r="F1589" s="3"/>
    </row>
    <row r="1590" spans="6:6" ht="15.75" customHeight="1">
      <c r="F1590" s="3"/>
    </row>
    <row r="1591" spans="6:6" ht="15.75" customHeight="1">
      <c r="F1591" s="3"/>
    </row>
    <row r="1592" spans="6:6" ht="15.75" customHeight="1">
      <c r="F1592" s="3"/>
    </row>
    <row r="1593" spans="6:6" ht="15.75" customHeight="1">
      <c r="F1593" s="3"/>
    </row>
    <row r="1594" spans="6:6" ht="15.75" customHeight="1">
      <c r="F1594" s="3"/>
    </row>
    <row r="1595" spans="6:6" ht="15.75" customHeight="1">
      <c r="F1595" s="3"/>
    </row>
    <row r="1596" spans="6:6" ht="15.75" customHeight="1">
      <c r="F1596" s="3"/>
    </row>
    <row r="1597" spans="6:6" ht="15.75" customHeight="1">
      <c r="F1597" s="3"/>
    </row>
    <row r="1598" spans="6:6" ht="15" customHeight="1">
      <c r="F1598" s="4"/>
    </row>
    <row r="1599" spans="6:6" ht="15" customHeight="1">
      <c r="F1599" s="4"/>
    </row>
    <row r="1600" spans="6:6" ht="15" customHeight="1">
      <c r="F1600" s="4"/>
    </row>
    <row r="1601" spans="6:6" ht="15" customHeight="1">
      <c r="F1601" s="4"/>
    </row>
    <row r="1602" spans="6:6" ht="15" customHeight="1">
      <c r="F1602" s="4"/>
    </row>
    <row r="1603" spans="6:6" ht="15" customHeight="1">
      <c r="F1603" s="4"/>
    </row>
    <row r="1604" spans="6:6" ht="15" customHeight="1">
      <c r="F1604" s="4"/>
    </row>
    <row r="1605" spans="6:6" ht="15" customHeight="1">
      <c r="F1605" s="4"/>
    </row>
    <row r="1606" spans="6:6" ht="15" customHeight="1">
      <c r="F1606" s="4"/>
    </row>
    <row r="1607" spans="6:6" ht="15" customHeight="1">
      <c r="F1607" s="4"/>
    </row>
    <row r="1608" spans="6:6" ht="15" customHeight="1">
      <c r="F1608" s="4"/>
    </row>
    <row r="1609" spans="6:6" ht="15" customHeight="1">
      <c r="F1609" s="4"/>
    </row>
    <row r="1610" spans="6:6" ht="15" customHeight="1">
      <c r="F1610" s="4"/>
    </row>
    <row r="1611" spans="6:6" ht="15" customHeight="1">
      <c r="F1611" s="4"/>
    </row>
  </sheetData>
  <autoFilter ref="A1:E1415" xr:uid="{00000000-0009-0000-0000-00000F000000}">
    <sortState xmlns:xlrd2="http://schemas.microsoft.com/office/spreadsheetml/2017/richdata2" ref="A2:E1415">
      <sortCondition ref="A1:A1415"/>
    </sortState>
  </autoFilter>
  <phoneticPr fontId="182"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4.25"/>
  <cols>
    <col min="1" max="1" width="11" style="1059"/>
    <col min="2" max="2" width="23.25" style="1059" bestFit="1" customWidth="1"/>
    <col min="3" max="3" width="13.25" style="1060" customWidth="1"/>
    <col min="4" max="4" width="13.25" style="1060" hidden="1" customWidth="1"/>
    <col min="5" max="5" width="13.25" style="1059" hidden="1" customWidth="1"/>
    <col min="6" max="8" width="13.25" style="1059" customWidth="1"/>
    <col min="9" max="16384" width="11" style="1059"/>
  </cols>
  <sheetData>
    <row r="2" spans="2:7" ht="15" customHeight="1"/>
    <row r="3" spans="2:7" ht="15" thickBot="1"/>
    <row r="4" spans="2:7" ht="21" thickBot="1">
      <c r="C4" s="1290" t="s">
        <v>14</v>
      </c>
      <c r="D4" s="1291"/>
      <c r="E4" s="1291"/>
      <c r="F4" s="1291"/>
      <c r="G4" s="1292"/>
    </row>
    <row r="5" spans="2:7" s="1061" customFormat="1" ht="30.75" thickBot="1">
      <c r="C5" s="1062" t="s">
        <v>3186</v>
      </c>
      <c r="D5" s="1063" t="s">
        <v>282</v>
      </c>
      <c r="E5" s="1064" t="s">
        <v>3165</v>
      </c>
      <c r="F5" s="1063">
        <v>2025</v>
      </c>
      <c r="G5" s="1064" t="s">
        <v>3166</v>
      </c>
    </row>
    <row r="6" spans="2:7" s="1061" customFormat="1" ht="15" thickBot="1">
      <c r="B6" s="1065" t="s">
        <v>3167</v>
      </c>
      <c r="C6" s="1066">
        <f>Print_Mois!J13</f>
        <v>53</v>
      </c>
      <c r="D6" s="1067"/>
      <c r="E6" s="1068">
        <f t="shared" ref="E6:E19" si="0">C6-D6</f>
        <v>53</v>
      </c>
      <c r="F6" s="1069">
        <f>Print_Mois!O13</f>
        <v>80</v>
      </c>
      <c r="G6" s="1101">
        <f t="shared" ref="G6:G19" si="1">C6-F6</f>
        <v>-27</v>
      </c>
    </row>
    <row r="7" spans="2:7" s="1061" customFormat="1">
      <c r="B7" s="1099" t="s">
        <v>3188</v>
      </c>
      <c r="C7" s="1095">
        <f>Print_Mois!J17</f>
        <v>34</v>
      </c>
      <c r="D7" s="1096"/>
      <c r="E7" s="1068">
        <f t="shared" si="0"/>
        <v>34</v>
      </c>
      <c r="F7" s="1098">
        <f>Print_Mois!O17</f>
        <v>54</v>
      </c>
      <c r="G7" s="1097">
        <f t="shared" si="1"/>
        <v>-20</v>
      </c>
    </row>
    <row r="8" spans="2:7" s="1061" customFormat="1" ht="15" thickBot="1">
      <c r="B8" s="1070" t="s">
        <v>3168</v>
      </c>
      <c r="C8" s="1071">
        <f>Print_Mois!J97</f>
        <v>24</v>
      </c>
      <c r="D8" s="1072"/>
      <c r="E8" s="1073">
        <f t="shared" si="0"/>
        <v>24</v>
      </c>
      <c r="F8" s="1074">
        <f>Print_Mois!O97</f>
        <v>16</v>
      </c>
      <c r="G8" s="1073">
        <f t="shared" si="1"/>
        <v>8</v>
      </c>
    </row>
    <row r="9" spans="2:7">
      <c r="B9" s="1075" t="s">
        <v>3169</v>
      </c>
      <c r="C9" s="1076">
        <f>Print_Mois!L27</f>
        <v>145486.14999999932</v>
      </c>
      <c r="D9" s="1077"/>
      <c r="E9" s="1078">
        <f t="shared" si="0"/>
        <v>145486.14999999932</v>
      </c>
      <c r="F9" s="1077">
        <f>Print_Mois!Q27</f>
        <v>306255.92999999149</v>
      </c>
      <c r="G9" s="1078">
        <f t="shared" si="1"/>
        <v>-160769.77999999217</v>
      </c>
    </row>
    <row r="10" spans="2:7">
      <c r="B10" s="1075" t="s">
        <v>3170</v>
      </c>
      <c r="C10" s="1076">
        <f>Print_Mois!L109</f>
        <v>24092.649999999165</v>
      </c>
      <c r="D10" s="1077"/>
      <c r="E10" s="1078">
        <f t="shared" si="0"/>
        <v>24092.649999999165</v>
      </c>
      <c r="F10" s="1077">
        <f>Print_Mois!Q109</f>
        <v>33491.69999999812</v>
      </c>
      <c r="G10" s="1078">
        <f t="shared" si="1"/>
        <v>-9399.0499999989552</v>
      </c>
    </row>
    <row r="11" spans="2:7">
      <c r="B11" s="1100" t="s">
        <v>3189</v>
      </c>
      <c r="C11" s="1076">
        <f>Print_Mois!L182</f>
        <v>-15901.930000001565</v>
      </c>
      <c r="D11" s="1077"/>
      <c r="E11" s="1078"/>
      <c r="F11" s="1077">
        <f>Print_Mois!Q182</f>
        <v>70310.469999999739</v>
      </c>
      <c r="G11" s="1078">
        <f t="shared" si="1"/>
        <v>-86212.400000001304</v>
      </c>
    </row>
    <row r="12" spans="2:7">
      <c r="B12" s="1075" t="s">
        <v>3171</v>
      </c>
      <c r="C12" s="1076">
        <f>Print_Mois!L268</f>
        <v>112297.87999999996</v>
      </c>
      <c r="D12" s="1077"/>
      <c r="E12" s="1078">
        <f t="shared" si="0"/>
        <v>112297.87999999996</v>
      </c>
      <c r="F12" s="1077">
        <f>Print_Mois!Q268</f>
        <v>144346.68</v>
      </c>
      <c r="G12" s="1078">
        <f t="shared" si="1"/>
        <v>-32048.800000000032</v>
      </c>
    </row>
    <row r="13" spans="2:7">
      <c r="B13" s="1100" t="s">
        <v>3191</v>
      </c>
      <c r="C13" s="1076">
        <f>Print_Mois!L448</f>
        <v>49579.840000000011</v>
      </c>
      <c r="D13" s="1077"/>
      <c r="E13" s="1078"/>
      <c r="F13" s="1077">
        <f>Print_Mois!Q448</f>
        <v>48143.309999999983</v>
      </c>
      <c r="G13" s="1078">
        <f t="shared" si="1"/>
        <v>1436.5300000000279</v>
      </c>
    </row>
    <row r="14" spans="2:7">
      <c r="B14" s="1100" t="s">
        <v>3190</v>
      </c>
      <c r="C14" s="1076">
        <f>Print_Mois!L326</f>
        <v>62886.059999999983</v>
      </c>
      <c r="D14" s="1077"/>
      <c r="E14" s="1078"/>
      <c r="F14" s="1077">
        <f>Print_Mois!Q326</f>
        <v>88965.239999999976</v>
      </c>
      <c r="G14" s="1078">
        <f t="shared" si="1"/>
        <v>-26079.179999999993</v>
      </c>
    </row>
    <row r="15" spans="2:7" ht="15" thickBot="1">
      <c r="B15" s="1075" t="s">
        <v>3172</v>
      </c>
      <c r="C15" s="1076">
        <f>Print_Mois!L390</f>
        <v>92322.530000000188</v>
      </c>
      <c r="D15" s="1077"/>
      <c r="E15" s="1078">
        <f t="shared" si="0"/>
        <v>92322.530000000188</v>
      </c>
      <c r="F15" s="1077">
        <f>Print_Mois!Q390</f>
        <v>97640.879999999976</v>
      </c>
      <c r="G15" s="1078">
        <f t="shared" si="1"/>
        <v>-5318.3499999997875</v>
      </c>
    </row>
    <row r="16" spans="2:7" ht="15" thickTop="1">
      <c r="B16" s="1079" t="s">
        <v>3173</v>
      </c>
      <c r="C16" s="1080">
        <f>SUM(C9:C15)</f>
        <v>470763.17999999708</v>
      </c>
      <c r="D16" s="1081">
        <f>SUM(D9:D15)</f>
        <v>0</v>
      </c>
      <c r="E16" s="1082">
        <f t="shared" si="0"/>
        <v>470763.17999999708</v>
      </c>
      <c r="F16" s="1081">
        <f>SUM(F9:F15)</f>
        <v>789154.20999998925</v>
      </c>
      <c r="G16" s="1082">
        <f t="shared" si="1"/>
        <v>-318391.02999999217</v>
      </c>
    </row>
    <row r="17" spans="2:7">
      <c r="B17" s="1075" t="s">
        <v>3174</v>
      </c>
      <c r="C17" s="1076">
        <f>Print_Mois!AF568</f>
        <v>59474.01999999999</v>
      </c>
      <c r="D17" s="1077"/>
      <c r="E17" s="1078">
        <f t="shared" si="0"/>
        <v>59474.01999999999</v>
      </c>
      <c r="F17" s="1077">
        <f>Print_Mois!AL568</f>
        <v>6264.3299999999799</v>
      </c>
      <c r="G17" s="1078">
        <f t="shared" si="1"/>
        <v>53209.69000000001</v>
      </c>
    </row>
    <row r="18" spans="2:7">
      <c r="B18" s="1075" t="s">
        <v>3175</v>
      </c>
      <c r="C18" s="1076">
        <f>-Print_Mois!AF555</f>
        <v>-494835.8</v>
      </c>
      <c r="D18" s="1077"/>
      <c r="E18" s="1078">
        <f t="shared" si="0"/>
        <v>-494835.8</v>
      </c>
      <c r="F18" s="1077">
        <f>-Print_Mois!AL555</f>
        <v>-726933.25000000012</v>
      </c>
      <c r="G18" s="1078">
        <f t="shared" si="1"/>
        <v>232097.45000000013</v>
      </c>
    </row>
    <row r="19" spans="2:7" ht="15" thickBot="1">
      <c r="B19" s="1075" t="s">
        <v>3176</v>
      </c>
      <c r="C19" s="1076">
        <f>-Print_Mois!AF578-Print_Mois!AF579-Print_Mois!AF580-Print_Mois!AF581-Print_Mois!AF583</f>
        <v>-18751.22</v>
      </c>
      <c r="D19" s="1077"/>
      <c r="E19" s="1078">
        <f t="shared" si="0"/>
        <v>-18751.22</v>
      </c>
      <c r="F19" s="1077">
        <f>-Print_Mois!AL578-Print_Mois!AL579-Print_Mois!AL580-Print_Mois!AL581-Print_Mois!AL583</f>
        <v>-10790.13</v>
      </c>
      <c r="G19" s="1078">
        <f t="shared" si="1"/>
        <v>-7961.090000000002</v>
      </c>
    </row>
    <row r="20" spans="2:7" ht="16.5" thickTop="1" thickBot="1">
      <c r="B20" s="1083" t="s">
        <v>3177</v>
      </c>
      <c r="C20" s="1084">
        <f>SUM(C16:C19)</f>
        <v>16650.179999997054</v>
      </c>
      <c r="D20" s="1085">
        <f t="shared" ref="D20:G20" si="2">SUM(D16:D19)</f>
        <v>0</v>
      </c>
      <c r="E20" s="1086">
        <f t="shared" si="2"/>
        <v>16650.179999997054</v>
      </c>
      <c r="F20" s="1085">
        <f t="shared" si="2"/>
        <v>57695.159999989097</v>
      </c>
      <c r="G20" s="1086">
        <f t="shared" si="2"/>
        <v>-41044.979999992043</v>
      </c>
    </row>
    <row r="21" spans="2:7" ht="15" thickBot="1"/>
    <row r="22" spans="2:7" ht="21" thickBot="1">
      <c r="C22" s="1290" t="s">
        <v>3434</v>
      </c>
      <c r="D22" s="1291"/>
      <c r="E22" s="1291"/>
      <c r="F22" s="1291"/>
      <c r="G22" s="1292"/>
    </row>
    <row r="23" spans="2:7" ht="30.75" thickBot="1">
      <c r="B23" s="1061"/>
      <c r="C23" s="1062" t="s">
        <v>3187</v>
      </c>
      <c r="D23" s="1063" t="s">
        <v>3178</v>
      </c>
      <c r="E23" s="1064" t="s">
        <v>3165</v>
      </c>
      <c r="F23" s="1063" t="s">
        <v>3179</v>
      </c>
      <c r="G23" s="1064" t="s">
        <v>3166</v>
      </c>
    </row>
    <row r="24" spans="2:7" ht="15" thickBot="1">
      <c r="B24" s="1065" t="s">
        <v>3167</v>
      </c>
      <c r="C24" s="1066">
        <f>Print_AAD!J13</f>
        <v>356</v>
      </c>
      <c r="D24" s="1067"/>
      <c r="E24" s="1068">
        <f t="shared" ref="E24:E37" si="3">C24-D24</f>
        <v>356</v>
      </c>
      <c r="F24" s="1069">
        <f>Print_AAD!O13</f>
        <v>527</v>
      </c>
      <c r="G24" s="1101">
        <f t="shared" ref="G24:G37" si="4">C24-F24</f>
        <v>-171</v>
      </c>
    </row>
    <row r="25" spans="2:7">
      <c r="B25" s="1099" t="s">
        <v>3188</v>
      </c>
      <c r="C25" s="1095">
        <f>Print_AAD!J17</f>
        <v>938</v>
      </c>
      <c r="D25" s="1096"/>
      <c r="E25" s="1068">
        <f t="shared" si="3"/>
        <v>938</v>
      </c>
      <c r="F25" s="1098">
        <f>Print_AAD!O17</f>
        <v>1170</v>
      </c>
      <c r="G25" s="1097">
        <f t="shared" si="4"/>
        <v>-232</v>
      </c>
    </row>
    <row r="26" spans="2:7" ht="15" thickBot="1">
      <c r="B26" s="1070" t="s">
        <v>3168</v>
      </c>
      <c r="C26" s="1071">
        <f>Print_AAD!J97</f>
        <v>171</v>
      </c>
      <c r="D26" s="1072"/>
      <c r="E26" s="1073">
        <f t="shared" si="3"/>
        <v>171</v>
      </c>
      <c r="F26" s="1074">
        <f>Print_AAD!O97</f>
        <v>69</v>
      </c>
      <c r="G26" s="1073">
        <f t="shared" si="4"/>
        <v>102</v>
      </c>
    </row>
    <row r="27" spans="2:7">
      <c r="B27" s="1075" t="s">
        <v>3169</v>
      </c>
      <c r="C27" s="1076">
        <f>Print_AAD!L27</f>
        <v>1623677.669999999</v>
      </c>
      <c r="D27" s="1077"/>
      <c r="E27" s="1078">
        <f t="shared" si="3"/>
        <v>1623677.669999999</v>
      </c>
      <c r="F27" s="1077">
        <f>Print_AAD!Q27</f>
        <v>2507490.2299999958</v>
      </c>
      <c r="G27" s="1078">
        <f t="shared" si="4"/>
        <v>-883812.5599999968</v>
      </c>
    </row>
    <row r="28" spans="2:7">
      <c r="B28" s="1075" t="s">
        <v>3170</v>
      </c>
      <c r="C28" s="1076">
        <f>Print_AAD!L109</f>
        <v>482540.83</v>
      </c>
      <c r="D28" s="1077"/>
      <c r="E28" s="1078">
        <f t="shared" si="3"/>
        <v>482540.83</v>
      </c>
      <c r="F28" s="1077">
        <f>Print_AAD!Q109</f>
        <v>464469.31999999809</v>
      </c>
      <c r="G28" s="1078">
        <f t="shared" si="4"/>
        <v>18071.51000000193</v>
      </c>
    </row>
    <row r="29" spans="2:7">
      <c r="B29" s="1100" t="s">
        <v>3189</v>
      </c>
      <c r="C29" s="1076">
        <f>Print_AAD!L182</f>
        <v>1146571.8200000022</v>
      </c>
      <c r="D29" s="1077"/>
      <c r="E29" s="1078"/>
      <c r="F29" s="1077">
        <f>Print_AAD!Q182</f>
        <v>1148094.2199999988</v>
      </c>
      <c r="G29" s="1078">
        <f t="shared" si="4"/>
        <v>-1522.3999999966472</v>
      </c>
    </row>
    <row r="30" spans="2:7">
      <c r="B30" s="1075" t="s">
        <v>3171</v>
      </c>
      <c r="C30" s="1076">
        <f>Print_AAD!L268</f>
        <v>1085907.6300000001</v>
      </c>
      <c r="D30" s="1077"/>
      <c r="E30" s="1078"/>
      <c r="F30" s="1077">
        <f>Print_AAD!Q268</f>
        <v>1288503.19</v>
      </c>
      <c r="G30" s="1078">
        <f t="shared" si="4"/>
        <v>-202595.55999999982</v>
      </c>
    </row>
    <row r="31" spans="2:7">
      <c r="B31" s="1100" t="s">
        <v>3191</v>
      </c>
      <c r="C31" s="1076">
        <f>Print_AAD!L448</f>
        <v>548671.53</v>
      </c>
      <c r="D31" s="1077"/>
      <c r="E31" s="1078"/>
      <c r="F31" s="1077">
        <f>Print_AAD!Q448</f>
        <v>511346.58999999997</v>
      </c>
      <c r="G31" s="1078">
        <f t="shared" si="4"/>
        <v>37324.940000000061</v>
      </c>
    </row>
    <row r="32" spans="2:7">
      <c r="B32" s="1100" t="s">
        <v>3190</v>
      </c>
      <c r="C32" s="1076">
        <f>Print_AAD!L326</f>
        <v>548789.36</v>
      </c>
      <c r="D32" s="1077"/>
      <c r="E32" s="1078">
        <f t="shared" si="3"/>
        <v>548789.36</v>
      </c>
      <c r="F32" s="1077">
        <f>Print_AAD!Q326</f>
        <v>518095.51000000007</v>
      </c>
      <c r="G32" s="1078">
        <f t="shared" si="4"/>
        <v>30693.849999999919</v>
      </c>
    </row>
    <row r="33" spans="2:8" ht="15" thickBot="1">
      <c r="B33" s="1075" t="s">
        <v>3172</v>
      </c>
      <c r="C33" s="1076">
        <f>Print_AAD!L390</f>
        <v>786317.29000000027</v>
      </c>
      <c r="D33" s="1077"/>
      <c r="E33" s="1078">
        <f t="shared" si="3"/>
        <v>786317.29000000027</v>
      </c>
      <c r="F33" s="1077">
        <f>Print_AAD!Q390</f>
        <v>776387.20000000007</v>
      </c>
      <c r="G33" s="1078">
        <f t="shared" si="4"/>
        <v>9930.0900000002002</v>
      </c>
    </row>
    <row r="34" spans="2:8" ht="15" thickTop="1">
      <c r="B34" s="1079" t="s">
        <v>3173</v>
      </c>
      <c r="C34" s="1080">
        <f>SUM(C27:C33)</f>
        <v>6222476.1300000018</v>
      </c>
      <c r="D34" s="1081">
        <f>SUM(D27:D33)</f>
        <v>0</v>
      </c>
      <c r="E34" s="1082">
        <f t="shared" si="3"/>
        <v>6222476.1300000018</v>
      </c>
      <c r="F34" s="1081">
        <f>SUM(F27:F33)</f>
        <v>7214386.2599999923</v>
      </c>
      <c r="G34" s="1082">
        <f t="shared" si="4"/>
        <v>-991910.12999999058</v>
      </c>
    </row>
    <row r="35" spans="2:8">
      <c r="B35" s="1075" t="s">
        <v>3174</v>
      </c>
      <c r="C35" s="1076">
        <f>Print_AAD!AF568</f>
        <v>397882.99999999994</v>
      </c>
      <c r="D35" s="1077"/>
      <c r="E35" s="1078">
        <f t="shared" si="3"/>
        <v>397882.99999999994</v>
      </c>
      <c r="F35" s="1077">
        <f>Print_AAD!AL568</f>
        <v>463210.15</v>
      </c>
      <c r="G35" s="1078">
        <f t="shared" si="4"/>
        <v>-65327.150000000081</v>
      </c>
    </row>
    <row r="36" spans="2:8">
      <c r="B36" s="1075" t="s">
        <v>3175</v>
      </c>
      <c r="C36" s="1076">
        <f>-Print_AAD!AF555</f>
        <v>-4621606.1100000003</v>
      </c>
      <c r="D36" s="1077"/>
      <c r="E36" s="1078">
        <f t="shared" si="3"/>
        <v>-4621606.1100000003</v>
      </c>
      <c r="F36" s="1077">
        <f>-Print_AAD!AL555</f>
        <v>-5003329.8099999996</v>
      </c>
      <c r="G36" s="1078">
        <f t="shared" si="4"/>
        <v>381723.69999999925</v>
      </c>
      <c r="H36" s="1102" t="s">
        <v>3192</v>
      </c>
    </row>
    <row r="37" spans="2:8" ht="15" thickBot="1">
      <c r="B37" s="1075" t="s">
        <v>3180</v>
      </c>
      <c r="C37" s="1076">
        <f>-Print_AAD!AF578-Print_AAD!AF579-Print_AAD!AF580-Print_AAD!AF581-Print_AAD!AF583</f>
        <v>-120740.76000000001</v>
      </c>
      <c r="D37" s="1077"/>
      <c r="E37" s="1078">
        <f t="shared" si="3"/>
        <v>-120740.76000000001</v>
      </c>
      <c r="F37" s="1077">
        <f>-Print_AAD!AL578-Print_AAD!AL579-Print_AAD!AL580-Print_AAD!AL581-Print_AAD!AL583</f>
        <v>-90702.57</v>
      </c>
      <c r="G37" s="1078">
        <f t="shared" si="4"/>
        <v>-30038.190000000002</v>
      </c>
    </row>
    <row r="38" spans="2:8" ht="16.5" thickTop="1" thickBot="1">
      <c r="B38" s="1083" t="s">
        <v>3177</v>
      </c>
      <c r="C38" s="1084">
        <f t="shared" ref="C38:G38" si="5">SUM(C34:C37)</f>
        <v>1878012.2600000014</v>
      </c>
      <c r="D38" s="1085">
        <f t="shared" si="5"/>
        <v>0</v>
      </c>
      <c r="E38" s="1086">
        <f t="shared" si="5"/>
        <v>1878012.2600000014</v>
      </c>
      <c r="F38" s="1085">
        <f t="shared" si="5"/>
        <v>2583564.0299999933</v>
      </c>
      <c r="G38" s="1086">
        <f t="shared" si="5"/>
        <v>-705551.7699999914</v>
      </c>
    </row>
    <row r="40" spans="2:8" ht="21" hidden="1" thickBot="1">
      <c r="C40" s="1290" t="s">
        <v>3181</v>
      </c>
      <c r="D40" s="1291"/>
      <c r="E40" s="1291"/>
      <c r="F40" s="1291"/>
      <c r="G40" s="1292"/>
    </row>
    <row r="41" spans="2:8" ht="30"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5"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5"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6.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 hidden="1" thickBot="1">
      <c r="C54" s="1290" t="s">
        <v>3206</v>
      </c>
      <c r="D54" s="1291"/>
      <c r="E54" s="1291"/>
      <c r="F54" s="1291"/>
      <c r="G54" s="1292"/>
    </row>
    <row r="55" spans="2:7" ht="30.75" hidden="1" thickBot="1">
      <c r="B55" s="1061"/>
      <c r="C55" s="1062" t="s">
        <v>3187</v>
      </c>
      <c r="D55" s="1063" t="s">
        <v>3178</v>
      </c>
      <c r="E55" s="1064" t="s">
        <v>3165</v>
      </c>
      <c r="F55" s="1063" t="s">
        <v>3179</v>
      </c>
      <c r="G55" s="1064" t="s">
        <v>3166</v>
      </c>
    </row>
    <row r="56" spans="2:7" ht="15"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5"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5" hidden="1" thickBot="1">
      <c r="B65" s="1075" t="s">
        <v>3172</v>
      </c>
      <c r="C65" s="1076">
        <f>'Q2'!L390</f>
        <v>298770.57999999996</v>
      </c>
      <c r="D65" s="1077"/>
      <c r="E65" s="1078">
        <f t="shared" si="11"/>
        <v>298770.57999999996</v>
      </c>
      <c r="F65" s="1077">
        <f>'Q2'!Q390</f>
        <v>295186.97999999992</v>
      </c>
      <c r="G65" s="1078">
        <f t="shared" si="10"/>
        <v>3583.6000000000349</v>
      </c>
    </row>
    <row r="66" spans="2:7" ht="15"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5"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6.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abSelected="1" topLeftCell="A515" zoomScale="60" zoomScaleNormal="60" workbookViewId="0">
      <pane xSplit="1" topLeftCell="M1" activePane="topRight" state="frozen"/>
      <selection activeCell="A478" sqref="A478"/>
      <selection pane="topRight" activeCell="Y548" sqref="Y548"/>
    </sheetView>
  </sheetViews>
  <sheetFormatPr baseColWidth="10" defaultRowHeight="14.25"/>
  <cols>
    <col min="1" max="1" width="39.375" customWidth="1"/>
    <col min="2" max="25" width="17.25" customWidth="1"/>
  </cols>
  <sheetData>
    <row r="1" spans="1:25" s="1248" customFormat="1" ht="23.25">
      <c r="C1" s="1248" t="s">
        <v>3425</v>
      </c>
      <c r="F1" s="1248" t="s">
        <v>3426</v>
      </c>
      <c r="I1" s="1248" t="s">
        <v>3427</v>
      </c>
      <c r="L1" s="1248" t="s">
        <v>3428</v>
      </c>
      <c r="O1" s="1248" t="s">
        <v>3429</v>
      </c>
      <c r="R1" s="1248" t="s">
        <v>3430</v>
      </c>
      <c r="U1" s="1248" t="s">
        <v>3435</v>
      </c>
      <c r="X1" s="1248" t="s">
        <v>3446</v>
      </c>
    </row>
    <row r="3" spans="1:25" ht="35.25">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75"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25">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25">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5550053.3899999959</v>
      </c>
    </row>
    <row r="8" spans="1:25" ht="20.25">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25">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25">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25">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25">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25">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25">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0.25">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0.25">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0.25">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25">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0.25">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596.08735294114138</v>
      </c>
      <c r="Y19" s="658">
        <v>20266.969999998808</v>
      </c>
    </row>
    <row r="20" spans="1:25" ht="20.25">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0.25">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0.25">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25">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25">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25">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0.25">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25">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1675.7028735632107</v>
      </c>
      <c r="Y29" s="1140">
        <v>145786.14999999932</v>
      </c>
    </row>
    <row r="30" spans="1:25" ht="21"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0.25">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25">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0.33758392979962432</v>
      </c>
      <c r="X33" s="281">
        <v>754.20377358490543</v>
      </c>
      <c r="Y33" s="658">
        <v>39972.799999999988</v>
      </c>
    </row>
    <row r="34" spans="1:25" ht="20.25">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25">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-74.957735849056235</v>
      </c>
      <c r="Y35" s="1242">
        <v>-3972.7599999999802</v>
      </c>
    </row>
    <row r="36" spans="1:25" ht="20.25">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25">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25">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236.51716981132071</v>
      </c>
      <c r="Y38" s="1242">
        <v>12535.409999999998</v>
      </c>
    </row>
    <row r="39" spans="1:25" ht="20.25">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505.32509433962338</v>
      </c>
      <c r="Y39" s="658">
        <v>26782.23000000004</v>
      </c>
    </row>
    <row r="40" spans="1:25" ht="20.25">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25">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25">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0.25">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7.4119317918746638E-2</v>
      </c>
      <c r="Y43" s="1149">
        <v>10805.570000000036</v>
      </c>
    </row>
    <row r="44" spans="1:25" ht="20.25">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25">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25">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4987.5800000000017</v>
      </c>
    </row>
    <row r="47" spans="1:25" ht="20.25">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25">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25">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25">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25">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2322.3499999999985</v>
      </c>
    </row>
    <row r="52" spans="1:25" ht="20.25">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10061.259999999995</v>
      </c>
    </row>
    <row r="53" spans="1:25" ht="20.25">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25">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25">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0.25">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0.25584700604275618</v>
      </c>
      <c r="Y56" s="1149">
        <v>37298.949999999983</v>
      </c>
    </row>
    <row r="57" spans="1:25" ht="20.25">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25">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25">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5298.0200000000041</v>
      </c>
    </row>
    <row r="60" spans="1:25" ht="20.25">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4323.9799999999996</v>
      </c>
    </row>
    <row r="61" spans="1:25" ht="20.25">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1142.5599999999981</v>
      </c>
    </row>
    <row r="62" spans="1:25" ht="20.25">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25">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25">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25">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25">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483.34999999999945</v>
      </c>
    </row>
    <row r="67" spans="1:25" ht="20.25">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25">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25">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25">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551.54999999999927</v>
      </c>
    </row>
    <row r="71" spans="1:25" ht="20.25">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25">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25">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0.25">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0.14792077299524067</v>
      </c>
      <c r="Y74" s="1149">
        <v>21564.800000000007</v>
      </c>
    </row>
    <row r="75" spans="1:25" ht="20.25">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0.25">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0.47788709695674347</v>
      </c>
      <c r="Y76" s="1149">
        <v>69669.320000000022</v>
      </c>
    </row>
    <row r="77" spans="1:25" ht="20.25">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25">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25">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25">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25">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25">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25">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25">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0.45310011606877754</v>
      </c>
      <c r="X84" s="307">
        <v>316.71698113207549</v>
      </c>
      <c r="Y84" s="658">
        <v>16786</v>
      </c>
    </row>
    <row r="85" spans="1:25" ht="20.25">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52027.44</v>
      </c>
    </row>
    <row r="86" spans="1:25" ht="20.25">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128144.26999999931</v>
      </c>
    </row>
    <row r="88" spans="1:25" ht="2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3.25">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25">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75"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25">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25">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1865363.6399999992</v>
      </c>
    </row>
    <row r="96" spans="1:25" ht="20.25">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25">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25">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0.25">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0.25">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0.25">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0.25">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0.25">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25">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25">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25">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25">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0.25">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0.25">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0.25">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25">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25">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25">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25">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25">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25">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214.00083333333339</v>
      </c>
      <c r="Y120" s="658">
        <v>5136.0200000000013</v>
      </c>
    </row>
    <row r="121" spans="1:25" ht="20.25">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263.58416666666625</v>
      </c>
      <c r="Y121" s="658">
        <v>6326.0199999999895</v>
      </c>
    </row>
    <row r="122" spans="1:25" ht="20.25">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25">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25">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0.25">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25">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25">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25">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25">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25">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25">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25">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25">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1303.7799999999988</v>
      </c>
    </row>
    <row r="134" spans="1:25" ht="20.25">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6801.5400000000009</v>
      </c>
    </row>
    <row r="135" spans="1:25" ht="20.25">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25">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25">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0.25">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0.97020668129080079</v>
      </c>
      <c r="Y138" s="1149">
        <v>23374.850000000002</v>
      </c>
    </row>
    <row r="139" spans="1:25" ht="20.25">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25">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25">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25">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1981.880000000001</v>
      </c>
    </row>
    <row r="143" spans="1:25" ht="20.25">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596.38999999999942</v>
      </c>
    </row>
    <row r="144" spans="1:25" ht="20.25">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25">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25">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25">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25">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322.22999999999956</v>
      </c>
    </row>
    <row r="149" spans="1:25" ht="20.25">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25">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25">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25">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443.51999999999953</v>
      </c>
    </row>
    <row r="153" spans="1:25" ht="20.25">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25">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25">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0.25">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0.42569372817022449</v>
      </c>
      <c r="Y156" s="1149">
        <v>10256.090000000004</v>
      </c>
    </row>
    <row r="157" spans="1:25" ht="20.25">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0.25">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2.1967890622244477</v>
      </c>
      <c r="Y158" s="1149">
        <v>52926.47</v>
      </c>
    </row>
    <row r="159" spans="1:25" ht="20.25">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0.25">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25">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25">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25">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25">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25">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0.25">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25">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-21709.48000000084</v>
      </c>
    </row>
    <row r="169" spans="1:25" ht="15.75"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25">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75"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25">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25">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25">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25">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25">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25">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25">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25">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25">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0.25">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25">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25">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25">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25">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25">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25">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25">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25">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25">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25">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0.25">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25">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1341.7999999999884</v>
      </c>
    </row>
    <row r="200" spans="1:25" ht="20.25">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25">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25">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25">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25">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25">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25">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1266.1100000000006</v>
      </c>
    </row>
    <row r="207" spans="1:25" ht="20.25">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-107.44999999999709</v>
      </c>
    </row>
    <row r="208" spans="1:25" ht="20.25">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25">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25">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0.25">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-0.20999184398562143</v>
      </c>
      <c r="Y211" s="1149">
        <v>-5059.2600000000066</v>
      </c>
    </row>
    <row r="212" spans="1:25" ht="20.25">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25">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25">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25">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25">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25">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25">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25">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25">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25">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25">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25">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25">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25">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25">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25">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25">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0.25">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25">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0.25">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0.64581480243977152</v>
      </c>
      <c r="Y231" s="1149">
        <v>15559.390000000021</v>
      </c>
    </row>
    <row r="232" spans="1:25" ht="20.25">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0.25">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25">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25">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25">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25">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25">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0.25">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25">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-31461.320000001586</v>
      </c>
    </row>
    <row r="242" spans="1:25" ht="15.75"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25">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75"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25">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25">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25">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25">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25">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25">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25">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25">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25">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25">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25">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25">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25">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0.25">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25">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25">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25">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0.25">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25">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0.25">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0.25">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25">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5764.1000000000058</v>
      </c>
      <c r="Z274" t="s">
        <v>3447</v>
      </c>
    </row>
    <row r="275" spans="1:26" ht="20.25">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25">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8348.7700000000041</v>
      </c>
    </row>
    <row r="277" spans="1:26" ht="20.25">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25">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25">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25">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25">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7107.25</v>
      </c>
    </row>
    <row r="282" spans="1:26" ht="20.25">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19001.800000000017</v>
      </c>
    </row>
    <row r="283" spans="1:26" ht="20.25">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4305.2699999999968</v>
      </c>
    </row>
    <row r="284" spans="1:26" ht="20.25">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25">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0.25">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0.57588994556264139</v>
      </c>
      <c r="Y286" s="1149">
        <v>64671.220000000008</v>
      </c>
    </row>
    <row r="287" spans="1:26" ht="20.25">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25">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25">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25">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2627.9799999999996</v>
      </c>
    </row>
    <row r="291" spans="1:25" ht="20.25">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894.59000000000015</v>
      </c>
    </row>
    <row r="292" spans="1:25" ht="20.25">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25">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25">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25">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0</v>
      </c>
    </row>
    <row r="296" spans="1:25" ht="20.25">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25">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538.34999999999991</v>
      </c>
    </row>
    <row r="298" spans="1:25" ht="20.25">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25">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25">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25">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552.35000000000036</v>
      </c>
    </row>
    <row r="302" spans="1:25" ht="20.25">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25">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25">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0.25">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0.31947735789847509</v>
      </c>
      <c r="Y305" s="1149">
        <v>35876.629999999997</v>
      </c>
    </row>
    <row r="306" spans="1:25" ht="20.25">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0.25">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0.89536730346111648</v>
      </c>
      <c r="Y307" s="1149">
        <v>100547.85</v>
      </c>
    </row>
    <row r="308" spans="1:25" ht="20.25">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11750.029999999955</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25">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75"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25">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25">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25">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25">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25">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25">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25">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25">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25">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25">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25">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25">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0.25">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25">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25">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25">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25">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25">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25">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25">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25">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3189.9699999999975</v>
      </c>
    </row>
    <row r="340" spans="1:25" ht="20.25">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6066.8700000000026</v>
      </c>
    </row>
    <row r="341" spans="1:25" ht="20.25">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1072.7999999999993</v>
      </c>
    </row>
    <row r="342" spans="1:25" ht="20.25">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25">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0.25">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0.53094469585151316</v>
      </c>
      <c r="Y344" s="1149">
        <v>33389.019999999997</v>
      </c>
    </row>
    <row r="345" spans="1:25" ht="20.25">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25">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25">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4636.6499999999996</v>
      </c>
    </row>
    <row r="348" spans="1:25" ht="20.25">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1715.6599999999999</v>
      </c>
    </row>
    <row r="349" spans="1:25" ht="20.25">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298.19999999999982</v>
      </c>
    </row>
    <row r="350" spans="1:25" ht="20.25">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25">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25">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6492.8500000000058</v>
      </c>
    </row>
    <row r="353" spans="1:25" ht="20.25">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0</v>
      </c>
    </row>
    <row r="354" spans="1:25" ht="20.25">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25">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161.12000000000012</v>
      </c>
    </row>
    <row r="356" spans="1:25" ht="20.25">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25">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25">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25">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178.01999999999998</v>
      </c>
    </row>
    <row r="360" spans="1:25" ht="20.25">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25">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25">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0.25">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0.33678751697912085</v>
      </c>
      <c r="Y363" s="1149">
        <v>21179.240000000005</v>
      </c>
    </row>
    <row r="364" spans="1:25" ht="20.25">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0.25">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0.86773221283063395</v>
      </c>
      <c r="Y365" s="1149">
        <v>54568.26</v>
      </c>
    </row>
    <row r="366" spans="1:25" ht="20.25">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8317.7999999999811</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25">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75"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25">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25">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25">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25">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25">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25">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25">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25">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25">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25">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0.25">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25">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25">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25">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25">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0.25">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25">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25">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25">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0.25">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25">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6873.2900000000009</v>
      </c>
    </row>
    <row r="397" spans="1:25" ht="20.25">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25">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13305.910000000003</v>
      </c>
    </row>
    <row r="399" spans="1:25" ht="20.25">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25">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25">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25">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25">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1781.2999999999993</v>
      </c>
    </row>
    <row r="404" spans="1:25" ht="20.25">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4058.9300000000003</v>
      </c>
    </row>
    <row r="405" spans="1:25" ht="20.25">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25">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1240.3800000000001</v>
      </c>
    </row>
    <row r="407" spans="1:25" ht="20.25">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0.25">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0.32300577118066348</v>
      </c>
      <c r="Y408" s="1149">
        <v>29820.710000000003</v>
      </c>
    </row>
    <row r="409" spans="1:25" ht="20.25">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25">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25">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25">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1817.9600000000009</v>
      </c>
    </row>
    <row r="413" spans="1:25" ht="20.25">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298.19999999999982</v>
      </c>
    </row>
    <row r="414" spans="1:25" ht="20.25">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25">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25">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25">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25">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25">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161.08999999999992</v>
      </c>
    </row>
    <row r="420" spans="1:25" ht="20.25">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25">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25">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25">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177.98999999999978</v>
      </c>
    </row>
    <row r="424" spans="1:25" ht="20.25">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25">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25">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0.25">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9.6102327351730715E-2</v>
      </c>
      <c r="Y427" s="1149">
        <v>8872.409999999998</v>
      </c>
    </row>
    <row r="428" spans="1:25" ht="20.25">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0.25">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0.41910809853239422</v>
      </c>
      <c r="Y429" s="1149">
        <v>38693.120000000003</v>
      </c>
    </row>
    <row r="430" spans="1:25" ht="20.25">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53629.410000000185</v>
      </c>
    </row>
    <row r="432" spans="1:25" ht="21"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0.25">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25">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75"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25">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25">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25">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25">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25">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25">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25">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25">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25">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25">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25">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25">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0.25">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25">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25">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25">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25">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25">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25">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25">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25">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2841.9000000000015</v>
      </c>
    </row>
    <row r="462" spans="1:25" ht="20.25">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25">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25">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796.2199999999998</v>
      </c>
    </row>
    <row r="465" spans="1:25" ht="20.25">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0.25">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0.29459373003220662</v>
      </c>
      <c r="Y466" s="1149">
        <v>14605.910000000002</v>
      </c>
    </row>
    <row r="467" spans="1:25" ht="20.25">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25">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25">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25">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25">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25">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25">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25">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0</v>
      </c>
    </row>
    <row r="475" spans="1:25" ht="20.25">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25">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25">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25">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25">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25">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25">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25">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25">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0.25">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0</v>
      </c>
      <c r="Y484" s="1149">
        <v>0</v>
      </c>
    </row>
    <row r="485" spans="1:25" ht="20.25">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0.25">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0.29459373003220662</v>
      </c>
      <c r="Y486" s="1149">
        <v>14605.910000000002</v>
      </c>
    </row>
    <row r="487" spans="1:25" ht="20.25">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34973.930000000008</v>
      </c>
    </row>
    <row r="489" spans="1:25" ht="21"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0.25">
      <c r="D490" s="305"/>
      <c r="G490" s="305"/>
      <c r="J490" s="305"/>
      <c r="M490" s="305"/>
      <c r="P490" s="305"/>
      <c r="S490" s="305"/>
      <c r="V490" s="305"/>
      <c r="Y490" s="305"/>
    </row>
    <row r="491" spans="1:25" ht="35.25">
      <c r="A491" s="656" t="s">
        <v>1161</v>
      </c>
      <c r="D491" s="709"/>
      <c r="G491" s="709"/>
      <c r="J491" s="709"/>
      <c r="M491" s="709"/>
      <c r="P491" s="709"/>
      <c r="S491" s="709"/>
      <c r="V491" s="709"/>
      <c r="Y491" s="709"/>
    </row>
    <row r="492" spans="1:25" ht="18.75" thickBot="1">
      <c r="A492" s="376"/>
    </row>
    <row r="493" spans="1:25" ht="21.75"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25">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8">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13775969.239999995</v>
      </c>
    </row>
    <row r="496" spans="1:25" ht="18">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3.4194558059277236E-2</v>
      </c>
      <c r="X496" s="393"/>
      <c r="Y496" s="391">
        <v>471063.17999999708</v>
      </c>
    </row>
    <row r="497" spans="1:26" ht="18">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8">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680.77337662337652</v>
      </c>
      <c r="Y498" s="399">
        <v>52419.549999999988</v>
      </c>
    </row>
    <row r="499" spans="1:26" ht="18">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8">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-41.317402597402342</v>
      </c>
      <c r="Y500" s="1257">
        <v>-3181.4399999999805</v>
      </c>
      <c r="Z500" t="s">
        <v>3448</v>
      </c>
    </row>
    <row r="501" spans="1:26" ht="18">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8">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8">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229.49909090909091</v>
      </c>
      <c r="Y503" s="399">
        <v>17671.43</v>
      </c>
    </row>
    <row r="504" spans="1:26" ht="18">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576.2162337662345</v>
      </c>
      <c r="Y504" s="1257">
        <v>44368.650000000052</v>
      </c>
    </row>
    <row r="505" spans="1:26" ht="18">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8">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8">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8">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0.10634450351224732</v>
      </c>
      <c r="X508" s="1208"/>
      <c r="Y508" s="416">
        <v>50094.980000000083</v>
      </c>
    </row>
    <row r="509" spans="1:26" ht="18">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8">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57">
        <v>39341.349999999984</v>
      </c>
    </row>
    <row r="511" spans="1:26" ht="18">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58">
        <v>25274.689999999988</v>
      </c>
    </row>
    <row r="512" spans="1:26" ht="18">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57">
        <v>29211.570000000011</v>
      </c>
    </row>
    <row r="513" spans="1:25" ht="18">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57">
        <v>9149.14</v>
      </c>
    </row>
    <row r="514" spans="1:25" ht="18">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5" ht="18">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5" ht="18">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5" ht="18">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19812.659999999996</v>
      </c>
    </row>
    <row r="518" spans="1:25" ht="18">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50784.570000000022</v>
      </c>
    </row>
    <row r="519" spans="1:25" ht="18">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9492.6699999999946</v>
      </c>
    </row>
    <row r="520" spans="1:25" ht="18">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5" ht="20.25">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5" ht="18">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0.44932212702338847</v>
      </c>
      <c r="X522" s="1210"/>
      <c r="Y522" s="416">
        <v>211659.11</v>
      </c>
    </row>
    <row r="523" spans="1:25" ht="18">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5" ht="18">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5" ht="18">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22562.140000000003</v>
      </c>
    </row>
    <row r="526" spans="1:25" ht="18">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12467.460000000001</v>
      </c>
    </row>
    <row r="527" spans="1:25" ht="18">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3229.9399999999973</v>
      </c>
    </row>
    <row r="528" spans="1:25" ht="18">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57">
        <v>18156.589999999997</v>
      </c>
    </row>
    <row r="529" spans="1:25" ht="18">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5" ht="18">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9028.3800000000083</v>
      </c>
    </row>
    <row r="531" spans="1:25" ht="18">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0</v>
      </c>
    </row>
    <row r="532" spans="1:25" ht="18">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5" ht="18">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1666.139999999999</v>
      </c>
    </row>
    <row r="534" spans="1:25" ht="18">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57">
        <v>2907.1199999999985</v>
      </c>
    </row>
    <row r="535" spans="1:25" ht="18">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5" ht="18">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5" ht="18">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1257">
        <v>1920.9299999999989</v>
      </c>
    </row>
    <row r="538" spans="1:25" ht="18">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5" ht="18">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5" ht="18">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5" ht="18">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0.20883385536522003</v>
      </c>
      <c r="X541" s="1206"/>
      <c r="Y541" s="416">
        <v>98373.94</v>
      </c>
    </row>
    <row r="542" spans="1:25" ht="18">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5" ht="18">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5" ht="18">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5" ht="18">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5" ht="18">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5" ht="18">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5" ht="18">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57">
        <v>10525.760000000002</v>
      </c>
    </row>
    <row r="549" spans="1:25" ht="18">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5" ht="18">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1257">
        <v>3806.5800000000008</v>
      </c>
    </row>
    <row r="551" spans="1:25" ht="18">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5" ht="18">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5" ht="18">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5" ht="18">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5" ht="18">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0.27191388637082775</v>
      </c>
      <c r="X555" s="1206"/>
      <c r="Y555" s="416">
        <v>128088.62</v>
      </c>
    </row>
    <row r="556" spans="1:25" ht="18">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5" ht="18">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1.0364143722716836</v>
      </c>
      <c r="X557" s="1206"/>
      <c r="Y557" s="416">
        <v>488216.65000000008</v>
      </c>
    </row>
    <row r="558" spans="1:25" ht="18">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-10.780000000006112</v>
      </c>
    </row>
    <row r="559" spans="1:25" ht="18">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5" ht="18">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8">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8">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8">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8">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8">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8">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8">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8">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8">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47.916513026052094</v>
      </c>
      <c r="X569" s="437">
        <v>0.77825537870650641</v>
      </c>
      <c r="Y569" s="399">
        <v>23910.339999999997</v>
      </c>
    </row>
    <row r="570" spans="1:25" ht="18">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0.12554791482535391</v>
      </c>
      <c r="X570" s="1215"/>
      <c r="Y570" s="416">
        <v>59140.999999999993</v>
      </c>
    </row>
    <row r="571" spans="1:25" ht="18.75"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9.5"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3.047882095880537E-3</v>
      </c>
      <c r="Y572" s="468">
        <v>41987.529999996994</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3.25">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25">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9.5"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6.2686101061588239E-3</v>
      </c>
      <c r="Y577" s="752">
        <v>86356.179999997054</v>
      </c>
    </row>
    <row r="578" spans="1:25" ht="19.5"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3.047882095880537E-3</v>
      </c>
      <c r="Y578" s="468">
        <v>41987.529999996994</v>
      </c>
    </row>
    <row r="579" spans="1:25" ht="15.75"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8">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25">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25">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8208.2000000000116</v>
      </c>
    </row>
    <row r="583" spans="1:25" ht="20.25">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8">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8">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75"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9.5"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1.6673476544432958E-3</v>
      </c>
      <c r="Y587" s="468">
        <v>22969.329999996982</v>
      </c>
    </row>
    <row r="588" spans="1:25" ht="15"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852" stopIfTrue="1">
      <formula>"esterreur(reference)"</formula>
    </cfRule>
  </conditionalFormatting>
  <conditionalFormatting sqref="B18 D18:D26">
    <cfRule type="expression" dxfId="339" priority="850" stopIfTrue="1">
      <formula>"esterreur(reference)"</formula>
    </cfRule>
  </conditionalFormatting>
  <conditionalFormatting sqref="B184">
    <cfRule type="expression" dxfId="338" priority="819" stopIfTrue="1">
      <formula>"esterreur(reference)"</formula>
    </cfRule>
  </conditionalFormatting>
  <conditionalFormatting sqref="B319">
    <cfRule type="expression" dxfId="337" priority="848" stopIfTrue="1">
      <formula>"esterreur(reference)"</formula>
    </cfRule>
  </conditionalFormatting>
  <conditionalFormatting sqref="B328 B329:C329">
    <cfRule type="expression" dxfId="336" priority="818" stopIfTrue="1">
      <formula>"esterreur(reference)"</formula>
    </cfRule>
  </conditionalFormatting>
  <conditionalFormatting sqref="B373:B392">
    <cfRule type="expression" dxfId="335" priority="816" stopIfTrue="1">
      <formula>"esterreur(reference)"</formula>
    </cfRule>
  </conditionalFormatting>
  <conditionalFormatting sqref="B441">
    <cfRule type="expression" dxfId="334" priority="844" stopIfTrue="1">
      <formula>"esterreur(reference)"</formula>
    </cfRule>
  </conditionalFormatting>
  <conditionalFormatting sqref="B450 B451:C451">
    <cfRule type="expression" dxfId="333" priority="817" stopIfTrue="1">
      <formula>"esterreur(reference)"</formula>
    </cfRule>
  </conditionalFormatting>
  <conditionalFormatting sqref="B56:C56">
    <cfRule type="expression" dxfId="332" priority="840" stopIfTrue="1">
      <formula>"esterreur(reference)"</formula>
    </cfRule>
  </conditionalFormatting>
  <conditionalFormatting sqref="B74:C74">
    <cfRule type="expression" dxfId="331" priority="839" stopIfTrue="1">
      <formula>"esterreur(reference)"</formula>
    </cfRule>
  </conditionalFormatting>
  <conditionalFormatting sqref="B76:C76">
    <cfRule type="expression" dxfId="330" priority="838" stopIfTrue="1">
      <formula>"esterreur(reference)"</formula>
    </cfRule>
  </conditionalFormatting>
  <conditionalFormatting sqref="B87:C87">
    <cfRule type="expression" dxfId="329" priority="821" stopIfTrue="1">
      <formula>"esterreur(reference)"</formula>
    </cfRule>
  </conditionalFormatting>
  <conditionalFormatting sqref="B158:C160">
    <cfRule type="expression" dxfId="328" priority="837" stopIfTrue="1">
      <formula>"esterreur(reference)"</formula>
    </cfRule>
  </conditionalFormatting>
  <conditionalFormatting sqref="B166:C166">
    <cfRule type="expression" dxfId="327" priority="836" stopIfTrue="1">
      <formula>"esterreur(reference)"</formula>
    </cfRule>
  </conditionalFormatting>
  <conditionalFormatting sqref="B168:C170">
    <cfRule type="expression" dxfId="326" priority="822" stopIfTrue="1">
      <formula>"esterreur(reference)"</formula>
    </cfRule>
  </conditionalFormatting>
  <conditionalFormatting sqref="B231:C233">
    <cfRule type="expression" dxfId="325" priority="835" stopIfTrue="1">
      <formula>"esterreur(reference)"</formula>
    </cfRule>
  </conditionalFormatting>
  <conditionalFormatting sqref="B239:C239">
    <cfRule type="expression" dxfId="324" priority="834" stopIfTrue="1">
      <formula>"esterreur(reference)"</formula>
    </cfRule>
  </conditionalFormatting>
  <conditionalFormatting sqref="B241:C242">
    <cfRule type="expression" dxfId="323" priority="823" stopIfTrue="1">
      <formula>"esterreur(reference)"</formula>
    </cfRule>
  </conditionalFormatting>
  <conditionalFormatting sqref="B307:C307">
    <cfRule type="expression" dxfId="322" priority="833" stopIfTrue="1">
      <formula>"esterreur(reference)"</formula>
    </cfRule>
  </conditionalFormatting>
  <conditionalFormatting sqref="B309:C309">
    <cfRule type="expression" dxfId="321" priority="824" stopIfTrue="1">
      <formula>"esterreur(reference)"</formula>
    </cfRule>
  </conditionalFormatting>
  <conditionalFormatting sqref="B365:C365">
    <cfRule type="expression" dxfId="320" priority="832" stopIfTrue="1">
      <formula>"esterreur(reference)"</formula>
    </cfRule>
  </conditionalFormatting>
  <conditionalFormatting sqref="B367:C367">
    <cfRule type="expression" dxfId="319" priority="825" stopIfTrue="1">
      <formula>"esterreur(reference)"</formula>
    </cfRule>
  </conditionalFormatting>
  <conditionalFormatting sqref="B429:C429">
    <cfRule type="expression" dxfId="318" priority="831" stopIfTrue="1">
      <formula>"esterreur(reference)"</formula>
    </cfRule>
  </conditionalFormatting>
  <conditionalFormatting sqref="B431:C433">
    <cfRule type="expression" dxfId="317" priority="826" stopIfTrue="1">
      <formula>"esterreur(reference)"</formula>
    </cfRule>
  </conditionalFormatting>
  <conditionalFormatting sqref="B466:C466">
    <cfRule type="expression" dxfId="316" priority="830" stopIfTrue="1">
      <formula>"esterreur(reference)"</formula>
    </cfRule>
  </conditionalFormatting>
  <conditionalFormatting sqref="B484:C484">
    <cfRule type="expression" dxfId="315" priority="829" stopIfTrue="1">
      <formula>"esterreur(reference)"</formula>
    </cfRule>
  </conditionalFormatting>
  <conditionalFormatting sqref="B486:C486">
    <cfRule type="expression" dxfId="314" priority="828" stopIfTrue="1">
      <formula>"esterreur(reference)"</formula>
    </cfRule>
  </conditionalFormatting>
  <conditionalFormatting sqref="B488:C489">
    <cfRule type="expression" dxfId="313" priority="827" stopIfTrue="1">
      <formula>"esterreur(reference)"</formula>
    </cfRule>
  </conditionalFormatting>
  <conditionalFormatting sqref="B55:Y55 B57:Y73">
    <cfRule type="expression" dxfId="312" priority="609" stopIfTrue="1">
      <formula>"esterreur(reference)"</formula>
    </cfRule>
  </conditionalFormatting>
  <conditionalFormatting sqref="B182:Y183">
    <cfRule type="expression" dxfId="311" priority="44" stopIfTrue="1">
      <formula>"esterreur(reference)"</formula>
    </cfRule>
  </conditionalFormatting>
  <conditionalFormatting sqref="B185:Y197">
    <cfRule type="expression" dxfId="310" priority="42" stopIfTrue="1">
      <formula>"esterreur(reference)"</formula>
    </cfRule>
  </conditionalFormatting>
  <conditionalFormatting sqref="B437:Y438">
    <cfRule type="expression" dxfId="309" priority="43" stopIfTrue="1">
      <formula>"esterreur(reference)"</formula>
    </cfRule>
  </conditionalFormatting>
  <conditionalFormatting sqref="B449:Y449 B452:Y465">
    <cfRule type="expression" dxfId="308" priority="602" stopIfTrue="1">
      <formula>"esterreur(reference)"</formula>
    </cfRule>
  </conditionalFormatting>
  <conditionalFormatting sqref="B467:Y483">
    <cfRule type="expression" dxfId="307" priority="45" stopIfTrue="1">
      <formula>"esterreur(reference)"</formula>
    </cfRule>
  </conditionalFormatting>
  <conditionalFormatting sqref="B485:Y485 B487:Y487">
    <cfRule type="expression" dxfId="306" priority="615" stopIfTrue="1">
      <formula>"esterreur(reference)"</formula>
    </cfRule>
  </conditionalFormatting>
  <conditionalFormatting sqref="C7">
    <cfRule type="expression" dxfId="305" priority="863" stopIfTrue="1">
      <formula>"esterreur(reference)"</formula>
    </cfRule>
  </conditionalFormatting>
  <conditionalFormatting sqref="C323:D323">
    <cfRule type="expression" dxfId="304" priority="861" stopIfTrue="1">
      <formula>"esterreur(reference)"</formula>
    </cfRule>
  </conditionalFormatting>
  <conditionalFormatting sqref="C435:D435 B435:B436">
    <cfRule type="expression" dxfId="303" priority="854" stopIfTrue="1">
      <formula>"esterreur(reference)"</formula>
    </cfRule>
  </conditionalFormatting>
  <conditionalFormatting sqref="C439:D439 C441:D442">
    <cfRule type="expression" dxfId="302" priority="845" stopIfTrue="1">
      <formula>"esterreur(reference)"</formula>
    </cfRule>
  </conditionalFormatting>
  <conditionalFormatting sqref="C445:D445">
    <cfRule type="expression" dxfId="301" priority="846" stopIfTrue="1">
      <formula>"esterreur(reference)"</formula>
    </cfRule>
  </conditionalFormatting>
  <conditionalFormatting sqref="D7:D16">
    <cfRule type="expression" dxfId="300" priority="820" stopIfTrue="1">
      <formula>"esterreur(reference)"</formula>
    </cfRule>
  </conditionalFormatting>
  <conditionalFormatting sqref="D77:D84">
    <cfRule type="expression" dxfId="299" priority="853" stopIfTrue="1">
      <formula>"esterreur(reference)"</formula>
    </cfRule>
  </conditionalFormatting>
  <conditionalFormatting sqref="D159:D165">
    <cfRule type="expression" dxfId="298" priority="860" stopIfTrue="1">
      <formula>"esterreur(reference)"</formula>
    </cfRule>
  </conditionalFormatting>
  <conditionalFormatting sqref="D232:D238">
    <cfRule type="expression" dxfId="297" priority="847" stopIfTrue="1">
      <formula>"esterreur(reference)"</formula>
    </cfRule>
  </conditionalFormatting>
  <conditionalFormatting sqref="D274:D285">
    <cfRule type="expression" dxfId="296" priority="858" stopIfTrue="1">
      <formula>"esterreur(reference)"</formula>
    </cfRule>
  </conditionalFormatting>
  <conditionalFormatting sqref="D287:D304">
    <cfRule type="expression" dxfId="295" priority="859" stopIfTrue="1">
      <formula>"esterreur(reference)"</formula>
    </cfRule>
  </conditionalFormatting>
  <conditionalFormatting sqref="D326">
    <cfRule type="expression" dxfId="294" priority="841" stopIfTrue="1">
      <formula>"esterreur(reference)"</formula>
    </cfRule>
  </conditionalFormatting>
  <conditionalFormatting sqref="D332:D343">
    <cfRule type="expression" dxfId="293" priority="862" stopIfTrue="1">
      <formula>"esterreur(reference)"</formula>
    </cfRule>
  </conditionalFormatting>
  <conditionalFormatting sqref="D424:D426">
    <cfRule type="expression" dxfId="292"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804" stopIfTrue="1">
      <formula>"esterreur(reference)"</formula>
    </cfRule>
  </conditionalFormatting>
  <conditionalFormatting sqref="E18 G18:G26">
    <cfRule type="expression" dxfId="290" priority="802" stopIfTrue="1">
      <formula>"esterreur(reference)"</formula>
    </cfRule>
  </conditionalFormatting>
  <conditionalFormatting sqref="E184">
    <cfRule type="expression" dxfId="289" priority="771" stopIfTrue="1">
      <formula>"esterreur(reference)"</formula>
    </cfRule>
  </conditionalFormatting>
  <conditionalFormatting sqref="E319">
    <cfRule type="expression" dxfId="288" priority="800" stopIfTrue="1">
      <formula>"esterreur(reference)"</formula>
    </cfRule>
  </conditionalFormatting>
  <conditionalFormatting sqref="E328 E329:F329">
    <cfRule type="expression" dxfId="287" priority="770" stopIfTrue="1">
      <formula>"esterreur(reference)"</formula>
    </cfRule>
  </conditionalFormatting>
  <conditionalFormatting sqref="E373:E392">
    <cfRule type="expression" dxfId="286" priority="768" stopIfTrue="1">
      <formula>"esterreur(reference)"</formula>
    </cfRule>
  </conditionalFormatting>
  <conditionalFormatting sqref="E441">
    <cfRule type="expression" dxfId="285" priority="796" stopIfTrue="1">
      <formula>"esterreur(reference)"</formula>
    </cfRule>
  </conditionalFormatting>
  <conditionalFormatting sqref="E450 E451:F451">
    <cfRule type="expression" dxfId="284" priority="769" stopIfTrue="1">
      <formula>"esterreur(reference)"</formula>
    </cfRule>
  </conditionalFormatting>
  <conditionalFormatting sqref="E56:F56">
    <cfRule type="expression" dxfId="283" priority="792" stopIfTrue="1">
      <formula>"esterreur(reference)"</formula>
    </cfRule>
  </conditionalFormatting>
  <conditionalFormatting sqref="E74:F74">
    <cfRule type="expression" dxfId="282" priority="791" stopIfTrue="1">
      <formula>"esterreur(reference)"</formula>
    </cfRule>
  </conditionalFormatting>
  <conditionalFormatting sqref="E76:F76">
    <cfRule type="expression" dxfId="281" priority="790" stopIfTrue="1">
      <formula>"esterreur(reference)"</formula>
    </cfRule>
  </conditionalFormatting>
  <conditionalFormatting sqref="E87:F87">
    <cfRule type="expression" dxfId="280" priority="773" stopIfTrue="1">
      <formula>"esterreur(reference)"</formula>
    </cfRule>
  </conditionalFormatting>
  <conditionalFormatting sqref="E158:F160">
    <cfRule type="expression" dxfId="279" priority="789" stopIfTrue="1">
      <formula>"esterreur(reference)"</formula>
    </cfRule>
  </conditionalFormatting>
  <conditionalFormatting sqref="E166:F166">
    <cfRule type="expression" dxfId="278" priority="788" stopIfTrue="1">
      <formula>"esterreur(reference)"</formula>
    </cfRule>
  </conditionalFormatting>
  <conditionalFormatting sqref="E168:F170">
    <cfRule type="expression" dxfId="277" priority="774" stopIfTrue="1">
      <formula>"esterreur(reference)"</formula>
    </cfRule>
  </conditionalFormatting>
  <conditionalFormatting sqref="E231:F233">
    <cfRule type="expression" dxfId="276" priority="787" stopIfTrue="1">
      <formula>"esterreur(reference)"</formula>
    </cfRule>
  </conditionalFormatting>
  <conditionalFormatting sqref="E239:F239">
    <cfRule type="expression" dxfId="275" priority="786" stopIfTrue="1">
      <formula>"esterreur(reference)"</formula>
    </cfRule>
  </conditionalFormatting>
  <conditionalFormatting sqref="E241:F242">
    <cfRule type="expression" dxfId="274" priority="775" stopIfTrue="1">
      <formula>"esterreur(reference)"</formula>
    </cfRule>
  </conditionalFormatting>
  <conditionalFormatting sqref="E307:F307">
    <cfRule type="expression" dxfId="273" priority="785" stopIfTrue="1">
      <formula>"esterreur(reference)"</formula>
    </cfRule>
  </conditionalFormatting>
  <conditionalFormatting sqref="E309:F309">
    <cfRule type="expression" dxfId="272" priority="776" stopIfTrue="1">
      <formula>"esterreur(reference)"</formula>
    </cfRule>
  </conditionalFormatting>
  <conditionalFormatting sqref="E365:F365">
    <cfRule type="expression" dxfId="271" priority="784" stopIfTrue="1">
      <formula>"esterreur(reference)"</formula>
    </cfRule>
  </conditionalFormatting>
  <conditionalFormatting sqref="E367:F367">
    <cfRule type="expression" dxfId="270" priority="777" stopIfTrue="1">
      <formula>"esterreur(reference)"</formula>
    </cfRule>
  </conditionalFormatting>
  <conditionalFormatting sqref="E429:F429">
    <cfRule type="expression" dxfId="269" priority="783" stopIfTrue="1">
      <formula>"esterreur(reference)"</formula>
    </cfRule>
  </conditionalFormatting>
  <conditionalFormatting sqref="E431:F433">
    <cfRule type="expression" dxfId="268" priority="778" stopIfTrue="1">
      <formula>"esterreur(reference)"</formula>
    </cfRule>
  </conditionalFormatting>
  <conditionalFormatting sqref="E466:F466">
    <cfRule type="expression" dxfId="267" priority="782" stopIfTrue="1">
      <formula>"esterreur(reference)"</formula>
    </cfRule>
  </conditionalFormatting>
  <conditionalFormatting sqref="E484:F484">
    <cfRule type="expression" dxfId="266" priority="781" stopIfTrue="1">
      <formula>"esterreur(reference)"</formula>
    </cfRule>
  </conditionalFormatting>
  <conditionalFormatting sqref="E486:F486">
    <cfRule type="expression" dxfId="265" priority="780" stopIfTrue="1">
      <formula>"esterreur(reference)"</formula>
    </cfRule>
  </conditionalFormatting>
  <conditionalFormatting sqref="E488:F489">
    <cfRule type="expression" dxfId="264" priority="779" stopIfTrue="1">
      <formula>"esterreur(reference)"</formula>
    </cfRule>
  </conditionalFormatting>
  <conditionalFormatting sqref="F7">
    <cfRule type="expression" dxfId="263" priority="815" stopIfTrue="1">
      <formula>"esterreur(reference)"</formula>
    </cfRule>
  </conditionalFormatting>
  <conditionalFormatting sqref="F323:G323">
    <cfRule type="expression" dxfId="262" priority="813" stopIfTrue="1">
      <formula>"esterreur(reference)"</formula>
    </cfRule>
  </conditionalFormatting>
  <conditionalFormatting sqref="F435:G435 E435:E436">
    <cfRule type="expression" dxfId="261" priority="806" stopIfTrue="1">
      <formula>"esterreur(reference)"</formula>
    </cfRule>
  </conditionalFormatting>
  <conditionalFormatting sqref="F439:G439 F441:G442">
    <cfRule type="expression" dxfId="260" priority="797" stopIfTrue="1">
      <formula>"esterreur(reference)"</formula>
    </cfRule>
  </conditionalFormatting>
  <conditionalFormatting sqref="F445:G445">
    <cfRule type="expression" dxfId="259" priority="798" stopIfTrue="1">
      <formula>"esterreur(reference)"</formula>
    </cfRule>
  </conditionalFormatting>
  <conditionalFormatting sqref="G7:G16">
    <cfRule type="expression" dxfId="258" priority="772" stopIfTrue="1">
      <formula>"esterreur(reference)"</formula>
    </cfRule>
  </conditionalFormatting>
  <conditionalFormatting sqref="G77:G84">
    <cfRule type="expression" dxfId="257" priority="805" stopIfTrue="1">
      <formula>"esterreur(reference)"</formula>
    </cfRule>
  </conditionalFormatting>
  <conditionalFormatting sqref="G159:G165">
    <cfRule type="expression" dxfId="256" priority="812" stopIfTrue="1">
      <formula>"esterreur(reference)"</formula>
    </cfRule>
  </conditionalFormatting>
  <conditionalFormatting sqref="G232:G238">
    <cfRule type="expression" dxfId="255" priority="799" stopIfTrue="1">
      <formula>"esterreur(reference)"</formula>
    </cfRule>
  </conditionalFormatting>
  <conditionalFormatting sqref="G274:G285">
    <cfRule type="expression" dxfId="254" priority="810" stopIfTrue="1">
      <formula>"esterreur(reference)"</formula>
    </cfRule>
  </conditionalFormatting>
  <conditionalFormatting sqref="G287:G304">
    <cfRule type="expression" dxfId="253" priority="811" stopIfTrue="1">
      <formula>"esterreur(reference)"</formula>
    </cfRule>
  </conditionalFormatting>
  <conditionalFormatting sqref="G326">
    <cfRule type="expression" dxfId="252" priority="793" stopIfTrue="1">
      <formula>"esterreur(reference)"</formula>
    </cfRule>
  </conditionalFormatting>
  <conditionalFormatting sqref="G332:G343">
    <cfRule type="expression" dxfId="251" priority="814" stopIfTrue="1">
      <formula>"esterreur(reference)"</formula>
    </cfRule>
  </conditionalFormatting>
  <conditionalFormatting sqref="G424:G426">
    <cfRule type="expression" dxfId="250"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756" stopIfTrue="1">
      <formula>"esterreur(reference)"</formula>
    </cfRule>
  </conditionalFormatting>
  <conditionalFormatting sqref="H18 J18:J26">
    <cfRule type="expression" dxfId="248" priority="754" stopIfTrue="1">
      <formula>"esterreur(reference)"</formula>
    </cfRule>
  </conditionalFormatting>
  <conditionalFormatting sqref="H184">
    <cfRule type="expression" dxfId="247" priority="723" stopIfTrue="1">
      <formula>"esterreur(reference)"</formula>
    </cfRule>
  </conditionalFormatting>
  <conditionalFormatting sqref="H319">
    <cfRule type="expression" dxfId="246" priority="752" stopIfTrue="1">
      <formula>"esterreur(reference)"</formula>
    </cfRule>
  </conditionalFormatting>
  <conditionalFormatting sqref="H328 H329:I329">
    <cfRule type="expression" dxfId="245" priority="722" stopIfTrue="1">
      <formula>"esterreur(reference)"</formula>
    </cfRule>
  </conditionalFormatting>
  <conditionalFormatting sqref="H373:H392">
    <cfRule type="expression" dxfId="244" priority="720" stopIfTrue="1">
      <formula>"esterreur(reference)"</formula>
    </cfRule>
  </conditionalFormatting>
  <conditionalFormatting sqref="H441">
    <cfRule type="expression" dxfId="243" priority="748" stopIfTrue="1">
      <formula>"esterreur(reference)"</formula>
    </cfRule>
  </conditionalFormatting>
  <conditionalFormatting sqref="H450 H451:I451">
    <cfRule type="expression" dxfId="242" priority="721" stopIfTrue="1">
      <formula>"esterreur(reference)"</formula>
    </cfRule>
  </conditionalFormatting>
  <conditionalFormatting sqref="H56:I56">
    <cfRule type="expression" dxfId="241" priority="744" stopIfTrue="1">
      <formula>"esterreur(reference)"</formula>
    </cfRule>
  </conditionalFormatting>
  <conditionalFormatting sqref="H74:I74">
    <cfRule type="expression" dxfId="240" priority="743" stopIfTrue="1">
      <formula>"esterreur(reference)"</formula>
    </cfRule>
  </conditionalFormatting>
  <conditionalFormatting sqref="H76:I76">
    <cfRule type="expression" dxfId="239" priority="742" stopIfTrue="1">
      <formula>"esterreur(reference)"</formula>
    </cfRule>
  </conditionalFormatting>
  <conditionalFormatting sqref="H87:I87">
    <cfRule type="expression" dxfId="238" priority="725" stopIfTrue="1">
      <formula>"esterreur(reference)"</formula>
    </cfRule>
  </conditionalFormatting>
  <conditionalFormatting sqref="H158:I160">
    <cfRule type="expression" dxfId="237" priority="741" stopIfTrue="1">
      <formula>"esterreur(reference)"</formula>
    </cfRule>
  </conditionalFormatting>
  <conditionalFormatting sqref="H166:I166">
    <cfRule type="expression" dxfId="236" priority="740" stopIfTrue="1">
      <formula>"esterreur(reference)"</formula>
    </cfRule>
  </conditionalFormatting>
  <conditionalFormatting sqref="H168:I170">
    <cfRule type="expression" dxfId="235" priority="726" stopIfTrue="1">
      <formula>"esterreur(reference)"</formula>
    </cfRule>
  </conditionalFormatting>
  <conditionalFormatting sqref="H231:I233">
    <cfRule type="expression" dxfId="234" priority="739" stopIfTrue="1">
      <formula>"esterreur(reference)"</formula>
    </cfRule>
  </conditionalFormatting>
  <conditionalFormatting sqref="H239:I239">
    <cfRule type="expression" dxfId="233" priority="738" stopIfTrue="1">
      <formula>"esterreur(reference)"</formula>
    </cfRule>
  </conditionalFormatting>
  <conditionalFormatting sqref="H241:I242">
    <cfRule type="expression" dxfId="232" priority="727" stopIfTrue="1">
      <formula>"esterreur(reference)"</formula>
    </cfRule>
  </conditionalFormatting>
  <conditionalFormatting sqref="H307:I307">
    <cfRule type="expression" dxfId="231" priority="737" stopIfTrue="1">
      <formula>"esterreur(reference)"</formula>
    </cfRule>
  </conditionalFormatting>
  <conditionalFormatting sqref="H309:I309">
    <cfRule type="expression" dxfId="230" priority="728" stopIfTrue="1">
      <formula>"esterreur(reference)"</formula>
    </cfRule>
  </conditionalFormatting>
  <conditionalFormatting sqref="H365:I365">
    <cfRule type="expression" dxfId="229" priority="736" stopIfTrue="1">
      <formula>"esterreur(reference)"</formula>
    </cfRule>
  </conditionalFormatting>
  <conditionalFormatting sqref="H367:I367">
    <cfRule type="expression" dxfId="228" priority="729" stopIfTrue="1">
      <formula>"esterreur(reference)"</formula>
    </cfRule>
  </conditionalFormatting>
  <conditionalFormatting sqref="H429:I429">
    <cfRule type="expression" dxfId="227" priority="735" stopIfTrue="1">
      <formula>"esterreur(reference)"</formula>
    </cfRule>
  </conditionalFormatting>
  <conditionalFormatting sqref="H431:I433">
    <cfRule type="expression" dxfId="226" priority="730" stopIfTrue="1">
      <formula>"esterreur(reference)"</formula>
    </cfRule>
  </conditionalFormatting>
  <conditionalFormatting sqref="H466:I466">
    <cfRule type="expression" dxfId="225" priority="734" stopIfTrue="1">
      <formula>"esterreur(reference)"</formula>
    </cfRule>
  </conditionalFormatting>
  <conditionalFormatting sqref="H484:I484">
    <cfRule type="expression" dxfId="224" priority="733" stopIfTrue="1">
      <formula>"esterreur(reference)"</formula>
    </cfRule>
  </conditionalFormatting>
  <conditionalFormatting sqref="H486:I486">
    <cfRule type="expression" dxfId="223" priority="732" stopIfTrue="1">
      <formula>"esterreur(reference)"</formula>
    </cfRule>
  </conditionalFormatting>
  <conditionalFormatting sqref="H488:I489">
    <cfRule type="expression" dxfId="222" priority="731" stopIfTrue="1">
      <formula>"esterreur(reference)"</formula>
    </cfRule>
  </conditionalFormatting>
  <conditionalFormatting sqref="I7">
    <cfRule type="expression" dxfId="221" priority="767" stopIfTrue="1">
      <formula>"esterreur(reference)"</formula>
    </cfRule>
  </conditionalFormatting>
  <conditionalFormatting sqref="I323:J323">
    <cfRule type="expression" dxfId="220" priority="765" stopIfTrue="1">
      <formula>"esterreur(reference)"</formula>
    </cfRule>
  </conditionalFormatting>
  <conditionalFormatting sqref="I435:J435 H435:H436">
    <cfRule type="expression" dxfId="219" priority="758" stopIfTrue="1">
      <formula>"esterreur(reference)"</formula>
    </cfRule>
  </conditionalFormatting>
  <conditionalFormatting sqref="I439:J439 I441:J442">
    <cfRule type="expression" dxfId="218" priority="749" stopIfTrue="1">
      <formula>"esterreur(reference)"</formula>
    </cfRule>
  </conditionalFormatting>
  <conditionalFormatting sqref="I445:J445">
    <cfRule type="expression" dxfId="217" priority="750" stopIfTrue="1">
      <formula>"esterreur(reference)"</formula>
    </cfRule>
  </conditionalFormatting>
  <conditionalFormatting sqref="J7:J16">
    <cfRule type="expression" dxfId="216" priority="724" stopIfTrue="1">
      <formula>"esterreur(reference)"</formula>
    </cfRule>
  </conditionalFormatting>
  <conditionalFormatting sqref="J77:J84">
    <cfRule type="expression" dxfId="215" priority="757" stopIfTrue="1">
      <formula>"esterreur(reference)"</formula>
    </cfRule>
  </conditionalFormatting>
  <conditionalFormatting sqref="J159:J165">
    <cfRule type="expression" dxfId="214" priority="764" stopIfTrue="1">
      <formula>"esterreur(reference)"</formula>
    </cfRule>
  </conditionalFormatting>
  <conditionalFormatting sqref="J232:J238">
    <cfRule type="expression" dxfId="213" priority="751" stopIfTrue="1">
      <formula>"esterreur(reference)"</formula>
    </cfRule>
  </conditionalFormatting>
  <conditionalFormatting sqref="J274:J285">
    <cfRule type="expression" dxfId="212" priority="762" stopIfTrue="1">
      <formula>"esterreur(reference)"</formula>
    </cfRule>
  </conditionalFormatting>
  <conditionalFormatting sqref="J287:J304">
    <cfRule type="expression" dxfId="211" priority="763" stopIfTrue="1">
      <formula>"esterreur(reference)"</formula>
    </cfRule>
  </conditionalFormatting>
  <conditionalFormatting sqref="J326">
    <cfRule type="expression" dxfId="210" priority="745" stopIfTrue="1">
      <formula>"esterreur(reference)"</formula>
    </cfRule>
  </conditionalFormatting>
  <conditionalFormatting sqref="J332:J343">
    <cfRule type="expression" dxfId="209" priority="766" stopIfTrue="1">
      <formula>"esterreur(reference)"</formula>
    </cfRule>
  </conditionalFormatting>
  <conditionalFormatting sqref="J424:J426">
    <cfRule type="expression" dxfId="208"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708" stopIfTrue="1">
      <formula>"esterreur(reference)"</formula>
    </cfRule>
  </conditionalFormatting>
  <conditionalFormatting sqref="K18 M18:M26">
    <cfRule type="expression" dxfId="206" priority="706" stopIfTrue="1">
      <formula>"esterreur(reference)"</formula>
    </cfRule>
  </conditionalFormatting>
  <conditionalFormatting sqref="K184">
    <cfRule type="expression" dxfId="205" priority="674" stopIfTrue="1">
      <formula>"esterreur(reference)"</formula>
    </cfRule>
  </conditionalFormatting>
  <conditionalFormatting sqref="K319">
    <cfRule type="expression" dxfId="204" priority="704" stopIfTrue="1">
      <formula>"esterreur(reference)"</formula>
    </cfRule>
  </conditionalFormatting>
  <conditionalFormatting sqref="K328 K329:L329">
    <cfRule type="expression" dxfId="203" priority="673" stopIfTrue="1">
      <formula>"esterreur(reference)"</formula>
    </cfRule>
  </conditionalFormatting>
  <conditionalFormatting sqref="K373:K392">
    <cfRule type="expression" dxfId="202" priority="703" stopIfTrue="1">
      <formula>"esterreur(reference)"</formula>
    </cfRule>
  </conditionalFormatting>
  <conditionalFormatting sqref="K441">
    <cfRule type="expression" dxfId="201" priority="699" stopIfTrue="1">
      <formula>"esterreur(reference)"</formula>
    </cfRule>
  </conditionalFormatting>
  <conditionalFormatting sqref="K450 K451:L451">
    <cfRule type="expression" dxfId="200" priority="672" stopIfTrue="1">
      <formula>"esterreur(reference)"</formula>
    </cfRule>
  </conditionalFormatting>
  <conditionalFormatting sqref="K56:L56">
    <cfRule type="expression" dxfId="199" priority="695" stopIfTrue="1">
      <formula>"esterreur(reference)"</formula>
    </cfRule>
  </conditionalFormatting>
  <conditionalFormatting sqref="K74:L74">
    <cfRule type="expression" dxfId="198" priority="694" stopIfTrue="1">
      <formula>"esterreur(reference)"</formula>
    </cfRule>
  </conditionalFormatting>
  <conditionalFormatting sqref="K76:L76">
    <cfRule type="expression" dxfId="197" priority="693" stopIfTrue="1">
      <formula>"esterreur(reference)"</formula>
    </cfRule>
  </conditionalFormatting>
  <conditionalFormatting sqref="K87:L87">
    <cfRule type="expression" dxfId="196" priority="676" stopIfTrue="1">
      <formula>"esterreur(reference)"</formula>
    </cfRule>
  </conditionalFormatting>
  <conditionalFormatting sqref="K158:L160">
    <cfRule type="expression" dxfId="195" priority="692" stopIfTrue="1">
      <formula>"esterreur(reference)"</formula>
    </cfRule>
  </conditionalFormatting>
  <conditionalFormatting sqref="K166:L166">
    <cfRule type="expression" dxfId="194" priority="691" stopIfTrue="1">
      <formula>"esterreur(reference)"</formula>
    </cfRule>
  </conditionalFormatting>
  <conditionalFormatting sqref="K168:L170">
    <cfRule type="expression" dxfId="193" priority="677" stopIfTrue="1">
      <formula>"esterreur(reference)"</formula>
    </cfRule>
  </conditionalFormatting>
  <conditionalFormatting sqref="K231:L233">
    <cfRule type="expression" dxfId="192" priority="690" stopIfTrue="1">
      <formula>"esterreur(reference)"</formula>
    </cfRule>
  </conditionalFormatting>
  <conditionalFormatting sqref="K239:L239">
    <cfRule type="expression" dxfId="191" priority="689" stopIfTrue="1">
      <formula>"esterreur(reference)"</formula>
    </cfRule>
  </conditionalFormatting>
  <conditionalFormatting sqref="K241:L242">
    <cfRule type="expression" dxfId="190" priority="678" stopIfTrue="1">
      <formula>"esterreur(reference)"</formula>
    </cfRule>
  </conditionalFormatting>
  <conditionalFormatting sqref="K307:L307">
    <cfRule type="expression" dxfId="189" priority="688" stopIfTrue="1">
      <formula>"esterreur(reference)"</formula>
    </cfRule>
  </conditionalFormatting>
  <conditionalFormatting sqref="K309:L309">
    <cfRule type="expression" dxfId="188" priority="679" stopIfTrue="1">
      <formula>"esterreur(reference)"</formula>
    </cfRule>
  </conditionalFormatting>
  <conditionalFormatting sqref="K365:L365">
    <cfRule type="expression" dxfId="187" priority="687" stopIfTrue="1">
      <formula>"esterreur(reference)"</formula>
    </cfRule>
  </conditionalFormatting>
  <conditionalFormatting sqref="K367:L367">
    <cfRule type="expression" dxfId="186" priority="680" stopIfTrue="1">
      <formula>"esterreur(reference)"</formula>
    </cfRule>
  </conditionalFormatting>
  <conditionalFormatting sqref="K429:L429">
    <cfRule type="expression" dxfId="185" priority="686" stopIfTrue="1">
      <formula>"esterreur(reference)"</formula>
    </cfRule>
  </conditionalFormatting>
  <conditionalFormatting sqref="K431:L433">
    <cfRule type="expression" dxfId="184" priority="681" stopIfTrue="1">
      <formula>"esterreur(reference)"</formula>
    </cfRule>
  </conditionalFormatting>
  <conditionalFormatting sqref="K466:L466">
    <cfRule type="expression" dxfId="183" priority="685" stopIfTrue="1">
      <formula>"esterreur(reference)"</formula>
    </cfRule>
  </conditionalFormatting>
  <conditionalFormatting sqref="K484:L484">
    <cfRule type="expression" dxfId="182" priority="684" stopIfTrue="1">
      <formula>"esterreur(reference)"</formula>
    </cfRule>
  </conditionalFormatting>
  <conditionalFormatting sqref="K486:L486">
    <cfRule type="expression" dxfId="181" priority="683" stopIfTrue="1">
      <formula>"esterreur(reference)"</formula>
    </cfRule>
  </conditionalFormatting>
  <conditionalFormatting sqref="K488:L489">
    <cfRule type="expression" dxfId="180" priority="682" stopIfTrue="1">
      <formula>"esterreur(reference)"</formula>
    </cfRule>
  </conditionalFormatting>
  <conditionalFormatting sqref="L7">
    <cfRule type="expression" dxfId="179" priority="719" stopIfTrue="1">
      <formula>"esterreur(reference)"</formula>
    </cfRule>
  </conditionalFormatting>
  <conditionalFormatting sqref="L323:M323">
    <cfRule type="expression" dxfId="178" priority="717" stopIfTrue="1">
      <formula>"esterreur(reference)"</formula>
    </cfRule>
  </conditionalFormatting>
  <conditionalFormatting sqref="L435:M435 K435:K436">
    <cfRule type="expression" dxfId="177" priority="710" stopIfTrue="1">
      <formula>"esterreur(reference)"</formula>
    </cfRule>
  </conditionalFormatting>
  <conditionalFormatting sqref="L439:M439 L441:M442">
    <cfRule type="expression" dxfId="176" priority="700" stopIfTrue="1">
      <formula>"esterreur(reference)"</formula>
    </cfRule>
  </conditionalFormatting>
  <conditionalFormatting sqref="L445:M445">
    <cfRule type="expression" dxfId="175" priority="701" stopIfTrue="1">
      <formula>"esterreur(reference)"</formula>
    </cfRule>
  </conditionalFormatting>
  <conditionalFormatting sqref="M7:M16">
    <cfRule type="expression" dxfId="174" priority="675" stopIfTrue="1">
      <formula>"esterreur(reference)"</formula>
    </cfRule>
  </conditionalFormatting>
  <conditionalFormatting sqref="M77:M84">
    <cfRule type="expression" dxfId="173" priority="709" stopIfTrue="1">
      <formula>"esterreur(reference)"</formula>
    </cfRule>
  </conditionalFormatting>
  <conditionalFormatting sqref="M159:M165">
    <cfRule type="expression" dxfId="172" priority="716" stopIfTrue="1">
      <formula>"esterreur(reference)"</formula>
    </cfRule>
  </conditionalFormatting>
  <conditionalFormatting sqref="M232:M238">
    <cfRule type="expression" dxfId="171" priority="702" stopIfTrue="1">
      <formula>"esterreur(reference)"</formula>
    </cfRule>
  </conditionalFormatting>
  <conditionalFormatting sqref="M274:M285">
    <cfRule type="expression" dxfId="170" priority="714" stopIfTrue="1">
      <formula>"esterreur(reference)"</formula>
    </cfRule>
  </conditionalFormatting>
  <conditionalFormatting sqref="M287:M304">
    <cfRule type="expression" dxfId="169" priority="715" stopIfTrue="1">
      <formula>"esterreur(reference)"</formula>
    </cfRule>
  </conditionalFormatting>
  <conditionalFormatting sqref="M326">
    <cfRule type="expression" dxfId="168" priority="696" stopIfTrue="1">
      <formula>"esterreur(reference)"</formula>
    </cfRule>
  </conditionalFormatting>
  <conditionalFormatting sqref="M332:M343">
    <cfRule type="expression" dxfId="167" priority="718" stopIfTrue="1">
      <formula>"esterreur(reference)"</formula>
    </cfRule>
  </conditionalFormatting>
  <conditionalFormatting sqref="M424:M426">
    <cfRule type="expression" dxfId="166"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660" stopIfTrue="1">
      <formula>"esterreur(reference)"</formula>
    </cfRule>
  </conditionalFormatting>
  <conditionalFormatting sqref="N18 P18:P26">
    <cfRule type="expression" dxfId="164" priority="658" stopIfTrue="1">
      <formula>"esterreur(reference)"</formula>
    </cfRule>
  </conditionalFormatting>
  <conditionalFormatting sqref="N184">
    <cfRule type="expression" dxfId="163" priority="627" stopIfTrue="1">
      <formula>"esterreur(reference)"</formula>
    </cfRule>
  </conditionalFormatting>
  <conditionalFormatting sqref="N319">
    <cfRule type="expression" dxfId="162" priority="656" stopIfTrue="1">
      <formula>"esterreur(reference)"</formula>
    </cfRule>
  </conditionalFormatting>
  <conditionalFormatting sqref="N328 N329:O329">
    <cfRule type="expression" dxfId="161" priority="626" stopIfTrue="1">
      <formula>"esterreur(reference)"</formula>
    </cfRule>
  </conditionalFormatting>
  <conditionalFormatting sqref="N373:N392">
    <cfRule type="expression" dxfId="160" priority="624" stopIfTrue="1">
      <formula>"esterreur(reference)"</formula>
    </cfRule>
  </conditionalFormatting>
  <conditionalFormatting sqref="N441">
    <cfRule type="expression" dxfId="159" priority="652" stopIfTrue="1">
      <formula>"esterreur(reference)"</formula>
    </cfRule>
  </conditionalFormatting>
  <conditionalFormatting sqref="N450 N451:O451">
    <cfRule type="expression" dxfId="158" priority="625" stopIfTrue="1">
      <formula>"esterreur(reference)"</formula>
    </cfRule>
  </conditionalFormatting>
  <conditionalFormatting sqref="N56:O56">
    <cfRule type="expression" dxfId="157" priority="648" stopIfTrue="1">
      <formula>"esterreur(reference)"</formula>
    </cfRule>
  </conditionalFormatting>
  <conditionalFormatting sqref="N74:O74">
    <cfRule type="expression" dxfId="156" priority="647" stopIfTrue="1">
      <formula>"esterreur(reference)"</formula>
    </cfRule>
  </conditionalFormatting>
  <conditionalFormatting sqref="N76:O76">
    <cfRule type="expression" dxfId="155" priority="646" stopIfTrue="1">
      <formula>"esterreur(reference)"</formula>
    </cfRule>
  </conditionalFormatting>
  <conditionalFormatting sqref="N87:O87">
    <cfRule type="expression" dxfId="154" priority="629" stopIfTrue="1">
      <formula>"esterreur(reference)"</formula>
    </cfRule>
  </conditionalFormatting>
  <conditionalFormatting sqref="N158:O160">
    <cfRule type="expression" dxfId="153" priority="645" stopIfTrue="1">
      <formula>"esterreur(reference)"</formula>
    </cfRule>
  </conditionalFormatting>
  <conditionalFormatting sqref="N166:O166">
    <cfRule type="expression" dxfId="152" priority="644" stopIfTrue="1">
      <formula>"esterreur(reference)"</formula>
    </cfRule>
  </conditionalFormatting>
  <conditionalFormatting sqref="N168:O170">
    <cfRule type="expression" dxfId="151" priority="630" stopIfTrue="1">
      <formula>"esterreur(reference)"</formula>
    </cfRule>
  </conditionalFormatting>
  <conditionalFormatting sqref="N231:O233">
    <cfRule type="expression" dxfId="150" priority="643" stopIfTrue="1">
      <formula>"esterreur(reference)"</formula>
    </cfRule>
  </conditionalFormatting>
  <conditionalFormatting sqref="N239:O239">
    <cfRule type="expression" dxfId="149" priority="642" stopIfTrue="1">
      <formula>"esterreur(reference)"</formula>
    </cfRule>
  </conditionalFormatting>
  <conditionalFormatting sqref="N241:O242">
    <cfRule type="expression" dxfId="148" priority="631" stopIfTrue="1">
      <formula>"esterreur(reference)"</formula>
    </cfRule>
  </conditionalFormatting>
  <conditionalFormatting sqref="N307:O307">
    <cfRule type="expression" dxfId="147" priority="641" stopIfTrue="1">
      <formula>"esterreur(reference)"</formula>
    </cfRule>
  </conditionalFormatting>
  <conditionalFormatting sqref="N309:O309">
    <cfRule type="expression" dxfId="146" priority="632" stopIfTrue="1">
      <formula>"esterreur(reference)"</formula>
    </cfRule>
  </conditionalFormatting>
  <conditionalFormatting sqref="N365:O365">
    <cfRule type="expression" dxfId="145" priority="640" stopIfTrue="1">
      <formula>"esterreur(reference)"</formula>
    </cfRule>
  </conditionalFormatting>
  <conditionalFormatting sqref="N367:O367">
    <cfRule type="expression" dxfId="144" priority="633" stopIfTrue="1">
      <formula>"esterreur(reference)"</formula>
    </cfRule>
  </conditionalFormatting>
  <conditionalFormatting sqref="N429:O429">
    <cfRule type="expression" dxfId="143" priority="639" stopIfTrue="1">
      <formula>"esterreur(reference)"</formula>
    </cfRule>
  </conditionalFormatting>
  <conditionalFormatting sqref="N431:O433">
    <cfRule type="expression" dxfId="142" priority="634" stopIfTrue="1">
      <formula>"esterreur(reference)"</formula>
    </cfRule>
  </conditionalFormatting>
  <conditionalFormatting sqref="N466:O466">
    <cfRule type="expression" dxfId="141" priority="638" stopIfTrue="1">
      <formula>"esterreur(reference)"</formula>
    </cfRule>
  </conditionalFormatting>
  <conditionalFormatting sqref="N484:O484">
    <cfRule type="expression" dxfId="140" priority="637" stopIfTrue="1">
      <formula>"esterreur(reference)"</formula>
    </cfRule>
  </conditionalFormatting>
  <conditionalFormatting sqref="N486:O486">
    <cfRule type="expression" dxfId="139" priority="636" stopIfTrue="1">
      <formula>"esterreur(reference)"</formula>
    </cfRule>
  </conditionalFormatting>
  <conditionalFormatting sqref="N488:O489">
    <cfRule type="expression" dxfId="138" priority="635" stopIfTrue="1">
      <formula>"esterreur(reference)"</formula>
    </cfRule>
  </conditionalFormatting>
  <conditionalFormatting sqref="O7">
    <cfRule type="expression" dxfId="137" priority="671" stopIfTrue="1">
      <formula>"esterreur(reference)"</formula>
    </cfRule>
  </conditionalFormatting>
  <conditionalFormatting sqref="O323:P323">
    <cfRule type="expression" dxfId="136" priority="669" stopIfTrue="1">
      <formula>"esterreur(reference)"</formula>
    </cfRule>
  </conditionalFormatting>
  <conditionalFormatting sqref="O435:P435 N435:N436">
    <cfRule type="expression" dxfId="135" priority="662" stopIfTrue="1">
      <formula>"esterreur(reference)"</formula>
    </cfRule>
  </conditionalFormatting>
  <conditionalFormatting sqref="O439:P439 O441:P442">
    <cfRule type="expression" dxfId="134" priority="653" stopIfTrue="1">
      <formula>"esterreur(reference)"</formula>
    </cfRule>
  </conditionalFormatting>
  <conditionalFormatting sqref="O445:P445">
    <cfRule type="expression" dxfId="133" priority="654" stopIfTrue="1">
      <formula>"esterreur(reference)"</formula>
    </cfRule>
  </conditionalFormatting>
  <conditionalFormatting sqref="P7:P16">
    <cfRule type="expression" dxfId="132" priority="628" stopIfTrue="1">
      <formula>"esterreur(reference)"</formula>
    </cfRule>
  </conditionalFormatting>
  <conditionalFormatting sqref="P77:P84">
    <cfRule type="expression" dxfId="131" priority="661" stopIfTrue="1">
      <formula>"esterreur(reference)"</formula>
    </cfRule>
  </conditionalFormatting>
  <conditionalFormatting sqref="P159:P165">
    <cfRule type="expression" dxfId="130" priority="668" stopIfTrue="1">
      <formula>"esterreur(reference)"</formula>
    </cfRule>
  </conditionalFormatting>
  <conditionalFormatting sqref="P232:P238">
    <cfRule type="expression" dxfId="129" priority="655" stopIfTrue="1">
      <formula>"esterreur(reference)"</formula>
    </cfRule>
  </conditionalFormatting>
  <conditionalFormatting sqref="P274:P285">
    <cfRule type="expression" dxfId="128" priority="666" stopIfTrue="1">
      <formula>"esterreur(reference)"</formula>
    </cfRule>
  </conditionalFormatting>
  <conditionalFormatting sqref="P287:P304">
    <cfRule type="expression" dxfId="127" priority="667" stopIfTrue="1">
      <formula>"esterreur(reference)"</formula>
    </cfRule>
  </conditionalFormatting>
  <conditionalFormatting sqref="P326">
    <cfRule type="expression" dxfId="126" priority="649" stopIfTrue="1">
      <formula>"esterreur(reference)"</formula>
    </cfRule>
  </conditionalFormatting>
  <conditionalFormatting sqref="P332:P343">
    <cfRule type="expression" dxfId="125" priority="670" stopIfTrue="1">
      <formula>"esterreur(reference)"</formula>
    </cfRule>
  </conditionalFormatting>
  <conditionalFormatting sqref="P424:P426">
    <cfRule type="expression" dxfId="124" priority="665"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612" stopIfTrue="1">
      <formula>"esterreur(reference)"</formula>
    </cfRule>
  </conditionalFormatting>
  <conditionalFormatting sqref="Q18 S18:S26">
    <cfRule type="expression" dxfId="122" priority="610" stopIfTrue="1">
      <formula>"esterreur(reference)"</formula>
    </cfRule>
  </conditionalFormatting>
  <conditionalFormatting sqref="Q184">
    <cfRule type="expression" dxfId="121" priority="579" stopIfTrue="1">
      <formula>"esterreur(reference)"</formula>
    </cfRule>
  </conditionalFormatting>
  <conditionalFormatting sqref="Q319">
    <cfRule type="expression" dxfId="120" priority="608" stopIfTrue="1">
      <formula>"esterreur(reference)"</formula>
    </cfRule>
  </conditionalFormatting>
  <conditionalFormatting sqref="Q328 Q329:R329">
    <cfRule type="expression" dxfId="119" priority="578" stopIfTrue="1">
      <formula>"esterreur(reference)"</formula>
    </cfRule>
  </conditionalFormatting>
  <conditionalFormatting sqref="Q373:Q392">
    <cfRule type="expression" dxfId="118" priority="576" stopIfTrue="1">
      <formula>"esterreur(reference)"</formula>
    </cfRule>
  </conditionalFormatting>
  <conditionalFormatting sqref="Q441">
    <cfRule type="expression" dxfId="117" priority="604" stopIfTrue="1">
      <formula>"esterreur(reference)"</formula>
    </cfRule>
  </conditionalFormatting>
  <conditionalFormatting sqref="Q450 Q451:R451">
    <cfRule type="expression" dxfId="116" priority="577" stopIfTrue="1">
      <formula>"esterreur(reference)"</formula>
    </cfRule>
  </conditionalFormatting>
  <conditionalFormatting sqref="Q56:R56">
    <cfRule type="expression" dxfId="115" priority="600" stopIfTrue="1">
      <formula>"esterreur(reference)"</formula>
    </cfRule>
  </conditionalFormatting>
  <conditionalFormatting sqref="Q74:R74">
    <cfRule type="expression" dxfId="114" priority="599" stopIfTrue="1">
      <formula>"esterreur(reference)"</formula>
    </cfRule>
  </conditionalFormatting>
  <conditionalFormatting sqref="Q76:R76">
    <cfRule type="expression" dxfId="113" priority="598" stopIfTrue="1">
      <formula>"esterreur(reference)"</formula>
    </cfRule>
  </conditionalFormatting>
  <conditionalFormatting sqref="Q87:R87">
    <cfRule type="expression" dxfId="112" priority="581" stopIfTrue="1">
      <formula>"esterreur(reference)"</formula>
    </cfRule>
  </conditionalFormatting>
  <conditionalFormatting sqref="Q158:R160">
    <cfRule type="expression" dxfId="111" priority="597" stopIfTrue="1">
      <formula>"esterreur(reference)"</formula>
    </cfRule>
  </conditionalFormatting>
  <conditionalFormatting sqref="Q166:R166">
    <cfRule type="expression" dxfId="110" priority="596" stopIfTrue="1">
      <formula>"esterreur(reference)"</formula>
    </cfRule>
  </conditionalFormatting>
  <conditionalFormatting sqref="Q168:R170">
    <cfRule type="expression" dxfId="109" priority="582" stopIfTrue="1">
      <formula>"esterreur(reference)"</formula>
    </cfRule>
  </conditionalFormatting>
  <conditionalFormatting sqref="Q231:R233">
    <cfRule type="expression" dxfId="108" priority="595" stopIfTrue="1">
      <formula>"esterreur(reference)"</formula>
    </cfRule>
  </conditionalFormatting>
  <conditionalFormatting sqref="Q239:R239">
    <cfRule type="expression" dxfId="107" priority="594" stopIfTrue="1">
      <formula>"esterreur(reference)"</formula>
    </cfRule>
  </conditionalFormatting>
  <conditionalFormatting sqref="Q241:R242">
    <cfRule type="expression" dxfId="106" priority="583" stopIfTrue="1">
      <formula>"esterreur(reference)"</formula>
    </cfRule>
  </conditionalFormatting>
  <conditionalFormatting sqref="Q307:R307">
    <cfRule type="expression" dxfId="105" priority="593" stopIfTrue="1">
      <formula>"esterreur(reference)"</formula>
    </cfRule>
  </conditionalFormatting>
  <conditionalFormatting sqref="Q309:R309">
    <cfRule type="expression" dxfId="104" priority="584" stopIfTrue="1">
      <formula>"esterreur(reference)"</formula>
    </cfRule>
  </conditionalFormatting>
  <conditionalFormatting sqref="Q365:R365">
    <cfRule type="expression" dxfId="103" priority="592" stopIfTrue="1">
      <formula>"esterreur(reference)"</formula>
    </cfRule>
  </conditionalFormatting>
  <conditionalFormatting sqref="Q367:R367">
    <cfRule type="expression" dxfId="102" priority="585" stopIfTrue="1">
      <formula>"esterreur(reference)"</formula>
    </cfRule>
  </conditionalFormatting>
  <conditionalFormatting sqref="Q429:R429">
    <cfRule type="expression" dxfId="101" priority="591" stopIfTrue="1">
      <formula>"esterreur(reference)"</formula>
    </cfRule>
  </conditionalFormatting>
  <conditionalFormatting sqref="Q431:R433">
    <cfRule type="expression" dxfId="100" priority="586" stopIfTrue="1">
      <formula>"esterreur(reference)"</formula>
    </cfRule>
  </conditionalFormatting>
  <conditionalFormatting sqref="Q466:R466">
    <cfRule type="expression" dxfId="99" priority="590" stopIfTrue="1">
      <formula>"esterreur(reference)"</formula>
    </cfRule>
  </conditionalFormatting>
  <conditionalFormatting sqref="Q484:R484">
    <cfRule type="expression" dxfId="98" priority="589" stopIfTrue="1">
      <formula>"esterreur(reference)"</formula>
    </cfRule>
  </conditionalFormatting>
  <conditionalFormatting sqref="Q486:R486">
    <cfRule type="expression" dxfId="97" priority="588" stopIfTrue="1">
      <formula>"esterreur(reference)"</formula>
    </cfRule>
  </conditionalFormatting>
  <conditionalFormatting sqref="Q488:R489">
    <cfRule type="expression" dxfId="96" priority="587" stopIfTrue="1">
      <formula>"esterreur(reference)"</formula>
    </cfRule>
  </conditionalFormatting>
  <conditionalFormatting sqref="R7">
    <cfRule type="expression" dxfId="95" priority="623" stopIfTrue="1">
      <formula>"esterreur(reference)"</formula>
    </cfRule>
  </conditionalFormatting>
  <conditionalFormatting sqref="R323:S323">
    <cfRule type="expression" dxfId="94" priority="621" stopIfTrue="1">
      <formula>"esterreur(reference)"</formula>
    </cfRule>
  </conditionalFormatting>
  <conditionalFormatting sqref="R435:S435 Q435:Q436">
    <cfRule type="expression" dxfId="93" priority="614" stopIfTrue="1">
      <formula>"esterreur(reference)"</formula>
    </cfRule>
  </conditionalFormatting>
  <conditionalFormatting sqref="R439:S439 R441:S442">
    <cfRule type="expression" dxfId="92" priority="605" stopIfTrue="1">
      <formula>"esterreur(reference)"</formula>
    </cfRule>
  </conditionalFormatting>
  <conditionalFormatting sqref="R445:S445">
    <cfRule type="expression" dxfId="91" priority="606" stopIfTrue="1">
      <formula>"esterreur(reference)"</formula>
    </cfRule>
  </conditionalFormatting>
  <conditionalFormatting sqref="S7:S16">
    <cfRule type="expression" dxfId="90" priority="580" stopIfTrue="1">
      <formula>"esterreur(reference)"</formula>
    </cfRule>
  </conditionalFormatting>
  <conditionalFormatting sqref="S77:S84">
    <cfRule type="expression" dxfId="89" priority="613" stopIfTrue="1">
      <formula>"esterreur(reference)"</formula>
    </cfRule>
  </conditionalFormatting>
  <conditionalFormatting sqref="S159:S165">
    <cfRule type="expression" dxfId="88" priority="620" stopIfTrue="1">
      <formula>"esterreur(reference)"</formula>
    </cfRule>
  </conditionalFormatting>
  <conditionalFormatting sqref="S232:S238">
    <cfRule type="expression" dxfId="87" priority="607" stopIfTrue="1">
      <formula>"esterreur(reference)"</formula>
    </cfRule>
  </conditionalFormatting>
  <conditionalFormatting sqref="S274:S285">
    <cfRule type="expression" dxfId="86" priority="618" stopIfTrue="1">
      <formula>"esterreur(reference)"</formula>
    </cfRule>
  </conditionalFormatting>
  <conditionalFormatting sqref="S287:S304">
    <cfRule type="expression" dxfId="85" priority="619" stopIfTrue="1">
      <formula>"esterreur(reference)"</formula>
    </cfRule>
  </conditionalFormatting>
  <conditionalFormatting sqref="S326">
    <cfRule type="expression" dxfId="84" priority="601" stopIfTrue="1">
      <formula>"esterreur(reference)"</formula>
    </cfRule>
  </conditionalFormatting>
  <conditionalFormatting sqref="S332:S343">
    <cfRule type="expression" dxfId="83" priority="622" stopIfTrue="1">
      <formula>"esterreur(reference)"</formula>
    </cfRule>
  </conditionalFormatting>
  <conditionalFormatting sqref="S424:S426">
    <cfRule type="expression" dxfId="82" priority="617" stopIfTrue="1">
      <formula>"esterreur(reference)"</formula>
    </cfRule>
  </conditionalFormatting>
  <conditionalFormatting sqref="T18 V18:V26">
    <cfRule type="expression" dxfId="81" priority="122" stopIfTrue="1">
      <formula>"esterreur(reference)"</formula>
    </cfRule>
  </conditionalFormatting>
  <conditionalFormatting sqref="T184">
    <cfRule type="expression" dxfId="80" priority="94" stopIfTrue="1">
      <formula>"esterreur(reference)"</formula>
    </cfRule>
  </conditionalFormatting>
  <conditionalFormatting sqref="T319">
    <cfRule type="expression" dxfId="79" priority="121" stopIfTrue="1">
      <formula>"esterreur(reference)"</formula>
    </cfRule>
  </conditionalFormatting>
  <conditionalFormatting sqref="T328 T329:U329">
    <cfRule type="expression" dxfId="78" priority="93" stopIfTrue="1">
      <formula>"esterreur(reference)"</formula>
    </cfRule>
  </conditionalFormatting>
  <conditionalFormatting sqref="T373:T392">
    <cfRule type="expression" dxfId="77" priority="91" stopIfTrue="1">
      <formula>"esterreur(reference)"</formula>
    </cfRule>
  </conditionalFormatting>
  <conditionalFormatting sqref="T441">
    <cfRule type="expression" dxfId="76" priority="117" stopIfTrue="1">
      <formula>"esterreur(reference)"</formula>
    </cfRule>
  </conditionalFormatting>
  <conditionalFormatting sqref="T450 T451:U451">
    <cfRule type="expression" dxfId="75" priority="92" stopIfTrue="1">
      <formula>"esterreur(reference)"</formula>
    </cfRule>
  </conditionalFormatting>
  <conditionalFormatting sqref="T56:U56">
    <cfRule type="expression" dxfId="74" priority="115" stopIfTrue="1">
      <formula>"esterreur(reference)"</formula>
    </cfRule>
  </conditionalFormatting>
  <conditionalFormatting sqref="T74:U74">
    <cfRule type="expression" dxfId="73" priority="114" stopIfTrue="1">
      <formula>"esterreur(reference)"</formula>
    </cfRule>
  </conditionalFormatting>
  <conditionalFormatting sqref="T76:U76">
    <cfRule type="expression" dxfId="72" priority="113" stopIfTrue="1">
      <formula>"esterreur(reference)"</formula>
    </cfRule>
  </conditionalFormatting>
  <conditionalFormatting sqref="T87:U87">
    <cfRule type="expression" dxfId="71" priority="96" stopIfTrue="1">
      <formula>"esterreur(reference)"</formula>
    </cfRule>
  </conditionalFormatting>
  <conditionalFormatting sqref="T158:U160">
    <cfRule type="expression" dxfId="70" priority="112" stopIfTrue="1">
      <formula>"esterreur(reference)"</formula>
    </cfRule>
  </conditionalFormatting>
  <conditionalFormatting sqref="T166:U166">
    <cfRule type="expression" dxfId="69" priority="111" stopIfTrue="1">
      <formula>"esterreur(reference)"</formula>
    </cfRule>
  </conditionalFormatting>
  <conditionalFormatting sqref="T168:U170">
    <cfRule type="expression" dxfId="68" priority="97" stopIfTrue="1">
      <formula>"esterreur(reference)"</formula>
    </cfRule>
  </conditionalFormatting>
  <conditionalFormatting sqref="T231:U233">
    <cfRule type="expression" dxfId="67" priority="110" stopIfTrue="1">
      <formula>"esterreur(reference)"</formula>
    </cfRule>
  </conditionalFormatting>
  <conditionalFormatting sqref="T239:U239">
    <cfRule type="expression" dxfId="66" priority="109" stopIfTrue="1">
      <formula>"esterreur(reference)"</formula>
    </cfRule>
  </conditionalFormatting>
  <conditionalFormatting sqref="T241:U242">
    <cfRule type="expression" dxfId="65" priority="98" stopIfTrue="1">
      <formula>"esterreur(reference)"</formula>
    </cfRule>
  </conditionalFormatting>
  <conditionalFormatting sqref="T307:U307">
    <cfRule type="expression" dxfId="64" priority="108" stopIfTrue="1">
      <formula>"esterreur(reference)"</formula>
    </cfRule>
  </conditionalFormatting>
  <conditionalFormatting sqref="T309:U309">
    <cfRule type="expression" dxfId="63" priority="99" stopIfTrue="1">
      <formula>"esterreur(reference)"</formula>
    </cfRule>
  </conditionalFormatting>
  <conditionalFormatting sqref="T365:U365">
    <cfRule type="expression" dxfId="62" priority="107" stopIfTrue="1">
      <formula>"esterreur(reference)"</formula>
    </cfRule>
  </conditionalFormatting>
  <conditionalFormatting sqref="T367:U367">
    <cfRule type="expression" dxfId="61" priority="100" stopIfTrue="1">
      <formula>"esterreur(reference)"</formula>
    </cfRule>
  </conditionalFormatting>
  <conditionalFormatting sqref="T429:U429">
    <cfRule type="expression" dxfId="60" priority="106" stopIfTrue="1">
      <formula>"esterreur(reference)"</formula>
    </cfRule>
  </conditionalFormatting>
  <conditionalFormatting sqref="T431:U433">
    <cfRule type="expression" dxfId="59" priority="101" stopIfTrue="1">
      <formula>"esterreur(reference)"</formula>
    </cfRule>
  </conditionalFormatting>
  <conditionalFormatting sqref="T466:U466">
    <cfRule type="expression" dxfId="58" priority="105" stopIfTrue="1">
      <formula>"esterreur(reference)"</formula>
    </cfRule>
  </conditionalFormatting>
  <conditionalFormatting sqref="T484:U484">
    <cfRule type="expression" dxfId="57" priority="104" stopIfTrue="1">
      <formula>"esterreur(reference)"</formula>
    </cfRule>
  </conditionalFormatting>
  <conditionalFormatting sqref="T486:U486">
    <cfRule type="expression" dxfId="56" priority="103" stopIfTrue="1">
      <formula>"esterreur(reference)"</formula>
    </cfRule>
  </conditionalFormatting>
  <conditionalFormatting sqref="T488:U489">
    <cfRule type="expression" dxfId="55" priority="102" stopIfTrue="1">
      <formula>"esterreur(reference)"</formula>
    </cfRule>
  </conditionalFormatting>
  <conditionalFormatting sqref="U7">
    <cfRule type="expression" dxfId="54" priority="131" stopIfTrue="1">
      <formula>"esterreur(reference)"</formula>
    </cfRule>
  </conditionalFormatting>
  <conditionalFormatting sqref="U323:V323">
    <cfRule type="expression" dxfId="53" priority="129" stopIfTrue="1">
      <formula>"esterreur(reference)"</formula>
    </cfRule>
  </conditionalFormatting>
  <conditionalFormatting sqref="U435:V435 T435:T436">
    <cfRule type="expression" dxfId="52" priority="124" stopIfTrue="1">
      <formula>"esterreur(reference)"</formula>
    </cfRule>
  </conditionalFormatting>
  <conditionalFormatting sqref="U439:V439 U441:V442">
    <cfRule type="expression" dxfId="51" priority="118" stopIfTrue="1">
      <formula>"esterreur(reference)"</formula>
    </cfRule>
  </conditionalFormatting>
  <conditionalFormatting sqref="U445:V445">
    <cfRule type="expression" dxfId="50" priority="119" stopIfTrue="1">
      <formula>"esterreur(reference)"</formula>
    </cfRule>
  </conditionalFormatting>
  <conditionalFormatting sqref="V7:V16">
    <cfRule type="expression" dxfId="49" priority="95" stopIfTrue="1">
      <formula>"esterreur(reference)"</formula>
    </cfRule>
  </conditionalFormatting>
  <conditionalFormatting sqref="V77:V84">
    <cfRule type="expression" dxfId="48" priority="123" stopIfTrue="1">
      <formula>"esterreur(reference)"</formula>
    </cfRule>
  </conditionalFormatting>
  <conditionalFormatting sqref="V159:V165">
    <cfRule type="expression" dxfId="47" priority="128" stopIfTrue="1">
      <formula>"esterreur(reference)"</formula>
    </cfRule>
  </conditionalFormatting>
  <conditionalFormatting sqref="V232:V238">
    <cfRule type="expression" dxfId="46" priority="120" stopIfTrue="1">
      <formula>"esterreur(reference)"</formula>
    </cfRule>
  </conditionalFormatting>
  <conditionalFormatting sqref="V274:V285">
    <cfRule type="expression" dxfId="45" priority="126" stopIfTrue="1">
      <formula>"esterreur(reference)"</formula>
    </cfRule>
  </conditionalFormatting>
  <conditionalFormatting sqref="V287:V304">
    <cfRule type="expression" dxfId="44" priority="127" stopIfTrue="1">
      <formula>"esterreur(reference)"</formula>
    </cfRule>
  </conditionalFormatting>
  <conditionalFormatting sqref="V326">
    <cfRule type="expression" dxfId="43" priority="116" stopIfTrue="1">
      <formula>"esterreur(reference)"</formula>
    </cfRule>
  </conditionalFormatting>
  <conditionalFormatting sqref="V332:V343">
    <cfRule type="expression" dxfId="42" priority="130" stopIfTrue="1">
      <formula>"esterreur(reference)"</formula>
    </cfRule>
  </conditionalFormatting>
  <conditionalFormatting sqref="V424:V426">
    <cfRule type="expression" dxfId="41" priority="12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2026-09-23T15:46:08Z</dcterms:modified>
</cp:coreProperties>
</file>