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86A96CB6-7CE9-453F-B4BD-3B7BCB5E26AF}" xr6:coauthVersionLast="47" xr6:coauthVersionMax="47" xr10:uidLastSave="{00000000-0000-0000-0000-000000000000}"/>
  <bookViews>
    <workbookView xWindow="-108" yWindow="-108" windowWidth="23256" windowHeight="13896"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<sst xmlns="http://schemas.openxmlformats.org/spreadsheetml/2006/main" count="25034" uniqueCount="3445">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</sst>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03">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7" fontId="126" fillId="32" borderId="7" xfId="0" applyNumberFormat="1" applyFont="1" applyFill="1" applyBorder="1"/>
    <xf numFmtId="3" fontId="126" fillId="40" borderId="6" xfId="0" applyNumberFormat="1" applyFont="1" applyFill="1" applyBorder="1"/>
    <xf numFmtId="3" fontId="133" fillId="40" borderId="91" xfId="0" applyNumberFormat="1" applyFont="1" applyFill="1" applyBorder="1"/>
    <xf numFmtId="3" fontId="133" fillId="40" borderId="8" xfId="0" applyNumberFormat="1" applyFont="1" applyFill="1" applyBorder="1"/>
    <xf numFmtId="37" fontId="133" fillId="40" borderId="9" xfId="0" applyNumberFormat="1" applyFont="1" applyFill="1" applyBorder="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37" fontId="133" fillId="40" borderId="5" xfId="0" applyNumberFormat="1" applyFont="1" applyFill="1" applyBorder="1"/>
    <xf numFmtId="37" fontId="126" fillId="40" borderId="7"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7" xfId="0" applyFont="1" applyBorder="1" applyAlignment="1">
      <alignment horizontal="center"/>
    </xf>
    <xf numFmtId="0" fontId="130" fillId="0" borderId="17" xfId="0" applyFont="1" applyBorder="1"/>
    <xf numFmtId="0" fontId="130" fillId="0" borderId="4" xfId="0" applyFont="1" applyBorder="1"/>
    <xf numFmtId="0" fontId="126" fillId="0" borderId="16" xfId="0" applyFont="1" applyBorder="1" applyAlignment="1">
      <alignment horizontal="center"/>
    </xf>
    <xf numFmtId="0" fontId="130" fillId="0" borderId="18" xfId="0" applyFont="1" applyBorder="1"/>
    <xf numFmtId="0" fontId="126" fillId="0" borderId="3"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7" fontId="133" fillId="32" borderId="9"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59765625" defaultRowHeight="15" customHeight="1"/>
  <cols>
    <col min="1" max="1" width="13" customWidth="1"/>
    <col min="2" max="2" width="23.69921875" customWidth="1"/>
    <col min="3" max="9" width="9.3984375" customWidth="1"/>
  </cols>
  <sheetData>
    <row r="1" spans="1:14" ht="14.4">
      <c r="A1" s="1" t="s">
        <v>0</v>
      </c>
      <c r="B1" s="2" t="s">
        <v>1161</v>
      </c>
    </row>
    <row r="2" spans="1:14" ht="14.4">
      <c r="A2" s="1"/>
      <c r="G2" s="3"/>
      <c r="M2" s="4" t="s">
        <v>2</v>
      </c>
      <c r="N2" s="4" t="s">
        <v>3</v>
      </c>
    </row>
    <row r="3" spans="1:14" ht="14.4">
      <c r="A3" s="1" t="s">
        <v>4</v>
      </c>
      <c r="B3" s="2" t="s">
        <v>1160</v>
      </c>
      <c r="C3" s="4">
        <f>+VLOOKUP(B3,$K$3:$L$14,2,0)</f>
        <v>8</v>
      </c>
      <c r="G3" s="3"/>
      <c r="K3" s="5" t="s">
        <v>6</v>
      </c>
      <c r="L3" s="4">
        <v>1</v>
      </c>
      <c r="M3" s="4" t="str">
        <f t="shared" ref="M3:M14" si="0">+IF($K3=$B$3,"X","")</f>
        <v/>
      </c>
      <c r="N3" s="4" t="str">
        <f t="shared" ref="N3:N14" si="1">+IF(K3=B3,"X",IF(L3&lt;=$C$3,"X",""))</f>
        <v>X</v>
      </c>
    </row>
    <row r="4" spans="1:14" ht="14.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ht="14.4">
      <c r="A6" s="1"/>
      <c r="B6" s="6"/>
      <c r="K6" s="5" t="s">
        <v>10</v>
      </c>
      <c r="L6" s="4">
        <v>4</v>
      </c>
      <c r="M6" s="4" t="str">
        <f t="shared" si="0"/>
        <v/>
      </c>
      <c r="N6" s="4" t="str">
        <f t="shared" si="1"/>
        <v>X</v>
      </c>
    </row>
    <row r="7" spans="1:14" ht="14.4">
      <c r="A7" s="3"/>
      <c r="B7" s="7"/>
      <c r="K7" s="5" t="s">
        <v>11</v>
      </c>
      <c r="L7" s="4">
        <v>5</v>
      </c>
      <c r="M7" s="4" t="str">
        <f t="shared" si="0"/>
        <v/>
      </c>
      <c r="N7" s="4" t="str">
        <f t="shared" si="1"/>
        <v>X</v>
      </c>
    </row>
    <row r="8" spans="1:14" ht="14.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ht="14.4">
      <c r="A10" s="3" t="s">
        <v>1159</v>
      </c>
      <c r="I10" s="3"/>
      <c r="K10" s="1255" t="s">
        <v>1160</v>
      </c>
      <c r="L10" s="4">
        <v>8</v>
      </c>
      <c r="M10" s="4" t="str">
        <f t="shared" si="0"/>
        <v>X</v>
      </c>
      <c r="N10" s="4" t="str">
        <f t="shared" si="1"/>
        <v>X</v>
      </c>
    </row>
    <row r="11" spans="1:14" ht="14.4">
      <c r="A11" s="3" t="s">
        <v>16</v>
      </c>
      <c r="I11" s="3"/>
      <c r="K11" s="5" t="s">
        <v>17</v>
      </c>
      <c r="L11" s="4">
        <v>9</v>
      </c>
      <c r="M11" s="4" t="str">
        <f t="shared" si="0"/>
        <v/>
      </c>
      <c r="N11" s="4" t="str">
        <f t="shared" si="1"/>
        <v/>
      </c>
    </row>
    <row r="12" spans="1:14" ht="14.4">
      <c r="A12" s="3"/>
      <c r="I12" s="3"/>
      <c r="K12" s="5" t="s">
        <v>18</v>
      </c>
      <c r="L12" s="4">
        <v>10</v>
      </c>
      <c r="M12" s="4" t="str">
        <f t="shared" si="0"/>
        <v/>
      </c>
      <c r="N12" s="4" t="str">
        <f t="shared" si="1"/>
        <v/>
      </c>
    </row>
    <row r="13" spans="1:14" ht="14.4">
      <c r="A13" s="3"/>
      <c r="I13" s="3"/>
      <c r="K13" s="5" t="s">
        <v>19</v>
      </c>
      <c r="L13" s="4">
        <v>11</v>
      </c>
      <c r="M13" s="4" t="str">
        <f t="shared" si="0"/>
        <v/>
      </c>
      <c r="N13" s="4" t="str">
        <f t="shared" si="1"/>
        <v/>
      </c>
    </row>
    <row r="14" spans="1:14" ht="14.4">
      <c r="A14" s="3"/>
      <c r="I14" s="3"/>
      <c r="K14" s="5" t="s">
        <v>5</v>
      </c>
      <c r="L14" s="4">
        <v>12</v>
      </c>
      <c r="M14" s="4" t="str">
        <f t="shared" si="0"/>
        <v/>
      </c>
      <c r="N14" s="4" t="str">
        <f t="shared" si="1"/>
        <v/>
      </c>
    </row>
    <row r="15" spans="1:14" ht="14.4">
      <c r="A15" s="3"/>
      <c r="I15" s="3"/>
    </row>
    <row r="16" spans="1:14" ht="14.4">
      <c r="I16" s="3"/>
    </row>
    <row r="17" spans="1:9" ht="14.4">
      <c r="I17" s="3"/>
    </row>
    <row r="18" spans="1:9" ht="14.4">
      <c r="I18" s="3"/>
    </row>
    <row r="19" spans="1:9" ht="14.4">
      <c r="I19" s="3"/>
    </row>
    <row r="20" spans="1:9" ht="14.4">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7" workbookViewId="0">
      <selection activeCell="D24" sqref="D24"/>
    </sheetView>
  </sheetViews>
  <sheetFormatPr baseColWidth="10" defaultColWidth="12.59765625" defaultRowHeight="15" customHeight="1"/>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c r="A1" s="8" t="s">
        <v>20</v>
      </c>
      <c r="B1" s="3"/>
      <c r="C1" s="3"/>
      <c r="D1" s="3"/>
      <c r="E1" s="3"/>
      <c r="F1" s="3"/>
      <c r="G1" s="3"/>
      <c r="H1" s="3"/>
      <c r="I1" s="3"/>
      <c r="J1" s="3"/>
      <c r="K1" s="3"/>
      <c r="L1" s="3"/>
      <c r="M1" s="3"/>
      <c r="N1" s="3"/>
      <c r="O1" s="3"/>
      <c r="P1" s="3"/>
      <c r="Q1" s="3"/>
      <c r="R1" s="3"/>
      <c r="S1" s="3"/>
      <c r="T1" s="3"/>
      <c r="U1" s="3"/>
      <c r="V1" s="3"/>
      <c r="W1" s="3"/>
      <c r="X1" s="3"/>
      <c r="Y1" s="3"/>
    </row>
    <row r="2" spans="1:25" ht="35.4">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ht="14.4">
      <c r="A4" s="3"/>
      <c r="B4" s="3"/>
      <c r="C4" s="3"/>
      <c r="D4" s="3"/>
      <c r="E4" s="12"/>
      <c r="F4" s="3"/>
      <c r="G4" s="3"/>
      <c r="H4" s="3"/>
      <c r="I4" s="3"/>
      <c r="J4" s="3"/>
      <c r="K4" s="3"/>
      <c r="L4" s="3"/>
      <c r="M4" s="3"/>
      <c r="N4" s="3"/>
      <c r="O4" s="3"/>
      <c r="P4" s="3"/>
      <c r="Q4" s="3"/>
      <c r="R4" s="3"/>
      <c r="S4" s="3"/>
      <c r="T4" s="3"/>
      <c r="U4" s="3"/>
      <c r="V4" s="3"/>
      <c r="W4" s="3"/>
      <c r="X4" s="3"/>
      <c r="Y4" s="3"/>
    </row>
    <row r="5" spans="1:25" ht="14.4">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ht="14.4">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ht="14.4">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c r="A10" s="18" t="s">
        <v>28</v>
      </c>
      <c r="B10" s="19">
        <f>SUMIFS(BV_Data_An_Cour!$AN:$AN,BV_Data_An_Cour!$AP:$AP,$A$1,BV_Data_An_Cour!$AQ:$AQ,$A10)</f>
        <v>245621.21000000002</v>
      </c>
      <c r="C10" s="14"/>
      <c r="D10" s="18" t="s">
        <v>29</v>
      </c>
      <c r="E10" s="19">
        <f>-SUMIFS(BV_Data_An_Cour!$AN:$AN,BV_Data_An_Cour!$AP:$AP,$A$1,BV_Data_An_Cour!$AQ:$AQ,$D10)</f>
        <v>776778.81</v>
      </c>
      <c r="F10" s="3"/>
      <c r="G10" s="3"/>
      <c r="H10" s="3"/>
      <c r="I10" s="3"/>
      <c r="J10" s="3"/>
      <c r="K10" s="3"/>
      <c r="L10" s="3"/>
      <c r="M10" s="3"/>
      <c r="N10" s="3"/>
      <c r="O10" s="3"/>
      <c r="P10" s="3"/>
      <c r="Q10" s="3"/>
      <c r="R10" s="3"/>
      <c r="S10" s="3"/>
      <c r="T10" s="3"/>
      <c r="U10" s="3"/>
      <c r="V10" s="3"/>
      <c r="W10" s="3"/>
      <c r="X10" s="3"/>
      <c r="Y10" s="3"/>
    </row>
    <row r="11" spans="1:25" ht="14.4">
      <c r="A11" s="18" t="s">
        <v>30</v>
      </c>
      <c r="B11" s="19">
        <f>SUMIFS(BV_Data_An_Cour!$AN:$AN,BV_Data_An_Cour!$AP:$AP,$A$1,BV_Data_An_Cour!$AQ:$AQ,$A11)</f>
        <v>493959.06</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ht="14.4">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ht="14.4">
      <c r="A15" s="18" t="s">
        <v>38</v>
      </c>
      <c r="B15" s="19">
        <f>SUMIFS(BV_Data_An_Cour!$AN:$AN,BV_Data_An_Cour!$AP:$AP,$A$1,BV_Data_An_Cour!$AQ:$AQ,$A15)</f>
        <v>1220833.02</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ht="14.4">
      <c r="A16" s="15" t="s">
        <v>40</v>
      </c>
      <c r="B16" s="16">
        <f>+SUM(B8:B15)</f>
        <v>16815131.190000001</v>
      </c>
      <c r="C16" s="17"/>
      <c r="D16" s="15" t="s">
        <v>41</v>
      </c>
      <c r="E16" s="16">
        <f>+SUM(E10:E15)</f>
        <v>7907697.7800000003</v>
      </c>
      <c r="F16" s="3"/>
      <c r="G16" s="3"/>
      <c r="H16" s="3"/>
      <c r="I16" s="3"/>
      <c r="J16" s="3"/>
      <c r="K16" s="3"/>
      <c r="L16" s="3"/>
      <c r="M16" s="3"/>
      <c r="N16" s="3"/>
      <c r="O16" s="3"/>
      <c r="P16" s="3"/>
      <c r="Q16" s="3"/>
      <c r="R16" s="3"/>
      <c r="S16" s="3"/>
      <c r="T16" s="3"/>
      <c r="U16" s="3"/>
      <c r="V16" s="3"/>
      <c r="W16" s="3"/>
      <c r="X16" s="3"/>
      <c r="Y16" s="3"/>
    </row>
    <row r="17" spans="1:25" ht="14.4">
      <c r="A17" s="18"/>
      <c r="B17" s="19"/>
      <c r="C17" s="14"/>
      <c r="D17" s="20"/>
      <c r="E17" s="19"/>
      <c r="F17" s="3"/>
      <c r="G17" s="3"/>
      <c r="H17" s="3"/>
      <c r="I17" s="3"/>
      <c r="J17" s="3"/>
      <c r="K17" s="3"/>
      <c r="L17" s="3"/>
      <c r="M17" s="3"/>
      <c r="N17" s="3"/>
      <c r="O17" s="3"/>
      <c r="P17" s="3"/>
      <c r="Q17" s="3"/>
      <c r="R17" s="3"/>
      <c r="S17" s="3"/>
      <c r="T17" s="3"/>
      <c r="U17" s="3"/>
      <c r="V17" s="3"/>
      <c r="W17" s="3"/>
      <c r="X17" s="3"/>
      <c r="Y17" s="3"/>
    </row>
    <row r="18" spans="1:25" ht="14.4">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ht="14.4">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ht="14.4">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-3646155.5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32493.530000000002</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-2985618.64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872842.21</v>
      </c>
      <c r="C30" s="17"/>
      <c r="D30" s="21" t="s">
        <v>59</v>
      </c>
      <c r="E30" s="22">
        <f>+E5+E7+E16+E20+E28</f>
        <v>28431017.120000001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43225347.149999999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33293270.120000001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10535647.140000001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10535883.140000001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43829153.25</v>
      </c>
      <c r="C56" s="17"/>
      <c r="D56" s="21" t="s">
        <v>87</v>
      </c>
      <c r="E56" s="22">
        <f>+E53+E45</f>
        <v>43829153.260000005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c r="A6" s="36"/>
      <c r="B6" s="666" t="s">
        <v>2</v>
      </c>
      <c r="C6" s="1268" t="s">
        <v>1101</v>
      </c>
      <c r="D6" s="1269"/>
      <c r="E6" s="127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399999999999999">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8">
        <v>2021</v>
      </c>
      <c r="D94" s="1269"/>
      <c r="E94" s="127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8"/>
      <c r="D173" s="1269"/>
      <c r="E173" s="127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8"/>
      <c r="D241" s="1269"/>
      <c r="E241" s="127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8"/>
      <c r="D296" s="1269"/>
      <c r="E296" s="127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8"/>
      <c r="D361" s="1269"/>
      <c r="E361" s="127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8"/>
      <c r="D407" s="1269"/>
      <c r="E407" s="127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59765625" defaultRowHeight="15" customHeight="1"/>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6"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399999999999999">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399999999999999">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399999999999999">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399999999999999">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399999999999999">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399999999999999">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399999999999999">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399999999999999">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399999999999999">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1">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399999999999999">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1">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399999999999999">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1">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59765625" defaultRowHeight="15" customHeight="1"/>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ht="14.4">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71" t="s">
        <v>224</v>
      </c>
      <c r="B4" s="127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72"/>
      <c r="B5" s="1272"/>
      <c r="C5" s="1273" t="s">
        <v>244</v>
      </c>
      <c r="D5" s="127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59765625" defaultRowHeight="15" customHeight="1"/>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bestFit="1" customWidth="1"/>
    <col min="14" max="14" width="12.59765625" customWidth="1"/>
    <col min="15" max="15" width="13.1992187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59765625" defaultRowHeight="15" customHeight="1"/>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bestFit="1" customWidth="1"/>
    <col min="12" max="12" width="13.19921875" customWidth="1"/>
    <col min="13" max="13" width="13.699218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59765625" defaultRowHeight="15" customHeight="1"/>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c r="A1" s="3"/>
      <c r="B1" s="1278" t="str">
        <f>Parametres!$B$1&amp;" "&amp;"2 pager"&amp;" "&amp;Parametres!$B$3&amp;" "&amp;Parametres!$B$4</f>
        <v>Ste-Marie Auto 2 pager Aout 2026</v>
      </c>
      <c r="C1" s="1279"/>
      <c r="D1" s="1279"/>
      <c r="E1" s="1279"/>
      <c r="F1" s="1279"/>
      <c r="G1" s="1279"/>
      <c r="H1" s="1279"/>
      <c r="I1" s="1279"/>
      <c r="J1" s="1279"/>
      <c r="K1" s="3"/>
      <c r="L1" s="3"/>
      <c r="M1" s="3"/>
      <c r="N1" s="3"/>
      <c r="O1" s="3"/>
      <c r="P1" s="3"/>
      <c r="Q1" s="3"/>
      <c r="R1" s="3"/>
      <c r="S1" s="3"/>
      <c r="T1" s="3"/>
      <c r="U1" s="3"/>
      <c r="V1" s="3"/>
      <c r="W1" s="3"/>
    </row>
    <row r="2" spans="1:23" ht="14.4">
      <c r="A2" s="3"/>
      <c r="B2" s="30"/>
      <c r="C2" s="3"/>
      <c r="D2" s="3"/>
      <c r="E2" s="3"/>
      <c r="F2" s="3"/>
      <c r="G2" s="3"/>
      <c r="H2" s="3"/>
      <c r="I2" s="3"/>
      <c r="J2" s="3"/>
      <c r="K2" s="3"/>
      <c r="L2" s="3"/>
      <c r="M2" s="3"/>
      <c r="N2" s="3"/>
      <c r="O2" s="3"/>
      <c r="P2" s="3"/>
      <c r="Q2" s="3"/>
      <c r="R2" s="3"/>
      <c r="S2" s="3"/>
      <c r="T2" s="3"/>
      <c r="U2" s="3"/>
      <c r="V2" s="3"/>
      <c r="W2" s="3"/>
    </row>
    <row r="3" spans="1:23" ht="14.4">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75" t="s">
        <v>1088</v>
      </c>
      <c r="K4" s="3"/>
      <c r="L4" s="3"/>
      <c r="M4" s="3"/>
      <c r="N4" s="3"/>
      <c r="O4" s="3"/>
      <c r="P4" s="3"/>
      <c r="Q4" s="3"/>
      <c r="R4" s="3"/>
      <c r="S4" s="3"/>
      <c r="T4" s="3"/>
      <c r="U4" s="3"/>
      <c r="V4" s="3"/>
      <c r="W4" s="3"/>
    </row>
    <row r="5" spans="1:23" ht="14.4">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76"/>
      <c r="K5" s="3"/>
      <c r="L5" s="3"/>
      <c r="M5" s="3"/>
      <c r="N5" s="3"/>
      <c r="O5" s="3"/>
      <c r="P5" s="3"/>
      <c r="Q5" s="3"/>
      <c r="R5" s="3"/>
      <c r="S5" s="3"/>
      <c r="T5" s="3"/>
      <c r="U5" s="3"/>
      <c r="V5" s="3"/>
      <c r="W5" s="3"/>
    </row>
    <row r="6" spans="1:23" ht="14.4">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76"/>
      <c r="K6" s="3"/>
      <c r="L6" s="3"/>
      <c r="M6" s="3"/>
      <c r="N6" s="3"/>
      <c r="O6" s="3"/>
      <c r="P6" s="3"/>
      <c r="Q6" s="3"/>
      <c r="R6" s="3"/>
      <c r="S6" s="3"/>
      <c r="T6" s="3"/>
      <c r="U6" s="3"/>
      <c r="V6" s="3"/>
      <c r="W6" s="3"/>
    </row>
    <row r="7" spans="1:23" ht="14.4">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76"/>
      <c r="K7" s="3"/>
      <c r="L7" s="3"/>
      <c r="M7" s="3"/>
      <c r="N7" s="3"/>
      <c r="O7" s="3"/>
      <c r="P7" s="3"/>
      <c r="Q7" s="3"/>
      <c r="R7" s="3"/>
      <c r="S7" s="3"/>
      <c r="T7" s="3"/>
      <c r="U7" s="3"/>
      <c r="V7" s="3"/>
      <c r="W7" s="3"/>
    </row>
    <row r="8" spans="1:23" ht="14.4">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76"/>
      <c r="K8" s="3"/>
      <c r="L8" s="3"/>
      <c r="M8" s="3"/>
      <c r="N8" s="3"/>
      <c r="O8" s="3"/>
      <c r="P8" s="3"/>
      <c r="Q8" s="3"/>
      <c r="R8" s="3"/>
      <c r="S8" s="3"/>
      <c r="T8" s="3"/>
      <c r="U8" s="3"/>
      <c r="V8" s="3"/>
      <c r="W8" s="3"/>
    </row>
    <row r="9" spans="1:23" ht="14.4">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76"/>
      <c r="K9" s="3"/>
      <c r="L9" s="3"/>
      <c r="M9" s="3"/>
      <c r="N9" s="3"/>
      <c r="O9" s="3"/>
      <c r="P9" s="3"/>
      <c r="Q9" s="3"/>
      <c r="R9" s="3"/>
      <c r="S9" s="3"/>
      <c r="T9" s="3"/>
      <c r="U9" s="3"/>
      <c r="V9" s="3"/>
      <c r="W9" s="3"/>
    </row>
    <row r="10" spans="1:23" ht="14.4">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76"/>
      <c r="K10" s="3"/>
      <c r="L10" s="3"/>
      <c r="M10" s="3"/>
      <c r="N10" s="3"/>
      <c r="O10" s="3"/>
      <c r="P10" s="3"/>
      <c r="Q10" s="3"/>
      <c r="R10" s="3"/>
      <c r="S10" s="3"/>
      <c r="T10" s="3"/>
      <c r="U10" s="3"/>
      <c r="V10" s="3"/>
      <c r="W10" s="3"/>
    </row>
    <row r="11" spans="1:23" ht="14.4">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76"/>
      <c r="K11" s="3"/>
      <c r="L11" s="3"/>
      <c r="M11" s="3"/>
      <c r="N11" s="3"/>
      <c r="O11" s="3"/>
      <c r="P11" s="3"/>
      <c r="Q11" s="3"/>
      <c r="R11" s="3"/>
      <c r="S11" s="3"/>
      <c r="T11" s="3"/>
      <c r="U11" s="3"/>
      <c r="V11" s="3"/>
      <c r="W11" s="3"/>
    </row>
    <row r="12" spans="1:23" ht="14.4">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76"/>
      <c r="K12" s="3"/>
      <c r="L12" s="3"/>
      <c r="M12" s="3"/>
      <c r="N12" s="3"/>
      <c r="O12" s="3"/>
      <c r="P12" s="3"/>
      <c r="Q12" s="3"/>
      <c r="R12" s="3"/>
      <c r="S12" s="3"/>
      <c r="T12" s="3"/>
      <c r="U12" s="3"/>
      <c r="V12" s="3"/>
      <c r="W12" s="3"/>
    </row>
    <row r="13" spans="1:23" ht="14.4">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76"/>
      <c r="K13" s="3"/>
      <c r="L13" s="3"/>
      <c r="M13" s="3"/>
      <c r="N13" s="3"/>
      <c r="O13" s="3"/>
      <c r="P13" s="3"/>
      <c r="Q13" s="3"/>
      <c r="R13" s="3"/>
      <c r="S13" s="3"/>
      <c r="T13" s="3"/>
      <c r="U13" s="3"/>
      <c r="V13" s="3"/>
      <c r="W13" s="3"/>
    </row>
    <row r="14" spans="1:23" ht="14.4">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76"/>
      <c r="K14" s="3"/>
      <c r="L14" s="3"/>
      <c r="M14" s="3"/>
      <c r="N14" s="3"/>
      <c r="O14" s="3"/>
      <c r="P14" s="3"/>
      <c r="Q14" s="3"/>
      <c r="R14" s="3"/>
      <c r="S14" s="3"/>
      <c r="T14" s="3"/>
      <c r="U14" s="3"/>
      <c r="V14" s="3"/>
      <c r="W14" s="3"/>
    </row>
    <row r="15" spans="1:23" ht="14.4">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7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7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76"/>
      <c r="K17" s="3"/>
      <c r="L17" s="3"/>
      <c r="M17" s="3"/>
      <c r="N17" s="3"/>
      <c r="O17" s="3"/>
      <c r="P17" s="3"/>
      <c r="Q17" s="3"/>
      <c r="R17" s="3"/>
      <c r="S17" s="3"/>
      <c r="T17" s="3"/>
      <c r="U17" s="3"/>
      <c r="V17" s="3"/>
      <c r="W17" s="3"/>
    </row>
    <row r="18" spans="1:23" ht="14.4">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7"/>
      <c r="K18" s="3"/>
      <c r="L18" s="3"/>
      <c r="M18" s="3"/>
      <c r="N18" s="3"/>
      <c r="O18" s="3"/>
      <c r="P18" s="3"/>
      <c r="Q18" s="3"/>
      <c r="R18" s="3"/>
      <c r="S18" s="3"/>
      <c r="T18" s="3"/>
      <c r="U18" s="3"/>
      <c r="V18" s="3"/>
      <c r="W18" s="3"/>
    </row>
    <row r="19" spans="1:23" ht="14.4">
      <c r="A19" s="3"/>
      <c r="B19" s="3"/>
      <c r="C19" s="184"/>
      <c r="D19" s="184"/>
      <c r="E19" s="184"/>
      <c r="F19" s="3"/>
      <c r="G19" s="3"/>
      <c r="H19" s="3"/>
      <c r="I19" s="3"/>
      <c r="J19" s="3"/>
      <c r="K19" s="3"/>
      <c r="L19" s="3"/>
      <c r="M19" s="3"/>
      <c r="N19" s="3"/>
      <c r="O19" s="3"/>
      <c r="P19" s="3"/>
      <c r="Q19" s="3"/>
      <c r="R19" s="3"/>
      <c r="S19" s="3"/>
      <c r="T19" s="3"/>
      <c r="U19" s="3"/>
      <c r="V19" s="3"/>
      <c r="W19" s="3"/>
    </row>
    <row r="20" spans="1:23" ht="14.4">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75"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76"/>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76"/>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76"/>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76"/>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76"/>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76"/>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76"/>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76"/>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76"/>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7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7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7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7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7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7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7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7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76"/>
      <c r="K42" s="3"/>
      <c r="L42" s="3"/>
      <c r="M42" s="3"/>
      <c r="N42" s="3"/>
      <c r="O42" s="3"/>
      <c r="P42" s="3"/>
      <c r="Q42" s="3"/>
      <c r="R42" s="3"/>
      <c r="S42" s="3"/>
      <c r="T42" s="3"/>
      <c r="U42" s="3"/>
      <c r="V42" s="3"/>
      <c r="W42" s="3"/>
    </row>
    <row r="43" spans="1:23" ht="15.75" customHeight="1">
      <c r="A43" s="3"/>
      <c r="B43" s="160" t="s">
        <v>306</v>
      </c>
      <c r="C43" s="161">
        <f>+Print_Mois!$L$284</f>
        <v>60881.000000000007</v>
      </c>
      <c r="D43" s="161" t="e">
        <f>+Print_Mois!$F$284</f>
        <v>#N/A</v>
      </c>
      <c r="E43" s="161">
        <f>+Print_Mois!$Q$284</f>
        <v>100507.83999999998</v>
      </c>
      <c r="F43" s="162" t="str">
        <f t="shared" si="22"/>
        <v/>
      </c>
      <c r="G43" s="163">
        <f t="shared" si="23"/>
        <v>-39626.839999999975</v>
      </c>
      <c r="H43" s="165" t="str">
        <f t="shared" si="24"/>
        <v/>
      </c>
      <c r="I43" s="166">
        <f t="shared" si="25"/>
        <v>-0.39426615873945736</v>
      </c>
      <c r="J43" s="1276"/>
      <c r="K43" s="3"/>
      <c r="L43" s="3"/>
      <c r="M43" s="3"/>
      <c r="N43" s="3"/>
      <c r="O43" s="3"/>
      <c r="P43" s="3"/>
      <c r="Q43" s="3"/>
      <c r="R43" s="3"/>
      <c r="S43" s="3"/>
      <c r="T43" s="3"/>
      <c r="U43" s="3"/>
      <c r="V43" s="3"/>
      <c r="W43" s="3"/>
    </row>
    <row r="44" spans="1:23" ht="15.75" customHeight="1">
      <c r="A44" s="3"/>
      <c r="B44" s="176" t="s">
        <v>307</v>
      </c>
      <c r="C44" s="161">
        <f>+SUM(Print_Mois!$L$272:$L$278)</f>
        <v>25819.899999999994</v>
      </c>
      <c r="D44" s="161" t="e">
        <f>+SUM(Print_Mois!$F$272:$F$278)</f>
        <v>#N/A</v>
      </c>
      <c r="E44" s="161">
        <f>+SUM(Print_Mois!$Q$272:$Q$278)</f>
        <v>67019.72</v>
      </c>
      <c r="F44" s="162" t="str">
        <f t="shared" si="22"/>
        <v/>
      </c>
      <c r="G44" s="163">
        <f t="shared" si="23"/>
        <v>-41199.820000000007</v>
      </c>
      <c r="H44" s="165" t="str">
        <f t="shared" si="24"/>
        <v/>
      </c>
      <c r="I44" s="166">
        <f t="shared" si="25"/>
        <v>-0.61474175063697678</v>
      </c>
      <c r="J44" s="1276"/>
      <c r="K44" s="3"/>
      <c r="L44" s="3"/>
      <c r="M44" s="3"/>
      <c r="N44" s="3"/>
      <c r="O44" s="3"/>
      <c r="P44" s="3"/>
      <c r="Q44" s="3"/>
      <c r="R44" s="3"/>
      <c r="S44" s="3"/>
      <c r="T44" s="3"/>
      <c r="U44" s="3"/>
      <c r="V44" s="3"/>
      <c r="W44" s="3"/>
    </row>
    <row r="45" spans="1:23" ht="14.4">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76"/>
      <c r="K45" s="3"/>
      <c r="L45" s="3"/>
      <c r="M45" s="3"/>
      <c r="N45" s="3"/>
      <c r="O45" s="3"/>
      <c r="P45" s="3"/>
      <c r="Q45" s="3"/>
      <c r="R45" s="3"/>
      <c r="S45" s="3"/>
      <c r="T45" s="3"/>
      <c r="U45" s="3"/>
      <c r="V45" s="3"/>
      <c r="W45" s="3"/>
    </row>
    <row r="46" spans="1:23" ht="14.4">
      <c r="A46" s="3"/>
      <c r="B46" s="160" t="s">
        <v>309</v>
      </c>
      <c r="C46" s="164">
        <f t="shared" ref="C46:E46" si="26">+C43/C38</f>
        <v>0.32573713402257792</v>
      </c>
      <c r="D46" s="164" t="e">
        <f t="shared" si="26"/>
        <v>#N/A</v>
      </c>
      <c r="E46" s="164">
        <f t="shared" si="26"/>
        <v>0.46715055971194164</v>
      </c>
      <c r="F46" s="167" t="str">
        <f t="shared" si="22"/>
        <v/>
      </c>
      <c r="G46" s="168">
        <f t="shared" si="23"/>
        <v>-0.14141342568936371</v>
      </c>
      <c r="H46" s="165" t="str">
        <f t="shared" si="24"/>
        <v/>
      </c>
      <c r="I46" s="166">
        <f t="shared" si="25"/>
        <v>-0.30271488013749415</v>
      </c>
      <c r="J46" s="1276"/>
      <c r="K46" s="3"/>
      <c r="L46" s="3"/>
      <c r="M46" s="3"/>
      <c r="N46" s="3"/>
      <c r="O46" s="3"/>
      <c r="P46" s="3"/>
      <c r="Q46" s="3"/>
      <c r="R46" s="3"/>
      <c r="S46" s="3"/>
      <c r="T46" s="3"/>
      <c r="U46" s="3"/>
      <c r="V46" s="3"/>
      <c r="W46" s="3"/>
    </row>
    <row r="47" spans="1:23" ht="14.4">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7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7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7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7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7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76"/>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7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7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76"/>
      <c r="K58" s="3"/>
      <c r="L58" s="3"/>
      <c r="M58" s="3"/>
      <c r="N58" s="3"/>
      <c r="O58" s="3"/>
      <c r="P58" s="3"/>
      <c r="Q58" s="3"/>
      <c r="R58" s="3"/>
      <c r="S58" s="3"/>
      <c r="T58" s="3"/>
      <c r="U58" s="3"/>
      <c r="V58" s="3"/>
      <c r="W58" s="3"/>
    </row>
    <row r="59" spans="1:23" ht="15.75" customHeight="1">
      <c r="A59" s="3"/>
      <c r="B59" s="200" t="s">
        <v>118</v>
      </c>
      <c r="C59" s="179">
        <f>+Print_Mois!$L$396</f>
        <v>12944.440000000002</v>
      </c>
      <c r="D59" s="179" t="e">
        <f>+Print_Mois!$F$396</f>
        <v>#N/A</v>
      </c>
      <c r="E59" s="179">
        <f>+Print_Mois!$Q$396</f>
        <v>17580.00999999998</v>
      </c>
      <c r="F59" s="180" t="str">
        <f t="shared" si="27"/>
        <v/>
      </c>
      <c r="G59" s="181">
        <f t="shared" si="28"/>
        <v>-4635.5699999999779</v>
      </c>
      <c r="H59" s="182" t="str">
        <f t="shared" si="29"/>
        <v/>
      </c>
      <c r="I59" s="183">
        <f t="shared" si="30"/>
        <v>-0.26368415035031167</v>
      </c>
      <c r="J59" s="127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0.42730883408680265</v>
      </c>
      <c r="D62" s="164" t="e">
        <f>+Print_Mois!$Z$520/Print_Mois!$Z$494</f>
        <v>#N/A</v>
      </c>
      <c r="E62" s="164">
        <f>+Print_Mois!$AL$520/Print_Mois!$AL$494</f>
        <v>0.41600824761487926</v>
      </c>
      <c r="F62" s="167" t="str">
        <f t="shared" ref="F62:G67" si="32">+IFERROR($C62-D62,"")</f>
        <v/>
      </c>
      <c r="G62" s="168">
        <f t="shared" si="32"/>
        <v>1.1300586471923391E-2</v>
      </c>
      <c r="H62" s="165" t="str">
        <f t="shared" ref="H62:H67" si="33">+IFERROR(F62/ABS($D62),"")</f>
        <v/>
      </c>
      <c r="I62" s="166">
        <f t="shared" ref="I62:I67" si="34">+IFERROR(G62/ABS($E62),"")</f>
        <v>2.7164332766750669E-2</v>
      </c>
      <c r="J62" s="127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76"/>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76"/>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76"/>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76"/>
      <c r="K66" s="3"/>
      <c r="L66" s="3"/>
      <c r="M66" s="3"/>
      <c r="N66" s="3"/>
      <c r="O66" s="3"/>
      <c r="P66" s="3"/>
      <c r="Q66" s="3"/>
      <c r="R66" s="3"/>
      <c r="S66" s="3"/>
      <c r="T66" s="3"/>
      <c r="U66" s="3"/>
      <c r="V66" s="3"/>
      <c r="W66" s="3"/>
    </row>
    <row r="67" spans="1:23" ht="14.4">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7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38717.230000000025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17477.679999999855</v>
      </c>
      <c r="H70" s="165" t="str">
        <f t="shared" ref="H70:H77" si="36">+IFERROR(F70/ABS($D70),"")</f>
        <v/>
      </c>
      <c r="I70" s="166">
        <f t="shared" ref="I70:I77" si="37">+IFERROR(G70/ABS($E70),"")</f>
        <v>0.82288372399602228</v>
      </c>
      <c r="J70" s="1275" t="s">
        <v>1092</v>
      </c>
      <c r="K70" s="3"/>
      <c r="L70" s="3"/>
      <c r="M70" s="3"/>
      <c r="N70" s="3"/>
      <c r="O70" s="3"/>
      <c r="P70" s="3"/>
      <c r="Q70" s="3"/>
      <c r="R70" s="3"/>
      <c r="S70" s="3"/>
      <c r="T70" s="3"/>
      <c r="U70" s="3"/>
      <c r="V70" s="3"/>
      <c r="W70" s="3"/>
    </row>
    <row r="71" spans="1:23" ht="15.75" customHeight="1">
      <c r="A71" s="3"/>
      <c r="B71" s="176" t="s">
        <v>325</v>
      </c>
      <c r="C71" s="164">
        <f>+C70/Print_Mois!$AF$494</f>
        <v>8.0570445437025143E-2</v>
      </c>
      <c r="D71" s="164" t="e">
        <f>+D70/Print_Mois!$Z$494</f>
        <v>#N/A</v>
      </c>
      <c r="E71" s="164">
        <f>+E70/Print_Mois!$AL$494</f>
        <v>2.6914321346648406E-2</v>
      </c>
      <c r="F71" s="167" t="str">
        <f t="shared" si="35"/>
        <v/>
      </c>
      <c r="G71" s="168">
        <f t="shared" si="35"/>
        <v>5.3656124090376733E-2</v>
      </c>
      <c r="H71" s="165" t="str">
        <f t="shared" si="36"/>
        <v/>
      </c>
      <c r="I71" s="166">
        <f t="shared" si="37"/>
        <v>1.9935900816261316</v>
      </c>
      <c r="J71" s="127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398994.37000000005</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-209486.1999999999</v>
      </c>
      <c r="H72" s="165" t="str">
        <f t="shared" si="36"/>
        <v/>
      </c>
      <c r="I72" s="166">
        <f t="shared" si="37"/>
        <v>-0.34427755022645984</v>
      </c>
      <c r="J72" s="1276"/>
      <c r="K72" s="3"/>
      <c r="L72" s="3"/>
      <c r="M72" s="3"/>
      <c r="N72" s="3"/>
      <c r="O72" s="3"/>
      <c r="P72" s="3"/>
      <c r="Q72" s="3"/>
      <c r="R72" s="3"/>
      <c r="S72" s="3"/>
      <c r="T72" s="3"/>
      <c r="U72" s="3"/>
      <c r="V72" s="3"/>
      <c r="W72" s="3"/>
    </row>
    <row r="73" spans="1:23" ht="15.75" customHeight="1">
      <c r="A73" s="3"/>
      <c r="B73" s="176" t="s">
        <v>327</v>
      </c>
      <c r="C73" s="164">
        <f>+C72/Print_Mois!$AF$494</f>
        <v>0.83030614839349837</v>
      </c>
      <c r="D73" s="164" t="e">
        <f>+D72/Print_Mois!$Z$494</f>
        <v>#N/A</v>
      </c>
      <c r="E73" s="164">
        <f>+E72/Print_Mois!$AL$494</f>
        <v>0.77105407573002527</v>
      </c>
      <c r="F73" s="167" t="str">
        <f t="shared" si="35"/>
        <v/>
      </c>
      <c r="G73" s="168">
        <f t="shared" si="35"/>
        <v>5.9252072663473099E-2</v>
      </c>
      <c r="H73" s="165" t="str">
        <f t="shared" si="36"/>
        <v/>
      </c>
      <c r="I73" s="166">
        <f t="shared" si="37"/>
        <v>7.6845547580270429E-2</v>
      </c>
      <c r="J73" s="1276"/>
      <c r="K73" s="3"/>
      <c r="L73" s="3"/>
      <c r="M73" s="3"/>
      <c r="N73" s="3"/>
      <c r="O73" s="3"/>
      <c r="P73" s="3"/>
      <c r="Q73" s="3"/>
      <c r="R73" s="3"/>
      <c r="S73" s="3"/>
      <c r="T73" s="3"/>
      <c r="U73" s="3"/>
      <c r="V73" s="3"/>
      <c r="W73" s="3"/>
    </row>
    <row r="74" spans="1:23" ht="15.75" customHeight="1">
      <c r="A74" s="1"/>
      <c r="B74" s="206" t="s">
        <v>328</v>
      </c>
      <c r="C74" s="195">
        <f>+Print_Mois!$AF$570+Print_Mois!$AF$502</f>
        <v>98612.06999999698</v>
      </c>
      <c r="D74" s="195" t="e">
        <f>+Print_Mois!$Z$570+Print_Mois!$Z$502</f>
        <v>#N/A</v>
      </c>
      <c r="E74" s="195">
        <f>+Print_Mois!$AL$570+Print_Mois!$AL$502</f>
        <v>165698.41999998913</v>
      </c>
      <c r="F74" s="196" t="str">
        <f t="shared" si="35"/>
        <v/>
      </c>
      <c r="G74" s="197">
        <f t="shared" si="35"/>
        <v>-67086.349999992148</v>
      </c>
      <c r="H74" s="198" t="str">
        <f t="shared" si="36"/>
        <v/>
      </c>
      <c r="I74" s="199">
        <f t="shared" si="37"/>
        <v>-0.40487018524374913</v>
      </c>
      <c r="J74" s="1276"/>
      <c r="K74" s="1"/>
      <c r="L74" s="1"/>
      <c r="M74" s="1"/>
      <c r="N74" s="1"/>
      <c r="O74" s="1"/>
      <c r="P74" s="1"/>
      <c r="Q74" s="1"/>
      <c r="R74" s="1"/>
      <c r="S74" s="1"/>
      <c r="T74" s="1"/>
      <c r="U74" s="1"/>
      <c r="V74" s="1"/>
      <c r="W74" s="1"/>
    </row>
    <row r="75" spans="1:23" ht="15.75" customHeight="1">
      <c r="A75" s="3"/>
      <c r="B75" s="160" t="s">
        <v>329</v>
      </c>
      <c r="C75" s="222">
        <f>+C74/Print_Mois!$AF$493</f>
        <v>7.1582672900913809E-3</v>
      </c>
      <c r="D75" s="222" t="e">
        <f>+D74/Print_Mois!$Z$493</f>
        <v>#N/A</v>
      </c>
      <c r="E75" s="222">
        <f>+E74/Print_Mois!$AL$493</f>
        <v>8.8212394626782011E-3</v>
      </c>
      <c r="F75" s="167" t="str">
        <f t="shared" si="35"/>
        <v/>
      </c>
      <c r="G75" s="168">
        <f t="shared" si="35"/>
        <v>-1.6629721725868202E-3</v>
      </c>
      <c r="H75" s="165" t="str">
        <f t="shared" si="36"/>
        <v/>
      </c>
      <c r="I75" s="166">
        <f t="shared" si="37"/>
        <v>-0.18851910546388548</v>
      </c>
      <c r="J75" s="1276"/>
      <c r="K75" s="3"/>
      <c r="L75" s="3"/>
      <c r="M75" s="3"/>
      <c r="N75" s="3"/>
      <c r="O75" s="3"/>
      <c r="P75" s="3"/>
      <c r="Q75" s="3"/>
      <c r="R75" s="3"/>
      <c r="S75" s="3"/>
      <c r="T75" s="3"/>
      <c r="U75" s="3"/>
      <c r="V75" s="3"/>
      <c r="W75" s="3"/>
    </row>
    <row r="76" spans="1:23" ht="15.75" customHeight="1">
      <c r="A76" s="1"/>
      <c r="B76" s="206" t="s">
        <v>330</v>
      </c>
      <c r="C76" s="195">
        <f>N9+Print_Mois!$AF$585</f>
        <v>22337.059999996934</v>
      </c>
      <c r="D76" s="195" t="e">
        <f>+Print_Mois!$Z$585</f>
        <v>#N/A</v>
      </c>
      <c r="E76" s="195">
        <f>+Print_Mois!$AL$585</f>
        <v>57695.159999989126</v>
      </c>
      <c r="F76" s="196" t="str">
        <f t="shared" si="35"/>
        <v/>
      </c>
      <c r="G76" s="197">
        <f t="shared" si="35"/>
        <v>-35358.099999992191</v>
      </c>
      <c r="H76" s="198" t="str">
        <f t="shared" si="36"/>
        <v/>
      </c>
      <c r="I76" s="199">
        <f t="shared" si="37"/>
        <v>-0.61284343435391908</v>
      </c>
      <c r="J76" s="1276"/>
      <c r="K76" s="1"/>
      <c r="L76" s="1"/>
      <c r="M76" s="1"/>
      <c r="N76" s="1"/>
      <c r="O76" s="1"/>
      <c r="P76" s="1"/>
      <c r="Q76" s="1"/>
      <c r="R76" s="1"/>
      <c r="S76" s="1"/>
      <c r="T76" s="1"/>
      <c r="U76" s="1"/>
      <c r="V76" s="1"/>
      <c r="W76" s="1"/>
    </row>
    <row r="77" spans="1:23" ht="15.75" customHeight="1">
      <c r="A77" s="3"/>
      <c r="B77" s="178" t="s">
        <v>331</v>
      </c>
      <c r="C77" s="223">
        <f>+C76/Print_Mois!$AF$493</f>
        <v>1.6214510653187945E-3</v>
      </c>
      <c r="D77" s="223" t="e">
        <f>+D76/Print_Mois!$Z$493</f>
        <v>#N/A</v>
      </c>
      <c r="E77" s="223">
        <f>+E76/Print_Mois!$AL$493</f>
        <v>3.0715007553932636E-3</v>
      </c>
      <c r="F77" s="224" t="str">
        <f t="shared" si="35"/>
        <v/>
      </c>
      <c r="G77" s="225">
        <f t="shared" si="35"/>
        <v>-1.4500496900744691E-3</v>
      </c>
      <c r="H77" s="182" t="str">
        <f t="shared" si="36"/>
        <v/>
      </c>
      <c r="I77" s="183">
        <f t="shared" si="37"/>
        <v>-0.47209810628511795</v>
      </c>
      <c r="J77" s="127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39087.06999999698</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45859.059999996934</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22337.059999996934</v>
      </c>
      <c r="D87" s="662">
        <f>+Print_AAD!AF585</f>
        <v>1883699.1400000015</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J1" zoomScale="80" zoomScaleNormal="80" workbookViewId="0">
      <selection activeCell="U21" sqref="U21"/>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style="1050"/>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61"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6" thickTop="1">
      <c r="B3" s="38"/>
      <c r="C3" s="230"/>
      <c r="D3" s="1280" t="s">
        <v>339</v>
      </c>
      <c r="E3" s="1281"/>
      <c r="F3" s="1282"/>
      <c r="G3" s="1285"/>
      <c r="H3" s="1281"/>
      <c r="I3" s="1282"/>
      <c r="J3" s="1285" t="s">
        <v>340</v>
      </c>
      <c r="K3" s="1281"/>
      <c r="L3" s="1282"/>
      <c r="M3" s="1285" t="s">
        <v>668</v>
      </c>
      <c r="N3" s="1282"/>
      <c r="O3" s="1280" t="s">
        <v>341</v>
      </c>
      <c r="P3" s="1281"/>
      <c r="Q3" s="1282"/>
      <c r="R3" s="1283" t="s">
        <v>670</v>
      </c>
      <c r="S3" s="1284"/>
      <c r="T3" s="35"/>
      <c r="U3" s="35"/>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399999999999999">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1">
      <c r="A13" s="5" t="s">
        <v>355</v>
      </c>
      <c r="B13" s="38" t="s">
        <v>88</v>
      </c>
      <c r="C13" s="249" t="s">
        <v>97</v>
      </c>
      <c r="D13" s="250" t="e">
        <f>+SUM(D6:D12)</f>
        <v>#N/A</v>
      </c>
      <c r="E13" s="250" t="e">
        <f>IF(D13&lt;=0,0,F13/D13)</f>
        <v>#N/A</v>
      </c>
      <c r="F13" s="251" t="e">
        <f>+SUM(F6:F12)</f>
        <v>#N/A</v>
      </c>
      <c r="G13" s="252"/>
      <c r="H13" s="250"/>
      <c r="I13" s="251"/>
      <c r="J13" s="1257">
        <f>+SUM(J6:J12)</f>
        <v>53</v>
      </c>
      <c r="K13" s="355">
        <f>IF(J13&lt;=0,0,L13/J13)</f>
        <v>1851.7266037735944</v>
      </c>
      <c r="L13" s="1267">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1">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1">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399999999999999">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1">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258">
        <f>SUMIFS(BV_Data_An_Cour!$AW:$AW,BV_Data_An_Cour!$AP:$AP,$B17,BV_Data_An_Cour!$AQ:$AQ,$C17,BV_Data_An_Cour!$AY:$AY,J$2)</f>
        <v>34</v>
      </c>
      <c r="K17" s="281">
        <f>IF(J17=0,0,L17/J17)</f>
        <v>596.08735294114138</v>
      </c>
      <c r="L17" s="1302">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1"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1"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1">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12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27470</v>
      </c>
      <c r="V24" s="1239">
        <f>L24-U24</f>
        <v>-92.329999999990832</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144429</v>
      </c>
      <c r="V27" s="1239">
        <f>L27-U27</f>
        <v>1357.1499999993248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399999999999999">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5"/>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9.84042036915036E-2</v>
      </c>
      <c r="L41" s="294">
        <f>SUM(L31:L40)</f>
        <v>14345.97000000003</v>
      </c>
      <c r="M41" s="296"/>
      <c r="N41" s="294" t="e">
        <f t="shared" si="10"/>
        <v>#N/A</v>
      </c>
      <c r="O41" s="295" t="s">
        <v>115</v>
      </c>
      <c r="P41" s="293">
        <f>Q41/Q$27</f>
        <v>0.14542895544912843</v>
      </c>
      <c r="Q41" s="294">
        <f>SUM(Q31:Q40)</f>
        <v>44538.480000000156</v>
      </c>
      <c r="R41" s="297"/>
      <c r="S41" s="294">
        <f t="shared" si="16"/>
        <v>-30192.510000000126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3903.1200000000026</v>
      </c>
      <c r="M44" s="233"/>
      <c r="N44" s="303" t="e">
        <f t="shared" si="10"/>
        <v>#N/A</v>
      </c>
      <c r="O44" s="233"/>
      <c r="P44" s="301"/>
      <c r="Q44" s="281">
        <f>SUMIFS(BV_Data_An_Prec!$AM:$AM,BV_Data_An_Prec!$AP:$AP,$B44,BV_Data_An_Prec!$AQ:$AQ,$C44,BV_Data_An_Prec!$AR:$AR,Q$2)</f>
        <v>5112.2000000000007</v>
      </c>
      <c r="R44" s="233"/>
      <c r="S44" s="303">
        <f t="shared" si="16"/>
        <v>-1209.0799999999981</v>
      </c>
      <c r="T44" s="35"/>
      <c r="U44" s="35"/>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0.2484083021603915</v>
      </c>
      <c r="L54" s="294">
        <f>+SUM(L42:L53)</f>
        <v>36214.489999999991</v>
      </c>
      <c r="M54" s="296"/>
      <c r="N54" s="294" t="e">
        <f>+SUM(N42:N53)</f>
        <v>#N/A</v>
      </c>
      <c r="O54" s="295" t="s">
        <v>115</v>
      </c>
      <c r="P54" s="293">
        <f>Q54/Q$27</f>
        <v>0.23029683049729666</v>
      </c>
      <c r="Q54" s="294">
        <f>+SUM(Q42:Q53)</f>
        <v>70529.76999999999</v>
      </c>
      <c r="R54" s="297"/>
      <c r="S54" s="294">
        <f>+SUM(S42:S53)</f>
        <v>-34315.280000000006</v>
      </c>
      <c r="T54" s="35"/>
      <c r="U54" s="35"/>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2"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62"/>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399999999999999"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399999999999999"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399999999999999"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0.14792077299524067</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0.49473327884713575</v>
      </c>
      <c r="L74" s="294">
        <f>L41+L54+L72</f>
        <v>72125.260000000024</v>
      </c>
      <c r="M74" s="296"/>
      <c r="N74" s="294" t="e">
        <f t="shared" ref="N74:N82" si="19">L74-F74</f>
        <v>#N/A</v>
      </c>
      <c r="O74" s="295" t="s">
        <v>115</v>
      </c>
      <c r="P74" s="293">
        <f>Q74/Q$27</f>
        <v>0.47825340067702271</v>
      </c>
      <c r="Q74" s="294">
        <f>Q41+Q54+Q72</f>
        <v>146467.94000000015</v>
      </c>
      <c r="R74" s="297"/>
      <c r="S74" s="294">
        <f>L74-Q74</f>
        <v>-74342.680000000124</v>
      </c>
      <c r="T74" s="35"/>
      <c r="U74" s="35"/>
      <c r="V74" s="38"/>
      <c r="W74" s="38"/>
      <c r="X74" s="38"/>
      <c r="Y74" s="38"/>
      <c r="Z74" s="38"/>
      <c r="AA74" s="38"/>
      <c r="AB74" s="38"/>
      <c r="AC74" s="38"/>
      <c r="AD74" s="38"/>
      <c r="AE74" s="38"/>
      <c r="AF74" s="38"/>
      <c r="AG74" s="38"/>
      <c r="AH74" s="38"/>
      <c r="AI74" s="38"/>
      <c r="AJ74" s="38"/>
      <c r="AK74" s="38"/>
      <c r="AL74" s="38"/>
      <c r="AM74" s="38"/>
      <c r="AN74" s="38"/>
    </row>
    <row r="75" spans="1:40" ht="16.2"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2"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125688.3299999993</v>
      </c>
      <c r="M85" s="958"/>
      <c r="N85" s="956" t="e">
        <f>N27-N41-N54-N72+N83</f>
        <v>#N/A</v>
      </c>
      <c r="O85" s="957"/>
      <c r="P85" s="955"/>
      <c r="Q85" s="956">
        <f>Q27-Q74+Q83</f>
        <v>185234.56999999136</v>
      </c>
      <c r="R85" s="959"/>
      <c r="S85" s="956">
        <f>S27-S41-S54-S72+S83</f>
        <v>-59546.23999999206</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1"/>
      <c r="F91" s="1282"/>
      <c r="G91" s="1285"/>
      <c r="H91" s="1281"/>
      <c r="I91" s="1282"/>
      <c r="J91" s="1285" t="s">
        <v>340</v>
      </c>
      <c r="K91" s="1281"/>
      <c r="L91" s="1282"/>
      <c r="M91" s="1285" t="s">
        <v>668</v>
      </c>
      <c r="N91" s="1282"/>
      <c r="O91" s="1280" t="s">
        <v>341</v>
      </c>
      <c r="P91" s="1281"/>
      <c r="Q91" s="1282"/>
      <c r="R91" s="1283" t="s">
        <v>670</v>
      </c>
      <c r="S91" s="1284"/>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7">
        <f>+J94+J95+J96</f>
        <v>24</v>
      </c>
      <c r="K97" s="305">
        <f>IF(J97&lt;=0,0,L97/J97)</f>
        <v>575.65166666666244</v>
      </c>
      <c r="L97" s="1267">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259">
        <f>SUMIFS(BV_Data_An_Cour!$AW:$AW,BV_Data_An_Cour!$AP:$AP,$B101,BV_Data_An_Cour!$AQ:$AQ,$C101,BV_Data_An_Cour!$AY:$AY,J$2)</f>
        <v>35</v>
      </c>
      <c r="K101" s="281">
        <f>IF(J101=0,0,L101/J101)</f>
        <v>-476.81885714287802</v>
      </c>
      <c r="L101" s="1260">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12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25530</v>
      </c>
      <c r="V106" s="1239">
        <f>L106-U106</f>
        <v>1435.6699999999983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22657</v>
      </c>
      <c r="V109" s="1239">
        <f>L109-U109</f>
        <v>1435.6499999991647</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-88.640833333333532</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0.91084749913358387</v>
      </c>
      <c r="L123" s="294">
        <f>SUM(L113:L122)</f>
        <v>21944.729999999978</v>
      </c>
      <c r="M123" s="296"/>
      <c r="N123" s="294" t="e">
        <f t="shared" si="32"/>
        <v>#N/A</v>
      </c>
      <c r="O123" s="295" t="s">
        <v>115</v>
      </c>
      <c r="P123" s="293">
        <f>Q123/Q$109</f>
        <v>2.0544537900436195</v>
      </c>
      <c r="Q123" s="294">
        <f>SUM(Q113:Q122)</f>
        <v>68807.150000000023</v>
      </c>
      <c r="R123" s="297"/>
      <c r="S123" s="294">
        <f t="shared" si="33"/>
        <v>-46862.420000000042</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1097.0699999999997</v>
      </c>
      <c r="M126" s="233"/>
      <c r="N126" s="303" t="e">
        <f t="shared" si="32"/>
        <v>#N/A</v>
      </c>
      <c r="O126" s="233"/>
      <c r="P126" s="301"/>
      <c r="Q126" s="303">
        <f>SUMIFS(BV_Data_An_Prec!$AM:$AM,BV_Data_An_Prec!$AP:$AP,$B126,BV_Data_An_Prec!$AQ:$AQ,$C126,BV_Data_An_Prec!$AR:$AR,$L$2)</f>
        <v>657.71999999999935</v>
      </c>
      <c r="R126" s="233"/>
      <c r="S126" s="303">
        <f t="shared" si="33"/>
        <v>439.35000000000036</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0.94019877431502086</v>
      </c>
      <c r="L136" s="294">
        <f>SUM(L124:L135)</f>
        <v>22651.88</v>
      </c>
      <c r="M136" s="296"/>
      <c r="N136" s="294" t="e">
        <f t="shared" si="32"/>
        <v>#N/A</v>
      </c>
      <c r="O136" s="295" t="s">
        <v>115</v>
      </c>
      <c r="P136" s="293">
        <f>Q136/Q$109</f>
        <v>0.98951740281926137</v>
      </c>
      <c r="Q136" s="294">
        <f>SUM(Q124:Q135)</f>
        <v>33140.619999999995</v>
      </c>
      <c r="R136" s="297"/>
      <c r="S136" s="294">
        <f t="shared" si="33"/>
        <v>-10488.739999999994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63"/>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62"/>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2.2767400016188293</v>
      </c>
      <c r="L156" s="294">
        <f>L123+L136+L154</f>
        <v>54852.699999999983</v>
      </c>
      <c r="M156" s="296"/>
      <c r="N156" s="294" t="e">
        <f t="shared" ref="N156:N163" si="34">L156-F156</f>
        <v>#N/A</v>
      </c>
      <c r="O156" s="295" t="s">
        <v>115</v>
      </c>
      <c r="P156" s="293">
        <f>Q156/Q$109</f>
        <v>3.464627952597406</v>
      </c>
      <c r="Q156" s="294">
        <f>Q123+Q136+Q154</f>
        <v>116036.28000000003</v>
      </c>
      <c r="R156" s="297"/>
      <c r="S156" s="294">
        <f t="shared" si="33"/>
        <v>-61183.580000000045</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62"/>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62"/>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62"/>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62"/>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62"/>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62"/>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62"/>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64"/>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-23635.710000000821</v>
      </c>
      <c r="M166" s="958"/>
      <c r="N166" s="956" t="e">
        <f>L166-F166</f>
        <v>#N/A</v>
      </c>
      <c r="O166" s="957"/>
      <c r="P166" s="955"/>
      <c r="Q166" s="956">
        <f>Q109-Q156+Q164</f>
        <v>-82544.580000001908</v>
      </c>
      <c r="R166" s="959"/>
      <c r="S166" s="956">
        <f t="shared" si="33"/>
        <v>58908.870000001087</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126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259">
        <f>SUMIFS(BV_Data_An_Cour!$AW:$AW,BV_Data_An_Cour!$AP:$AP,$B175,BV_Data_An_Cour!$AQ:$AQ,$C175,BV_Data_An_Cour!$AY:$AY,J$2)</f>
        <v>77</v>
      </c>
      <c r="K175" s="281">
        <f t="shared" ref="K175:K179" si="35">IF(J175=0,0,L175/J175)</f>
        <v>-783.68155844156422</v>
      </c>
      <c r="L175" s="1260">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259">
        <f>SUMIFS(BV_Data_An_Cour!$AW:$AW,BV_Data_An_Cour!$AP:$AP,$B177,BV_Data_An_Cour!$AQ:$AQ,$C177,BV_Data_An_Cour!$AY:$AY,J$2)</f>
        <v>27</v>
      </c>
      <c r="K177" s="281">
        <f t="shared" si="35"/>
        <v>844.68703703699566</v>
      </c>
      <c r="L177" s="1260">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59">
        <f>SUMIFS(BV_Data_An_Cour!$AW:$AW,BV_Data_An_Cour!$AP:$AP,$B179,BV_Data_An_Cour!$AQ:$AQ,$C179,BV_Data_An_Cour!$AY:$AY,J$2)</f>
        <v>8</v>
      </c>
      <c r="K179" s="281">
        <f t="shared" si="35"/>
        <v>2704.375</v>
      </c>
      <c r="L179" s="1260">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59.583676470588273</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-59.337500000000013</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5">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0.71991582495078832</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63"/>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62"/>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0.53585595606960834</v>
      </c>
      <c r="L229" s="294">
        <f>L196+L209+L227</f>
        <v>12910.190000000002</v>
      </c>
      <c r="M229" s="296"/>
      <c r="N229" s="294" t="e">
        <f t="shared" ref="N229:N236" si="42">L229-F229</f>
        <v>#N/A</v>
      </c>
      <c r="O229" s="295" t="s">
        <v>115</v>
      </c>
      <c r="P229" s="293">
        <f>Q229/Q$109</f>
        <v>1.778395244194932</v>
      </c>
      <c r="Q229" s="294">
        <f>Q196+Q209+Q227</f>
        <v>59561.480000000061</v>
      </c>
      <c r="R229" s="297"/>
      <c r="S229" s="294">
        <f t="shared" ref="S229:S236" si="43">L229-Q229</f>
        <v>-46651.290000000059</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62"/>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62"/>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62"/>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62"/>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62"/>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62"/>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62"/>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64"/>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-28812.120000001567</v>
      </c>
      <c r="M239" s="958"/>
      <c r="N239" s="956" t="e">
        <f>L239-F239</f>
        <v>#REF!</v>
      </c>
      <c r="O239" s="957"/>
      <c r="P239" s="955"/>
      <c r="Q239" s="956">
        <f>Q182-Q229+Q237</f>
        <v>10748.989999999678</v>
      </c>
      <c r="R239" s="959"/>
      <c r="S239" s="956">
        <f>L239-Q239</f>
        <v>-39561.110000001245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61"/>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1"/>
      <c r="F244" s="1282"/>
      <c r="G244" s="1285"/>
      <c r="H244" s="1281"/>
      <c r="I244" s="1282"/>
      <c r="J244" s="1285" t="s">
        <v>340</v>
      </c>
      <c r="K244" s="1281"/>
      <c r="L244" s="1282"/>
      <c r="M244" s="1285" t="s">
        <v>668</v>
      </c>
      <c r="N244" s="1282"/>
      <c r="O244" s="1280" t="s">
        <v>341</v>
      </c>
      <c r="P244" s="1281"/>
      <c r="Q244" s="1282"/>
      <c r="R244" s="1283" t="s">
        <v>670</v>
      </c>
      <c r="S244" s="1284"/>
      <c r="T244" s="1265"/>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62"/>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62"/>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1262"/>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1262"/>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62"/>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62"/>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62"/>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62"/>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62"/>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62"/>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62"/>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4558.5500000000029</v>
      </c>
      <c r="M274" s="233"/>
      <c r="N274" s="303" t="e">
        <f t="shared" si="49"/>
        <v>#N/A</v>
      </c>
      <c r="O274" s="233"/>
      <c r="P274" s="301"/>
      <c r="Q274" s="303">
        <f>SUMIFS(BV_Data_An_Prec!$AM:$AM,BV_Data_An_Prec!$AP:$AP,$B274,BV_Data_An_Prec!$AQ:$AQ,$C274,BV_Data_An_Prec!$AR:$AR,$L$2)</f>
        <v>27417.919999999984</v>
      </c>
      <c r="R274" s="233"/>
      <c r="S274" s="303">
        <f t="shared" si="50"/>
        <v>-22859.369999999981</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0.516511948936065</v>
      </c>
      <c r="L284" s="294">
        <f>+SUM(L272:L283)</f>
        <v>60881.000000000007</v>
      </c>
      <c r="M284" s="296"/>
      <c r="N284" s="294" t="e">
        <f t="shared" si="49"/>
        <v>#N/A</v>
      </c>
      <c r="O284" s="295" t="s">
        <v>171</v>
      </c>
      <c r="P284" s="293">
        <f>Q284/Q$268</f>
        <v>0.6962947814248307</v>
      </c>
      <c r="Q284" s="294">
        <f>+SUM(Q272:Q283)</f>
        <v>100507.83999999998</v>
      </c>
      <c r="R284" s="297"/>
      <c r="S284" s="294">
        <f t="shared" si="50"/>
        <v>-39626.839999999975</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0.30437588217273198</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0.82088783110879704</v>
      </c>
      <c r="L305" s="294">
        <f>L284+L303</f>
        <v>96757.63</v>
      </c>
      <c r="M305" s="296"/>
      <c r="N305" s="294" t="e">
        <f>L305-F305</f>
        <v>#N/A</v>
      </c>
      <c r="O305" s="295" t="s">
        <v>115</v>
      </c>
      <c r="P305" s="293">
        <f>Q305/Q$268</f>
        <v>0.79213418694492999</v>
      </c>
      <c r="Q305" s="294">
        <f>Q284+Q303</f>
        <v>114341.93999999997</v>
      </c>
      <c r="R305" s="297"/>
      <c r="S305" s="294">
        <f>L305-Q305</f>
        <v>-17584.309999999969</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21111.859999999957</v>
      </c>
      <c r="M307" s="958"/>
      <c r="N307" s="956" t="e">
        <f>L307-F307</f>
        <v>#N/A</v>
      </c>
      <c r="O307" s="957"/>
      <c r="P307" s="955"/>
      <c r="Q307" s="956">
        <f>Q268-Q305</f>
        <v>30004.74000000002</v>
      </c>
      <c r="R307" s="959"/>
      <c r="S307" s="956">
        <f>L307-Q307</f>
        <v>-8892.8800000000629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61"/>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1"/>
      <c r="F312" s="1282"/>
      <c r="G312" s="1285"/>
      <c r="H312" s="1281"/>
      <c r="I312" s="1282"/>
      <c r="J312" s="1285" t="s">
        <v>340</v>
      </c>
      <c r="K312" s="1281"/>
      <c r="L312" s="1282"/>
      <c r="M312" s="1285" t="s">
        <v>668</v>
      </c>
      <c r="N312" s="1282"/>
      <c r="O312" s="1280" t="s">
        <v>341</v>
      </c>
      <c r="P312" s="1281"/>
      <c r="Q312" s="1282"/>
      <c r="R312" s="1283" t="s">
        <v>670</v>
      </c>
      <c r="S312" s="1284"/>
      <c r="T312" s="1265"/>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63"/>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63"/>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63"/>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63"/>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63"/>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63"/>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1263"/>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63"/>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12.779999999999745</v>
      </c>
      <c r="M332" s="233"/>
      <c r="N332" s="303" t="e">
        <f t="shared" si="53"/>
        <v>#N/A</v>
      </c>
      <c r="O332" s="233"/>
      <c r="P332" s="301"/>
      <c r="Q332" s="303">
        <f>SUMIFS(BV_Data_An_Prec!$AM:$AM,BV_Data_An_Prec!$AP:$AP,$B332,BV_Data_An_Prec!$AQ:$AQ,$C332,BV_Data_An_Prec!$AR:$AR,$L$2)</f>
        <v>0</v>
      </c>
      <c r="R332" s="233"/>
      <c r="S332" s="303">
        <f t="shared" si="54"/>
        <v>12.779999999999745</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0.51276743566833582</v>
      </c>
      <c r="L342" s="294">
        <f>+SUM(L330:L341)</f>
        <v>33027.529999999992</v>
      </c>
      <c r="M342" s="296"/>
      <c r="N342" s="294" t="e">
        <f t="shared" si="53"/>
        <v>#N/A</v>
      </c>
      <c r="O342" s="295" t="s">
        <v>115</v>
      </c>
      <c r="P342" s="293">
        <f>IF(Q326=0,0,Q342/Q$326)</f>
        <v>0.30809381281947879</v>
      </c>
      <c r="Q342" s="294">
        <f>+SUM(Q330:Q341)</f>
        <v>27409.64</v>
      </c>
      <c r="R342" s="297"/>
      <c r="S342" s="294">
        <f t="shared" si="54"/>
        <v>5617.8899999999921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0.32881734069136415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0.84158477635969997</v>
      </c>
      <c r="L363" s="294">
        <f>L342+L361</f>
        <v>54206.77</v>
      </c>
      <c r="M363" s="296"/>
      <c r="N363" s="294" t="e">
        <f>L363-F363</f>
        <v>#N/A</v>
      </c>
      <c r="O363" s="295" t="s">
        <v>115</v>
      </c>
      <c r="P363" s="293">
        <f>Q363/Q$326</f>
        <v>0.4311540102628848</v>
      </c>
      <c r="Q363" s="294">
        <f>Q342+Q361</f>
        <v>38357.72</v>
      </c>
      <c r="R363" s="297"/>
      <c r="S363" s="294">
        <f>L363-Q363</f>
        <v>15849.049999999996</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10203.580000000002</v>
      </c>
      <c r="M365" s="958"/>
      <c r="N365" s="956" t="e">
        <f>L365-F365</f>
        <v>#N/A</v>
      </c>
      <c r="O365" s="957"/>
      <c r="P365" s="955"/>
      <c r="Q365" s="956">
        <f>Q326-Q363</f>
        <v>50607.519999999975</v>
      </c>
      <c r="R365" s="959"/>
      <c r="S365" s="956">
        <f>L365-Q365</f>
        <v>-40403.939999999973</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1"/>
      <c r="F369" s="1282"/>
      <c r="G369" s="1285"/>
      <c r="H369" s="1281"/>
      <c r="I369" s="1282"/>
      <c r="J369" s="1285" t="s">
        <v>340</v>
      </c>
      <c r="K369" s="1281"/>
      <c r="L369" s="1282"/>
      <c r="M369" s="1285" t="s">
        <v>668</v>
      </c>
      <c r="N369" s="1282"/>
      <c r="O369" s="1280" t="s">
        <v>341</v>
      </c>
      <c r="P369" s="1281"/>
      <c r="Q369" s="1282"/>
      <c r="R369" s="1283" t="s">
        <v>670</v>
      </c>
      <c r="S369" s="1284"/>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12944.440000000002</v>
      </c>
      <c r="M396" s="233"/>
      <c r="N396" s="262" t="e">
        <f t="shared" si="71"/>
        <v>#N/A</v>
      </c>
      <c r="O396" s="233"/>
      <c r="P396" s="301"/>
      <c r="Q396" s="303">
        <f>SUMIFS(BV_Data_An_Prec!$AM:$AM,BV_Data_An_Prec!$AP:$AP,$B396,BV_Data_An_Prec!$AQ:$AQ,$C396,BV_Data_An_Prec!$AR:$AR,$L$2)</f>
        <v>17580.00999999998</v>
      </c>
      <c r="R396" s="233"/>
      <c r="S396" s="303">
        <f t="shared" si="72"/>
        <v>-4635.5699999999779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0.31909047553181158</v>
      </c>
      <c r="L406" s="294">
        <f>+SUM(L394:L405)</f>
        <v>29459.24</v>
      </c>
      <c r="M406" s="296"/>
      <c r="N406" s="294" t="e">
        <f t="shared" si="71"/>
        <v>#N/A</v>
      </c>
      <c r="O406" s="295" t="s">
        <v>115</v>
      </c>
      <c r="P406" s="293">
        <f>Q406/Q$390</f>
        <v>0.31030138196214518</v>
      </c>
      <c r="Q406" s="294">
        <f>+SUM(Q394:Q405)</f>
        <v>30298.099999999973</v>
      </c>
      <c r="R406" s="297"/>
      <c r="S406" s="294">
        <f t="shared" si="72"/>
        <v>-838.85999999997148</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0.41519280288354232</v>
      </c>
      <c r="L427" s="294">
        <f>L406+L425</f>
        <v>38331.65</v>
      </c>
      <c r="M427" s="296"/>
      <c r="N427" s="294" t="e">
        <f>L427-F427</f>
        <v>#N/A</v>
      </c>
      <c r="O427" s="295" t="s">
        <v>115</v>
      </c>
      <c r="P427" s="293">
        <f>Q427/Q$390</f>
        <v>0.43884876908114701</v>
      </c>
      <c r="Q427" s="294">
        <f>Q406+Q425</f>
        <v>42849.579999999973</v>
      </c>
      <c r="R427" s="297"/>
      <c r="S427" s="294">
        <f>L427-Q427</f>
        <v>-4517.9299999999712</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53990.880000000187</v>
      </c>
      <c r="M429" s="958"/>
      <c r="N429" s="956" t="e">
        <f>L429-F429</f>
        <v>#N/A</v>
      </c>
      <c r="O429" s="957"/>
      <c r="P429" s="955"/>
      <c r="Q429" s="956">
        <f>Q390-Q427</f>
        <v>54791.3</v>
      </c>
      <c r="R429" s="959"/>
      <c r="S429" s="956">
        <f>L429-Q429</f>
        <v>-800.41999999981635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1"/>
      <c r="F434" s="1282"/>
      <c r="G434" s="1285"/>
      <c r="H434" s="1281"/>
      <c r="I434" s="1282"/>
      <c r="J434" s="1285" t="s">
        <v>340</v>
      </c>
      <c r="K434" s="1281"/>
      <c r="L434" s="1282"/>
      <c r="M434" s="1285"/>
      <c r="N434" s="1282"/>
      <c r="O434" s="1280" t="s">
        <v>341</v>
      </c>
      <c r="P434" s="1281"/>
      <c r="Q434" s="1282"/>
      <c r="R434" s="1285"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0.28110117048585032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0.28110117048585032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37353.710000000006</v>
      </c>
      <c r="M486" s="958"/>
      <c r="N486" s="956"/>
      <c r="O486" s="957"/>
      <c r="P486" s="955"/>
      <c r="Q486" s="956">
        <f>Q448-Q484</f>
        <v>48143.309999999983</v>
      </c>
      <c r="R486" s="959"/>
      <c r="S486" s="956">
        <f>L486-Q486</f>
        <v>-10789.599999999977</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90" t="s">
        <v>592</v>
      </c>
      <c r="Y491" s="1288"/>
      <c r="Z491" s="1291"/>
      <c r="AA491" s="1287"/>
      <c r="AB491" s="1288"/>
      <c r="AC491" s="1291"/>
      <c r="AD491" s="1287" t="s">
        <v>340</v>
      </c>
      <c r="AE491" s="1288"/>
      <c r="AF491" s="1291"/>
      <c r="AG491" s="1287" t="s">
        <v>668</v>
      </c>
      <c r="AH491" s="1288"/>
      <c r="AI491" s="1291"/>
      <c r="AJ491" s="1287" t="s">
        <v>593</v>
      </c>
      <c r="AK491" s="1288"/>
      <c r="AL491" s="1288"/>
      <c r="AM491" s="1287" t="s">
        <v>594</v>
      </c>
      <c r="AN491" s="1288"/>
      <c r="AO491" s="128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3.4882399316390839E-2</v>
      </c>
      <c r="AE494" s="393"/>
      <c r="AF494" s="391">
        <f>L27+L109+L182+L268+L326+L390+L448</f>
        <v>480538.85999999702</v>
      </c>
      <c r="AG494" s="392"/>
      <c r="AH494" s="393" t="e">
        <f>AF494-Z494</f>
        <v>#N/A</v>
      </c>
      <c r="AI494" s="394" t="e">
        <f>AH494/Z494</f>
        <v>#N/A</v>
      </c>
      <c r="AJ494" s="754">
        <f>AL494/AL493</f>
        <v>4.2011977298220475E-2</v>
      </c>
      <c r="AK494" s="393"/>
      <c r="AL494" s="391">
        <f>Q27+Q109+Q182+Q268+Q326+Q390+Q448</f>
        <v>789154.20999998925</v>
      </c>
      <c r="AM494" s="395"/>
      <c r="AN494" s="393">
        <f>AF494-AL494</f>
        <v>-308615.34999999224</v>
      </c>
      <c r="AO494" s="396">
        <f>IF(AL494=0,0,AN494/AL494)</f>
        <v>-0.39107103033765284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0.11161507312852986</v>
      </c>
      <c r="AE506" s="419"/>
      <c r="AF506" s="416">
        <f>SUM(AF496:AF505)</f>
        <v>53635.380000000041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-61212.990000000129</v>
      </c>
      <c r="AO506" s="396">
        <f t="shared" si="87"/>
        <v>-0.53298962797643568</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22890.960000000006</v>
      </c>
      <c r="AG510" s="400"/>
      <c r="AH510" s="401" t="e">
        <f t="shared" si="88"/>
        <v>#N/A</v>
      </c>
      <c r="AI510" s="402" t="e">
        <f t="shared" si="89"/>
        <v>#N/A</v>
      </c>
      <c r="AJ510" s="407"/>
      <c r="AK510" s="406"/>
      <c r="AL510" s="399">
        <f>SUMIFS(BV_Data_An_Prec!$AM:$AM,BV_Data_An_Prec!$AQ:$AQ,$V510)</f>
        <v>90767.849999999962</v>
      </c>
      <c r="AM510" s="403"/>
      <c r="AN510" s="401">
        <f t="shared" si="86"/>
        <v>-67876.889999999956</v>
      </c>
      <c r="AO510" s="408">
        <f t="shared" si="87"/>
        <v>-0.74780762131084944</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0.42730883408680265</v>
      </c>
      <c r="AE520" s="421"/>
      <c r="AF520" s="416">
        <f>SUM(AF507:AF519)</f>
        <v>205338.5</v>
      </c>
      <c r="AG520" s="418"/>
      <c r="AH520" s="419" t="e">
        <f t="shared" si="88"/>
        <v>#N/A</v>
      </c>
      <c r="AI520" s="415" t="e">
        <f>AH520/Z520</f>
        <v>#N/A</v>
      </c>
      <c r="AJ520" s="417">
        <f>AL520/AL494</f>
        <v>0.41600824761487926</v>
      </c>
      <c r="AK520" s="421"/>
      <c r="AL520" s="416">
        <f>SUM(AL507:AL519)</f>
        <v>328294.65999999997</v>
      </c>
      <c r="AM520" s="423"/>
      <c r="AN520" s="419">
        <f t="shared" si="86"/>
        <v>-122956.15999999997</v>
      </c>
      <c r="AO520" s="396">
        <f t="shared" si="87"/>
        <v>-0.37452988117443026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0.2047158891582683</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0.26655205366741991</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1.0101918500410207</v>
      </c>
      <c r="AE555" s="414"/>
      <c r="AF555" s="416">
        <f>AF506+AF520+AF539+AF553</f>
        <v>485436.44000000006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-241496.81000000006</v>
      </c>
      <c r="AO555" s="396">
        <f t="shared" ref="AO555:AO568" si="98">IF(AL555=0,0,AN555/AL555)</f>
        <v>-0.33221318463559069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0.12307225267900365</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3.9375392798130966E-3</v>
      </c>
      <c r="AF570" s="468">
        <f>AF494-AF555+AF568</f>
        <v>54243.41999999695</v>
      </c>
      <c r="AG570" s="470"/>
      <c r="AH570" s="470" t="e">
        <f>AF570-Z570</f>
        <v>#N/A</v>
      </c>
      <c r="AI570" s="471" t="e">
        <f>AH570/Z570</f>
        <v>#N/A</v>
      </c>
      <c r="AJ570" s="466" t="s">
        <v>215</v>
      </c>
      <c r="AK570" s="467">
        <f>AL570/AL493</f>
        <v>3.6459318245816975E-3</v>
      </c>
      <c r="AL570" s="468">
        <f>AL494-AL555+AL568</f>
        <v>68485.289999989123</v>
      </c>
      <c r="AM570" s="472"/>
      <c r="AN570" s="469">
        <f>AF570-AL570</f>
        <v>-14241.869999992174</v>
      </c>
      <c r="AO570" s="473">
        <f>IF(AL570=0,0,AN570/AL570)</f>
        <v>-0.20795516818275042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7.1582672900913809E-3</v>
      </c>
      <c r="AF575" s="752">
        <f>AF576+AF502</f>
        <v>98612.06999999698</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-67086.349999992148</v>
      </c>
      <c r="AO575" s="753">
        <f t="shared" ref="AO575:AO585" si="104">IF(AL575=0,0,AN575/AL575)</f>
        <v>-0.40487018524374913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3.9375392798130966E-3</v>
      </c>
      <c r="AF576" s="468">
        <f>AF570</f>
        <v>54243.41999999695</v>
      </c>
      <c r="AG576" s="469"/>
      <c r="AH576" s="470" t="e">
        <f>AF576-Z576</f>
        <v>#N/A</v>
      </c>
      <c r="AI576" s="471" t="e">
        <f>AH576/Z576</f>
        <v>#N/A</v>
      </c>
      <c r="AJ576" s="466" t="s">
        <v>215</v>
      </c>
      <c r="AK576" s="467">
        <f>IF($AL$493=0,0,AL576/$AL$493)</f>
        <v>3.6459318245816975E-3</v>
      </c>
      <c r="AL576" s="468">
        <f>AL570</f>
        <v>68485.289999989123</v>
      </c>
      <c r="AM576" s="474"/>
      <c r="AN576" s="475">
        <f t="shared" si="103"/>
        <v>-14241.869999992174</v>
      </c>
      <c r="AO576" s="476">
        <f t="shared" si="104"/>
        <v>-0.20795516818275042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1.6214510653187945E-3</v>
      </c>
      <c r="AF585" s="468">
        <f>AF576-AF578-AF579-AF580-AF584-AF583</f>
        <v>22337.059999996934</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-35358.099999992191</v>
      </c>
      <c r="AO585" s="482">
        <f t="shared" si="104"/>
        <v>-0.61284343435391908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20279.330000000002</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-2057.7299999969327</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zoomScale="80" zoomScaleNormal="80" workbookViewId="0">
      <selection activeCell="U5" sqref="U5"/>
    </sheetView>
  </sheetViews>
  <sheetFormatPr baseColWidth="10" defaultColWidth="11.59765625" defaultRowHeight="15" customHeight="1"/>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1" max="21" width="12.59765625" bestFit="1"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6" thickTop="1">
      <c r="B3" s="38"/>
      <c r="C3" s="230"/>
      <c r="D3" s="1280" t="s">
        <v>339</v>
      </c>
      <c r="E3" s="1281"/>
      <c r="F3" s="1282"/>
      <c r="G3" s="1285"/>
      <c r="H3" s="1281"/>
      <c r="I3" s="1282"/>
      <c r="J3" s="1285" t="s">
        <v>340</v>
      </c>
      <c r="K3" s="1281"/>
      <c r="L3" s="1282"/>
      <c r="M3" s="1285" t="s">
        <v>668</v>
      </c>
      <c r="N3" s="1282"/>
      <c r="O3" s="1280" t="s">
        <v>341</v>
      </c>
      <c r="P3" s="1281"/>
      <c r="Q3" s="1282"/>
      <c r="R3" s="1283" t="s">
        <v>670</v>
      </c>
      <c r="S3" s="1284"/>
      <c r="T3" s="38"/>
      <c r="U3" s="38"/>
      <c r="V3" s="231" t="s">
        <v>343</v>
      </c>
      <c r="W3" s="232">
        <v>0.45</v>
      </c>
      <c r="X3" s="38"/>
      <c r="Y3" s="38"/>
      <c r="Z3" s="38"/>
      <c r="AA3" s="38"/>
      <c r="AB3" s="38"/>
      <c r="AC3" s="38"/>
      <c r="AD3" s="38"/>
      <c r="AE3" s="38"/>
      <c r="AF3" s="38"/>
      <c r="AG3" s="38"/>
      <c r="AH3" s="38"/>
      <c r="AI3" s="38"/>
      <c r="AJ3" s="38"/>
      <c r="AK3" s="38"/>
      <c r="AL3" s="38"/>
      <c r="AM3" s="38"/>
      <c r="AN3" s="38"/>
    </row>
    <row r="4" spans="1:40" ht="20.399999999999999">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399999999999999">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399999999999999">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399999999999999">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399999999999999"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1">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1">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1">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399999999999999">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1"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1">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-0.30824285287124681</v>
      </c>
      <c r="L41" s="294">
        <f>SUM(L31:L40)</f>
        <v>-500579.50999999989</v>
      </c>
      <c r="M41" s="296"/>
      <c r="N41" s="294" t="e">
        <f t="shared" si="15"/>
        <v>#N/A</v>
      </c>
      <c r="O41" s="295" t="s">
        <v>115</v>
      </c>
      <c r="P41" s="293">
        <f>Q41/Q$27</f>
        <v>-0.35012653269640109</v>
      </c>
      <c r="Q41" s="294">
        <f>SUM(Q31:Q40)</f>
        <v>-877938.85999999987</v>
      </c>
      <c r="R41" s="297"/>
      <c r="S41" s="294">
        <f t="shared" si="20"/>
        <v>377359.35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38872.83</v>
      </c>
      <c r="M44" s="233"/>
      <c r="N44" s="303" t="e">
        <f t="shared" si="15"/>
        <v>#N/A</v>
      </c>
      <c r="O44" s="233"/>
      <c r="P44" s="301"/>
      <c r="Q44" s="281">
        <f>SUMIFS(BV_Data_An_Prec!$AN:$AN,BV_Data_An_Prec!$AP:$AP,$B44,BV_Data_An_Prec!$AQ:$AQ,$C44,BV_Data_An_Prec!$AR:$AR,Q$2)</f>
        <v>26446.33</v>
      </c>
      <c r="R44" s="233"/>
      <c r="S44" s="303">
        <f t="shared" si="21"/>
        <v>12426.5</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0.30806025799603537</v>
      </c>
      <c r="L54" s="294">
        <f>+SUM(L42:L53)</f>
        <v>500282.98000000004</v>
      </c>
      <c r="M54" s="296"/>
      <c r="N54" s="294" t="e">
        <f>+SUM(N42:N53)</f>
        <v>#N/A</v>
      </c>
      <c r="O54" s="295" t="s">
        <v>115</v>
      </c>
      <c r="P54" s="293">
        <f>Q54/Q$27</f>
        <v>0.2549221816908141</v>
      </c>
      <c r="Q54" s="294">
        <f>+SUM(Q42:Q53)</f>
        <v>639214.88000000012</v>
      </c>
      <c r="R54" s="297"/>
      <c r="S54" s="294">
        <f>+SUM(S42:S53)</f>
        <v>-97445.6</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0.16860773707559673</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0.16842514220038526</v>
      </c>
      <c r="L74" s="294">
        <f>L41+L54+L72</f>
        <v>273518.67000000016</v>
      </c>
      <c r="M74" s="296"/>
      <c r="N74" s="294" t="e">
        <f t="shared" ref="N74:N82" si="24">L74-F74</f>
        <v>#N/A</v>
      </c>
      <c r="O74" s="295" t="s">
        <v>115</v>
      </c>
      <c r="P74" s="293">
        <f>Q74/Q$27</f>
        <v>2.0635135236399444E-2</v>
      </c>
      <c r="Q74" s="294">
        <f>Q41+Q54+Q72</f>
        <v>51742.400000000256</v>
      </c>
      <c r="R74" s="297"/>
      <c r="S74" s="294">
        <f>L74-Q74</f>
        <v>221776.2699999999</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1695976.0599999989</v>
      </c>
      <c r="M85" s="958"/>
      <c r="N85" s="956" t="e">
        <f>N27-N41-N54-N72+N83</f>
        <v>#N/A</v>
      </c>
      <c r="O85" s="957"/>
      <c r="P85" s="955"/>
      <c r="Q85" s="956">
        <f>Q27-Q74+Q83</f>
        <v>2659477.8999999953</v>
      </c>
      <c r="R85" s="959"/>
      <c r="S85" s="956">
        <f>L85-Q85</f>
        <v>-963501.83999999636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0" t="s">
        <v>339</v>
      </c>
      <c r="E91" s="1281"/>
      <c r="F91" s="1282"/>
      <c r="G91" s="1285"/>
      <c r="H91" s="1281"/>
      <c r="I91" s="1282"/>
      <c r="J91" s="1285" t="s">
        <v>340</v>
      </c>
      <c r="K91" s="1281"/>
      <c r="L91" s="1282"/>
      <c r="M91" s="1285" t="s">
        <v>668</v>
      </c>
      <c r="N91" s="1282"/>
      <c r="O91" s="1280" t="s">
        <v>341</v>
      </c>
      <c r="P91" s="1281"/>
      <c r="Q91" s="1282"/>
      <c r="R91" s="1283" t="s">
        <v>670</v>
      </c>
      <c r="S91" s="128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-219.04771929824562</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0.7848973733476603</v>
      </c>
      <c r="L123" s="294">
        <f>SUM(L113:L122)</f>
        <v>378745.02999999991</v>
      </c>
      <c r="M123" s="296"/>
      <c r="N123" s="294" t="e">
        <f t="shared" si="44"/>
        <v>#N/A</v>
      </c>
      <c r="O123" s="295" t="s">
        <v>115</v>
      </c>
      <c r="P123" s="293">
        <f>Q123/Q$109</f>
        <v>0.67809260254262071</v>
      </c>
      <c r="Q123" s="294">
        <f>SUM(Q113:Q122)</f>
        <v>314953.21000000002</v>
      </c>
      <c r="R123" s="297"/>
      <c r="S123" s="294">
        <f t="shared" si="45"/>
        <v>63791.819999999891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12299.56</v>
      </c>
      <c r="M126" s="233"/>
      <c r="N126" s="303" t="e">
        <f t="shared" si="44"/>
        <v>#N/A</v>
      </c>
      <c r="O126" s="233"/>
      <c r="P126" s="301"/>
      <c r="Q126" s="303">
        <f>SUMIFS(BV_Data_An_Prec!$AN:$AN,BV_Data_An_Prec!$AP:$AP,$B126,BV_Data_An_Prec!$AQ:$AQ,$C126,BV_Data_An_Prec!$AR:$AR,$L$2)</f>
        <v>15221.58</v>
      </c>
      <c r="R126" s="233"/>
      <c r="S126" s="303">
        <f t="shared" si="45"/>
        <v>-2922.0200000000004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0.41936127974911475</v>
      </c>
      <c r="L136" s="294">
        <f>SUM(L124:L135)</f>
        <v>202358.94000000003</v>
      </c>
      <c r="M136" s="296"/>
      <c r="N136" s="294" t="e">
        <f t="shared" si="44"/>
        <v>#N/A</v>
      </c>
      <c r="O136" s="295" t="s">
        <v>115</v>
      </c>
      <c r="P136" s="293">
        <f>Q136/Q$109</f>
        <v>0.44185234882683061</v>
      </c>
      <c r="Q136" s="294">
        <f>SUM(Q124:Q135)</f>
        <v>205226.85999999996</v>
      </c>
      <c r="R136" s="297"/>
      <c r="S136" s="294">
        <f t="shared" si="45"/>
        <v>-2867.9199999999255</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1.4894618554869232</v>
      </c>
      <c r="L156" s="294">
        <f>L123+L136+L154</f>
        <v>718726.16</v>
      </c>
      <c r="M156" s="296"/>
      <c r="N156" s="294" t="e">
        <f t="shared" ref="N156:N163" si="48">L156-F156</f>
        <v>#N/A</v>
      </c>
      <c r="O156" s="295" t="s">
        <v>115</v>
      </c>
      <c r="P156" s="293">
        <f>Q156/Q$109</f>
        <v>1.3843443954489882</v>
      </c>
      <c r="Q156" s="294">
        <f>Q123+Q136+Q154</f>
        <v>642985.5</v>
      </c>
      <c r="R156" s="297"/>
      <c r="S156" s="294">
        <f t="shared" si="45"/>
        <v>75740.660000000033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-175560.99000000002</v>
      </c>
      <c r="M166" s="958"/>
      <c r="N166" s="956" t="e">
        <f>L166-F166</f>
        <v>#N/A</v>
      </c>
      <c r="O166" s="957"/>
      <c r="P166" s="955"/>
      <c r="Q166" s="956">
        <f>Q109-Q156+Q164</f>
        <v>-178516.18000000191</v>
      </c>
      <c r="R166" s="959"/>
      <c r="S166" s="956">
        <f t="shared" si="45"/>
        <v>2955.1900000018941</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140.14077499999999</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-36.071461988304094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0.83480210368933971</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1.2454989560158052</v>
      </c>
      <c r="L229" s="294">
        <f>L196+L209+L227</f>
        <v>601004.10000000009</v>
      </c>
      <c r="M229" s="296"/>
      <c r="N229" s="294" t="e">
        <f t="shared" ref="N229:N236" si="62">L229-F229</f>
        <v>#N/A</v>
      </c>
      <c r="O229" s="295" t="s">
        <v>115</v>
      </c>
      <c r="P229" s="293">
        <f>Q229/Q$109</f>
        <v>2.0682351850494758</v>
      </c>
      <c r="Q229" s="294">
        <f>Q196+Q209+Q227</f>
        <v>960631.79000000015</v>
      </c>
      <c r="R229" s="297"/>
      <c r="S229" s="294">
        <f t="shared" ref="S229:S236" si="63">L229-Q229</f>
        <v>-359627.69000000006</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545567.72000000207</v>
      </c>
      <c r="M239" s="958"/>
      <c r="N239" s="956" t="e">
        <f>L239-F239</f>
        <v>#REF!</v>
      </c>
      <c r="O239" s="957"/>
      <c r="P239" s="955"/>
      <c r="Q239" s="956">
        <f>Q182-Q229+Q237</f>
        <v>187462.42999999865</v>
      </c>
      <c r="R239" s="959"/>
      <c r="S239" s="956">
        <f>L239-Q239</f>
        <v>358105.29000000341</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0" t="s">
        <v>339</v>
      </c>
      <c r="E244" s="1281"/>
      <c r="F244" s="1282"/>
      <c r="G244" s="1285"/>
      <c r="H244" s="1281"/>
      <c r="I244" s="1282"/>
      <c r="J244" s="1285" t="s">
        <v>340</v>
      </c>
      <c r="K244" s="1281"/>
      <c r="L244" s="1282"/>
      <c r="M244" s="1285" t="s">
        <v>668</v>
      </c>
      <c r="N244" s="1282"/>
      <c r="O244" s="1280" t="s">
        <v>341</v>
      </c>
      <c r="P244" s="1281"/>
      <c r="Q244" s="1282"/>
      <c r="R244" s="1283" t="s">
        <v>670</v>
      </c>
      <c r="S244" s="1284"/>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87440.86</v>
      </c>
      <c r="M274" s="233"/>
      <c r="N274" s="303" t="e">
        <f t="shared" si="73"/>
        <v>#N/A</v>
      </c>
      <c r="O274" s="233"/>
      <c r="P274" s="301"/>
      <c r="Q274" s="303">
        <f>SUMIFS(BV_Data_An_Prec!$AN:$AN,BV_Data_An_Prec!$AP:$AP,$B274,BV_Data_An_Prec!$AQ:$AQ,$C274,BV_Data_An_Prec!$AR:$AR,$L$2)</f>
        <v>224220.79999999999</v>
      </c>
      <c r="R274" s="233"/>
      <c r="S274" s="303">
        <f t="shared" si="74"/>
        <v>-136779.94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0.65217974278649593</v>
      </c>
      <c r="L284" s="294">
        <f>+SUM(L272:L283)</f>
        <v>711840.65</v>
      </c>
      <c r="M284" s="296"/>
      <c r="N284" s="294" t="e">
        <f t="shared" si="73"/>
        <v>#N/A</v>
      </c>
      <c r="O284" s="295" t="s">
        <v>171</v>
      </c>
      <c r="P284" s="293">
        <f>Q284/Q$268</f>
        <v>0.6711981287372677</v>
      </c>
      <c r="Q284" s="294">
        <f>+SUM(Q272:Q283)</f>
        <v>864840.93</v>
      </c>
      <c r="R284" s="297"/>
      <c r="S284" s="294">
        <f t="shared" si="74"/>
        <v>-153000.28000000003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0.30614839728880228</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0.95832814007529821</v>
      </c>
      <c r="L305" s="294">
        <f>L284+L303</f>
        <v>1045995.27</v>
      </c>
      <c r="M305" s="296"/>
      <c r="N305" s="294" t="e">
        <f>L305-F305</f>
        <v>#N/A</v>
      </c>
      <c r="O305" s="295" t="s">
        <v>115</v>
      </c>
      <c r="P305" s="293">
        <f>Q305/Q$268</f>
        <v>0.8292452578250894</v>
      </c>
      <c r="Q305" s="294">
        <f>Q284+Q303</f>
        <v>1068485.1600000001</v>
      </c>
      <c r="R305" s="297"/>
      <c r="S305" s="294">
        <f>L305-Q305</f>
        <v>-22489.89000000013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45483.969999999972</v>
      </c>
      <c r="M307" s="958"/>
      <c r="N307" s="956" t="e">
        <f>L307-F307</f>
        <v>#N/A</v>
      </c>
      <c r="O307" s="957"/>
      <c r="P307" s="955"/>
      <c r="Q307" s="956">
        <f>Q268-Q305</f>
        <v>220018.0299999998</v>
      </c>
      <c r="R307" s="959"/>
      <c r="S307" s="956">
        <f>L307-Q307</f>
        <v>-174534.05999999982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0" t="s">
        <v>339</v>
      </c>
      <c r="E312" s="1281"/>
      <c r="F312" s="1282"/>
      <c r="G312" s="1285"/>
      <c r="H312" s="1281"/>
      <c r="I312" s="1282"/>
      <c r="J312" s="1285" t="s">
        <v>340</v>
      </c>
      <c r="K312" s="1281"/>
      <c r="L312" s="1282"/>
      <c r="M312" s="1285" t="s">
        <v>668</v>
      </c>
      <c r="N312" s="1282"/>
      <c r="O312" s="1280" t="s">
        <v>341</v>
      </c>
      <c r="P312" s="1281"/>
      <c r="Q312" s="1282"/>
      <c r="R312" s="1283" t="s">
        <v>670</v>
      </c>
      <c r="S312" s="128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3397.93</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11.329738310021705</v>
      </c>
      <c r="L342" s="294">
        <f>+SUM(L330:L341)</f>
        <v>233253.47999999998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0.45825635704666046</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21.183221357197404</v>
      </c>
      <c r="L363" s="294">
        <f>L342+L361</f>
        <v>436114.23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114199.42000000016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0" t="s">
        <v>339</v>
      </c>
      <c r="E369" s="1281"/>
      <c r="F369" s="1282"/>
      <c r="G369" s="1285"/>
      <c r="H369" s="1281"/>
      <c r="I369" s="1282"/>
      <c r="J369" s="1285" t="s">
        <v>340</v>
      </c>
      <c r="K369" s="1281"/>
      <c r="L369" s="1282"/>
      <c r="M369" s="1285" t="s">
        <v>668</v>
      </c>
      <c r="N369" s="1282"/>
      <c r="O369" s="1280" t="s">
        <v>341</v>
      </c>
      <c r="P369" s="1281"/>
      <c r="Q369" s="1282"/>
      <c r="R369" s="1283" t="s">
        <v>670</v>
      </c>
      <c r="S369" s="128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145332.47</v>
      </c>
      <c r="M396" s="233"/>
      <c r="N396" s="262" t="e">
        <f t="shared" si="103"/>
        <v>#N/A</v>
      </c>
      <c r="O396" s="233"/>
      <c r="P396" s="301"/>
      <c r="Q396" s="303">
        <f>SUMIFS(BV_Data_An_Prec!$AN:$AN,BV_Data_An_Prec!$AP:$AP,$B396,BV_Data_An_Prec!$AQ:$AQ,$C396,BV_Data_An_Prec!$AR:$AR,$L$2)</f>
        <v>133489.10999999999</v>
      </c>
      <c r="R396" s="233"/>
      <c r="S396" s="303">
        <f t="shared" si="104"/>
        <v>11843.360000000015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0.32164424363605171</v>
      </c>
      <c r="L406" s="294">
        <f>+SUM(L394:L405)</f>
        <v>252914.43</v>
      </c>
      <c r="M406" s="296"/>
      <c r="N406" s="294" t="e">
        <f t="shared" si="103"/>
        <v>#N/A</v>
      </c>
      <c r="O406" s="295" t="s">
        <v>115</v>
      </c>
      <c r="P406" s="293">
        <f>Q406/Q$390</f>
        <v>0.30384264449491177</v>
      </c>
      <c r="Q406" s="294">
        <f>+SUM(Q394:Q405)</f>
        <v>235899.54</v>
      </c>
      <c r="R406" s="297"/>
      <c r="S406" s="294">
        <f t="shared" si="104"/>
        <v>17014.889999999985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0.44804545757858116</v>
      </c>
      <c r="L427" s="294">
        <f>L406+L425</f>
        <v>352305.89</v>
      </c>
      <c r="M427" s="296"/>
      <c r="N427" s="294" t="e">
        <f>L427-F427</f>
        <v>#N/A</v>
      </c>
      <c r="O427" s="295" t="s">
        <v>115</v>
      </c>
      <c r="P427" s="293">
        <f>Q427/Q$390</f>
        <v>0.44052350425148684</v>
      </c>
      <c r="Q427" s="294">
        <f>Q406+Q425</f>
        <v>342016.81</v>
      </c>
      <c r="R427" s="297"/>
      <c r="S427" s="294">
        <f>L427-Q427</f>
        <v>10289.080000000016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434011.40000000026</v>
      </c>
      <c r="M429" s="958"/>
      <c r="N429" s="956" t="e">
        <f>L429-F429</f>
        <v>#N/A</v>
      </c>
      <c r="O429" s="957"/>
      <c r="P429" s="955"/>
      <c r="Q429" s="956">
        <f>Q390-Q427</f>
        <v>434370.39000000007</v>
      </c>
      <c r="R429" s="959"/>
      <c r="S429" s="956">
        <f>L429-Q429</f>
        <v>-358.98999999981606</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0" t="s">
        <v>339</v>
      </c>
      <c r="E434" s="1281"/>
      <c r="F434" s="1282"/>
      <c r="G434" s="1285"/>
      <c r="H434" s="1281"/>
      <c r="I434" s="1282"/>
      <c r="J434" s="1285" t="s">
        <v>340</v>
      </c>
      <c r="K434" s="1281"/>
      <c r="L434" s="1282"/>
      <c r="M434" s="1285"/>
      <c r="N434" s="1282"/>
      <c r="O434" s="1280" t="s">
        <v>341</v>
      </c>
      <c r="P434" s="1281"/>
      <c r="Q434" s="1282"/>
      <c r="R434" s="1285"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0.12046892693168627</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0.12470940319513986</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482330.02999999991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90" t="s">
        <v>592</v>
      </c>
      <c r="Y491" s="1288"/>
      <c r="Z491" s="1291"/>
      <c r="AA491" s="1287"/>
      <c r="AB491" s="1288"/>
      <c r="AC491" s="1291"/>
      <c r="AD491" s="1287" t="s">
        <v>340</v>
      </c>
      <c r="AE491" s="1288"/>
      <c r="AF491" s="1291"/>
      <c r="AG491" s="1287" t="s">
        <v>668</v>
      </c>
      <c r="AH491" s="1288"/>
      <c r="AI491" s="1291"/>
      <c r="AJ491" s="1287" t="s">
        <v>593</v>
      </c>
      <c r="AK491" s="1288"/>
      <c r="AL491" s="1288"/>
      <c r="AM491" s="1287" t="s">
        <v>594</v>
      </c>
      <c r="AN491" s="1288"/>
      <c r="AO491" s="1289"/>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3.7716621095143177E-2</v>
      </c>
      <c r="AE494" s="393"/>
      <c r="AF494" s="391">
        <f>L27+L109+L182+L268+L326+L390+L448</f>
        <v>6232251.8100000015</v>
      </c>
      <c r="AG494" s="392"/>
      <c r="AH494" s="393" t="e">
        <f>AF494-Z494</f>
        <v>#N/A</v>
      </c>
      <c r="AI494" s="394" t="e">
        <f>AH494/Z494</f>
        <v>#N/A</v>
      </c>
      <c r="AJ494" s="754">
        <f>+AL494/AL493</f>
        <v>4.0689101914544126E-2</v>
      </c>
      <c r="AK494" s="393"/>
      <c r="AL494" s="391">
        <f>Q27+Q109+Q182+Q268+Q326+Q390+Q448</f>
        <v>7214386.2599999923</v>
      </c>
      <c r="AM494" s="395"/>
      <c r="AN494" s="393">
        <f>AF494-AL494</f>
        <v>-982134.44999999087</v>
      </c>
      <c r="AO494" s="396">
        <f>IF(AL494=0,0,AN494/AL494)</f>
        <v>-0.13613555118962981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4.5086692349165534E-2</v>
      </c>
      <c r="AE506" s="419"/>
      <c r="AF506" s="416">
        <f>SUM(AF496:AF505)</f>
        <v>280991.62000000011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681402.84000000008</v>
      </c>
      <c r="AO506" s="396">
        <f t="shared" si="123"/>
        <v>-1.7017576080910024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289364.99000000005</v>
      </c>
      <c r="AG510" s="400"/>
      <c r="AH510" s="401" t="e">
        <f t="shared" si="124"/>
        <v>#N/A</v>
      </c>
      <c r="AI510" s="402" t="e">
        <f t="shared" si="125"/>
        <v>#N/A</v>
      </c>
      <c r="AJ510" s="407"/>
      <c r="AK510" s="406"/>
      <c r="AL510" s="399">
        <f>SUMIFS(BV_Data_An_Prec!$AN:$AN,BV_Data_An_Prec!$AQ:$AQ,$V510)</f>
        <v>709053.80999999994</v>
      </c>
      <c r="AM510" s="403"/>
      <c r="AN510" s="401">
        <f t="shared" si="122"/>
        <v>-419688.81999999989</v>
      </c>
      <c r="AO510" s="408">
        <f t="shared" si="123"/>
        <v>-0.59189981646103829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0.36190337277145407</v>
      </c>
      <c r="AE520" s="421"/>
      <c r="AF520" s="416">
        <f>SUM(AF507:AF519)</f>
        <v>2255472.9499999997</v>
      </c>
      <c r="AG520" s="418"/>
      <c r="AH520" s="419" t="e">
        <f t="shared" si="124"/>
        <v>#N/A</v>
      </c>
      <c r="AI520" s="415" t="e">
        <f>AH520/Z520</f>
        <v>#N/A</v>
      </c>
      <c r="AJ520" s="417">
        <f>IF($AL$494=0,0,AL520/$AL$494)</f>
        <v>0.44930602038488621</v>
      </c>
      <c r="AK520" s="421"/>
      <c r="AL520" s="416">
        <f>SUM(AL507:AL519)</f>
        <v>3241467.1799999997</v>
      </c>
      <c r="AM520" s="423"/>
      <c r="AN520" s="419">
        <f t="shared" si="122"/>
        <v>-985994.23</v>
      </c>
      <c r="AO520" s="396">
        <f t="shared" si="123"/>
        <v>-0.30418146328416629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0.17068309857011374</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0.16238145711252958</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0.7400546208032629</v>
      </c>
      <c r="AE555" s="414"/>
      <c r="AF555" s="416">
        <f>AF506+AF520+AF539+AF553</f>
        <v>4612206.75</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-391123.05999999959</v>
      </c>
      <c r="AO555" s="396">
        <f t="shared" ref="AO555:AO568" si="136">IF(AL555=0,0,AN555/AL555)</f>
        <v>-7.8172552050891006E-2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6.3789139482796325E-2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1.2210172176454512E-2</v>
      </c>
      <c r="AF570" s="468">
        <f>AF494-AF555+AF568</f>
        <v>2017595.0400000014</v>
      </c>
      <c r="AG570" s="470"/>
      <c r="AH570" s="470" t="e">
        <f>AF570-Z570</f>
        <v>#N/A</v>
      </c>
      <c r="AI570" s="471" t="e">
        <f>AH570/Z570</f>
        <v>#N/A</v>
      </c>
      <c r="AJ570" s="466" t="s">
        <v>215</v>
      </c>
      <c r="AK570" s="467">
        <f>IF($AL$493=0,0,AL570/$AL$493)</f>
        <v>1.5082850059938603E-2</v>
      </c>
      <c r="AL570" s="468">
        <f>AL494-AL555+AL568</f>
        <v>2674266.5999999926</v>
      </c>
      <c r="AM570" s="472"/>
      <c r="AN570" s="469">
        <f>AF570-AL570</f>
        <v>-656671.55999999121</v>
      </c>
      <c r="AO570" s="473">
        <f>IF(AL570=0,0,AN570/AL570)</f>
        <v>-0.24555201788781755</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1.7270263638975995E-2</v>
      </c>
      <c r="AF575" s="752">
        <f>AF576+AF502</f>
        <v>2853718.8300000015</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-924721.09999999125</v>
      </c>
      <c r="AO575" s="753">
        <f t="shared" ref="AO575:AO585" si="142">IF(AL575=0,0,AN575/AL575)</f>
        <v>-0.24473621842123425</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1.2210172176454512E-2</v>
      </c>
      <c r="AF576" s="468">
        <f>AF570</f>
        <v>2017595.0400000014</v>
      </c>
      <c r="AG576" s="469"/>
      <c r="AH576" s="470" t="e">
        <f>AF576-Z576</f>
        <v>#N/A</v>
      </c>
      <c r="AI576" s="471" t="e">
        <f>AH576/Z576</f>
        <v>#N/A</v>
      </c>
      <c r="AJ576" s="466" t="s">
        <v>215</v>
      </c>
      <c r="AK576" s="467">
        <f>IF($AL$493=0,0,AL576/$AL$493)</f>
        <v>1.5082850059938603E-2</v>
      </c>
      <c r="AL576" s="468">
        <f>AL570</f>
        <v>2674266.5999999926</v>
      </c>
      <c r="AM576" s="474"/>
      <c r="AN576" s="475">
        <f t="shared" si="141"/>
        <v>-656671.55999999121</v>
      </c>
      <c r="AO576" s="476">
        <f t="shared" si="142"/>
        <v>-0.24555201788781755</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1.1399854961994403E-2</v>
      </c>
      <c r="AF585" s="468">
        <f>AF576-AF578-AF579-AF580-AF584-AF583</f>
        <v>1883699.1400000015</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-699864.88999999128</v>
      </c>
      <c r="AO585" s="482">
        <f t="shared" si="142"/>
        <v>-0.27089125017737348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2058.1400000015274</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59765625" defaultRowHeight="13.8"/>
  <cols>
    <col min="1" max="1" width="5.3984375" customWidth="1"/>
    <col min="2" max="2" width="22.59765625" bestFit="1"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2" max="22" width="42.3984375" bestFit="1" customWidth="1"/>
    <col min="23" max="29" width="11.59765625" hidden="1" customWidth="1"/>
    <col min="30" max="30" width="14.5" customWidth="1"/>
    <col min="31" max="31" width="14.8984375" customWidth="1"/>
    <col min="32" max="32" width="15" customWidth="1"/>
    <col min="33" max="35" width="0" hidden="1" customWidth="1"/>
    <col min="36" max="36" width="13.5" customWidth="1"/>
    <col min="37" max="37" width="13.3984375" customWidth="1"/>
    <col min="38" max="38" width="15.3984375" customWidth="1"/>
    <col min="39" max="39" width="13.5" customWidth="1"/>
    <col min="40" max="40" width="13.8984375" customWidth="1"/>
    <col min="41" max="41" width="14.097656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6" thickTop="1">
      <c r="B3" s="38"/>
      <c r="C3" s="1111"/>
      <c r="D3" s="1280" t="s">
        <v>339</v>
      </c>
      <c r="E3" s="1281"/>
      <c r="F3" s="1284"/>
      <c r="G3" s="1283" t="s">
        <v>3207</v>
      </c>
      <c r="H3" s="1281"/>
      <c r="I3" s="1284"/>
      <c r="J3" s="1283" t="s">
        <v>340</v>
      </c>
      <c r="K3" s="1281"/>
      <c r="L3" s="1284"/>
      <c r="M3" s="1283" t="s">
        <v>668</v>
      </c>
      <c r="N3" s="1284"/>
      <c r="O3" s="1280" t="s">
        <v>341</v>
      </c>
      <c r="P3" s="1281"/>
      <c r="Q3" s="1284"/>
      <c r="R3" s="1283" t="s">
        <v>670</v>
      </c>
      <c r="S3" s="1284"/>
      <c r="T3" s="38"/>
      <c r="U3" s="38"/>
      <c r="V3" s="1112"/>
      <c r="W3" s="232"/>
      <c r="X3" s="38"/>
      <c r="Y3" s="38"/>
      <c r="Z3" s="38"/>
      <c r="AA3" s="38"/>
      <c r="AB3" s="38"/>
      <c r="AC3" s="38"/>
      <c r="AD3" s="38"/>
      <c r="AE3" s="38"/>
      <c r="AF3" s="38"/>
      <c r="AG3" s="38"/>
      <c r="AH3" s="38"/>
      <c r="AI3" s="38"/>
      <c r="AJ3" s="38"/>
      <c r="AK3" s="38"/>
      <c r="AL3" s="38"/>
      <c r="AM3" s="38"/>
      <c r="AN3" s="38"/>
    </row>
    <row r="4" spans="1:40" ht="20.399999999999999">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399999999999999">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399999999999999">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399999999999999">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399999999999999"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399999999999999"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399999999999999"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1">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1">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1">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399999999999999">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1">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1"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1"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1">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399999999999999">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399999999999999"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399999999999999"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399999999999999"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399999999999999"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399999999999999"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399999999999999"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399999999999999"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399999999999999"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399999999999999"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399999999999999"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399999999999999"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2"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2"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2"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2"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2"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2"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2"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2"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80" t="s">
        <v>339</v>
      </c>
      <c r="E91" s="1281"/>
      <c r="F91" s="1284"/>
      <c r="G91" s="1283" t="s">
        <v>3210</v>
      </c>
      <c r="H91" s="1281"/>
      <c r="I91" s="1284"/>
      <c r="J91" s="1283" t="s">
        <v>340</v>
      </c>
      <c r="K91" s="1281"/>
      <c r="L91" s="1284"/>
      <c r="M91" s="1283" t="s">
        <v>668</v>
      </c>
      <c r="N91" s="1284"/>
      <c r="O91" s="1280" t="s">
        <v>341</v>
      </c>
      <c r="P91" s="1281"/>
      <c r="Q91" s="1284"/>
      <c r="R91" s="1283" t="s">
        <v>670</v>
      </c>
      <c r="S91" s="1284"/>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399999999999999"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399999999999999"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399999999999999"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399999999999999"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399999999999999"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399999999999999"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399999999999999"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399999999999999"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399999999999999"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399999999999999"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399999999999999"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80" t="s">
        <v>339</v>
      </c>
      <c r="E171" s="1280"/>
      <c r="F171" s="1286"/>
      <c r="G171" s="1283"/>
      <c r="H171" s="1280"/>
      <c r="I171" s="1286"/>
      <c r="J171" s="1283" t="s">
        <v>340</v>
      </c>
      <c r="K171" s="1280"/>
      <c r="L171" s="1286"/>
      <c r="M171" s="1283" t="s">
        <v>668</v>
      </c>
      <c r="N171" s="1286"/>
      <c r="O171" s="1283" t="s">
        <v>341</v>
      </c>
      <c r="P171" s="1280"/>
      <c r="Q171" s="1286"/>
      <c r="R171" s="1283" t="s">
        <v>670</v>
      </c>
      <c r="S171" s="1286"/>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399999999999999"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399999999999999"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399999999999999"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399999999999999"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399999999999999"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399999999999999"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399999999999999"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399999999999999"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399999999999999"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399999999999999"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399999999999999"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399999999999999"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399999999999999"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80" t="s">
        <v>339</v>
      </c>
      <c r="E244" s="1281"/>
      <c r="F244" s="1284"/>
      <c r="G244" s="1283" t="s">
        <v>3210</v>
      </c>
      <c r="H244" s="1281"/>
      <c r="I244" s="1284"/>
      <c r="J244" s="1283" t="s">
        <v>340</v>
      </c>
      <c r="K244" s="1281"/>
      <c r="L244" s="1284"/>
      <c r="M244" s="1283" t="s">
        <v>668</v>
      </c>
      <c r="N244" s="1284"/>
      <c r="O244" s="1280" t="s">
        <v>341</v>
      </c>
      <c r="P244" s="1281"/>
      <c r="Q244" s="1284"/>
      <c r="R244" s="1283" t="s">
        <v>670</v>
      </c>
      <c r="S244" s="1284"/>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95"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399999999999999">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399999999999999">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399999999999999"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399999999999999"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399999999999999"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399999999999999">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399999999999999"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399999999999999"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399999999999999"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399999999999999"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80" t="s">
        <v>339</v>
      </c>
      <c r="E312" s="1281"/>
      <c r="F312" s="1284"/>
      <c r="G312" s="1283" t="s">
        <v>3210</v>
      </c>
      <c r="H312" s="1281"/>
      <c r="I312" s="1284"/>
      <c r="J312" s="1283" t="s">
        <v>340</v>
      </c>
      <c r="K312" s="1281"/>
      <c r="L312" s="1284"/>
      <c r="M312" s="1283" t="s">
        <v>668</v>
      </c>
      <c r="N312" s="1284"/>
      <c r="O312" s="1280" t="s">
        <v>341</v>
      </c>
      <c r="P312" s="1281"/>
      <c r="Q312" s="1284"/>
      <c r="R312" s="1283" t="s">
        <v>670</v>
      </c>
      <c r="S312" s="1284"/>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399999999999999"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399999999999999"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399999999999999"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399999999999999"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399999999999999"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399999999999999"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399999999999999"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80" t="s">
        <v>339</v>
      </c>
      <c r="E369" s="1281"/>
      <c r="F369" s="1284"/>
      <c r="G369" s="1283" t="s">
        <v>3210</v>
      </c>
      <c r="H369" s="1281"/>
      <c r="I369" s="1284"/>
      <c r="J369" s="1283" t="s">
        <v>340</v>
      </c>
      <c r="K369" s="1281"/>
      <c r="L369" s="1284"/>
      <c r="M369" s="1283" t="s">
        <v>668</v>
      </c>
      <c r="N369" s="1284"/>
      <c r="O369" s="1280" t="s">
        <v>341</v>
      </c>
      <c r="P369" s="1281"/>
      <c r="Q369" s="1284"/>
      <c r="R369" s="1283" t="s">
        <v>670</v>
      </c>
      <c r="S369" s="1284"/>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399999999999999"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399999999999999"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399999999999999"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399999999999999"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399999999999999"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399999999999999"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399999999999999"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399999999999999"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399999999999999"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399999999999999"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80" t="s">
        <v>339</v>
      </c>
      <c r="E434" s="1281"/>
      <c r="F434" s="1284"/>
      <c r="G434" s="1283"/>
      <c r="H434" s="1281"/>
      <c r="I434" s="1284"/>
      <c r="J434" s="1283" t="s">
        <v>340</v>
      </c>
      <c r="K434" s="1281"/>
      <c r="L434" s="1284"/>
      <c r="M434" s="1283"/>
      <c r="N434" s="1284"/>
      <c r="O434" s="1280" t="s">
        <v>341</v>
      </c>
      <c r="P434" s="1281"/>
      <c r="Q434" s="1284"/>
      <c r="R434" s="1283" t="s">
        <v>342</v>
      </c>
      <c r="S434" s="1284"/>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399999999999999"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399999999999999"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399999999999999"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399999999999999"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95"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399999999999999"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399999999999999"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399999999999999"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4">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94" t="s">
        <v>592</v>
      </c>
      <c r="Y491" s="1292"/>
      <c r="Z491" s="1291"/>
      <c r="AA491" s="1287" t="s">
        <v>3210</v>
      </c>
      <c r="AB491" s="1292"/>
      <c r="AC491" s="1291"/>
      <c r="AD491" s="1287" t="s">
        <v>340</v>
      </c>
      <c r="AE491" s="1292"/>
      <c r="AF491" s="1291"/>
      <c r="AG491" s="1287" t="s">
        <v>668</v>
      </c>
      <c r="AH491" s="1292"/>
      <c r="AI491" s="1291"/>
      <c r="AJ491" s="1287" t="s">
        <v>593</v>
      </c>
      <c r="AK491" s="1292"/>
      <c r="AL491" s="1292"/>
      <c r="AM491" s="1287" t="s">
        <v>594</v>
      </c>
      <c r="AN491" s="1292"/>
      <c r="AO491" s="129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399999999999999"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399999999999999"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399999999999999"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399999999999999"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399999999999999"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399999999999999"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399999999999999"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399999999999999"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399999999999999"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399999999999999"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399999999999999"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399999999999999"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399999999999999"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399999999999999"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399999999999999"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399999999999999"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399999999999999"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399999999999999"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399999999999999"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399999999999999"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399999999999999"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399999999999999"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2.8">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2"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399999999999999"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7.399999999999999"/>
  <cols>
    <col min="2" max="2" width="15.19921875" hidden="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7.399999999999999"/>
  <cols>
    <col min="2" max="2" width="15.19921875" bestFit="1" customWidth="1"/>
    <col min="3" max="3" width="36" bestFit="1" customWidth="1"/>
    <col min="4" max="5" width="0" hidden="1" customWidth="1"/>
    <col min="6" max="6" width="12.69921875" hidden="1" customWidth="1"/>
    <col min="7" max="7" width="12.19921875" hidden="1" customWidth="1"/>
    <col min="8" max="11" width="0" hidden="1" customWidth="1"/>
    <col min="12" max="12" width="11.19921875" bestFit="1" customWidth="1"/>
    <col min="13" max="13" width="11.8984375" bestFit="1" customWidth="1"/>
    <col min="14" max="14" width="12.69921875" bestFit="1" customWidth="1"/>
    <col min="15" max="15" width="13.19921875" bestFit="1" customWidth="1"/>
    <col min="16" max="16" width="0" hidden="1" customWidth="1"/>
    <col min="17" max="17" width="13.5" hidden="1" customWidth="1"/>
    <col min="19" max="19" width="11.19921875" bestFit="1" customWidth="1"/>
    <col min="20" max="20" width="12.69921875" bestFit="1" customWidth="1"/>
    <col min="21" max="21" width="12.19921875" bestFit="1" customWidth="1"/>
    <col min="22" max="22" width="13.3984375" customWidth="1"/>
    <col min="23" max="23" width="14.09765625" customWidth="1"/>
    <col min="25" max="26" width="11.1992187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zoomScale="80" zoomScaleNormal="80" workbookViewId="0">
      <selection activeCell="A2" sqref="A2:AI1067"/>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324007.33</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86633.83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251280.79</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-16867.310000000001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-226294</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-61624.34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38872.83</v>
      </c>
      <c r="O51" s="706">
        <v>39350.49</v>
      </c>
      <c r="P51" s="706">
        <v>0</v>
      </c>
      <c r="Q51" s="706">
        <v>0</v>
      </c>
      <c r="R51" s="706">
        <v>0</v>
      </c>
      <c r="S51" s="706">
        <v>4859.1000000000004</v>
      </c>
      <c r="T51" s="706">
        <v>4859.1000000000004</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3903.1200000000026</v>
      </c>
      <c r="AN51" s="905">
        <f>INDEX(G51:R51,1,MATCH(Parametres!$B$3,G$1:R$1,0))*IF(OR(F51="L",F51="S",F51="I"),-1,1)</f>
        <v>38872.83</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12299.56</v>
      </c>
      <c r="O53" s="706">
        <v>12618</v>
      </c>
      <c r="P53" s="706">
        <v>0</v>
      </c>
      <c r="Q53" s="706">
        <v>0</v>
      </c>
      <c r="R53" s="706">
        <v>0</v>
      </c>
      <c r="S53" s="706">
        <v>1537.45</v>
      </c>
      <c r="T53" s="706">
        <v>1537.45</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1097.0699999999997</v>
      </c>
      <c r="AN53" s="905">
        <f>INDEX(G53:R53,1,MATCH(Parametres!$B$3,G$1:R$1,0))*IF(OR(F53="L",F53="S",F53="I"),-1,1)</f>
        <v>12299.56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87440.86</v>
      </c>
      <c r="O55" s="706">
        <v>88684.71</v>
      </c>
      <c r="P55" s="706">
        <v>0</v>
      </c>
      <c r="Q55" s="706">
        <v>0</v>
      </c>
      <c r="R55" s="706">
        <v>0</v>
      </c>
      <c r="S55" s="706">
        <v>10930.11</v>
      </c>
      <c r="T55" s="706">
        <v>10930.11</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4558.5500000000029</v>
      </c>
      <c r="AN55" s="905">
        <f>INDEX(G55:R55,1,MATCH(Parametres!$B$3,G$1:R$1,0))*IF(OR(F55="L",F55="S",F55="I"),-1,1)</f>
        <v>87440.86</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3397.93</v>
      </c>
      <c r="O57" s="706">
        <v>5374.95</v>
      </c>
      <c r="P57" s="706">
        <v>0</v>
      </c>
      <c r="Q57" s="706">
        <v>0</v>
      </c>
      <c r="R57" s="706">
        <v>0</v>
      </c>
      <c r="S57" s="706">
        <v>424.74</v>
      </c>
      <c r="T57" s="706">
        <v>424.74</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12.779999999999745</v>
      </c>
      <c r="AN57" s="905">
        <f>INDEX(G57:R57,1,MATCH(Parametres!$B$3,G$1:R$1,0))*IF(OR(F57="L",F57="S",F57="I"),-1,1)</f>
        <v>3397.93</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145332.47</v>
      </c>
      <c r="O58" s="706">
        <v>148106.29</v>
      </c>
      <c r="P58" s="706">
        <v>0</v>
      </c>
      <c r="Q58" s="706">
        <v>0</v>
      </c>
      <c r="R58" s="706">
        <v>0</v>
      </c>
      <c r="S58" s="706">
        <v>18166.560000000001</v>
      </c>
      <c r="T58" s="706">
        <v>18166.560000000001</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12944.440000000002</v>
      </c>
      <c r="AN58" s="905">
        <f>INDEX(G58:R58,1,MATCH(Parametres!$B$3,G$1:R$1,0))*IF(OR(F58="L",F58="S",F58="I"),-1,1)</f>
        <v>145332.47</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57144.76</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22747.74</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106211.3</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34313.49</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20354.39</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59517.75</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14982.9</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7456.8</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2274.77</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14475.63</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10048.58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8998.92</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82757.39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-1065.98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7481.7</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16319.65</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6109.4</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11340.87</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3410.53</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3616.24</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43190.52</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95212.63</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74476.350000000006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12377.51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26592.51</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25317.08</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17936.07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30423.439999999999</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15800.23</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75204.91</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14815.24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10153.290000000001</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12990.17</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4905.07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2847.7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4653.9399999999996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1781.88</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1423.77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447651.58</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216528.52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9817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24911.07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16086.89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31049.51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13248.39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10144.370000000001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1899452.54</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285249.17</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7616.09</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526371.21</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-32691.63</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-1284.3599999999999</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89931.83</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718844.82</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19084.38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-54670.04</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207814.78</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136708.32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200217.28</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-33613</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289994.03999999998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-148.32</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16702368.73</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225701.94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2241170.6</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579976.04</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2835054</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530351.51</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44778.43</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16303.22</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-1254.1500000000001</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-24683.16</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3443</v>
      </c>
      <c r="D441" s="706" t="s">
        <v>3444</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5149.32</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1300.9000000000001</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1440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34699.620000000003</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13387.11</v>
      </c>
      <c r="O447" s="706">
        <v>7707.74</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-2128.9699999999993</v>
      </c>
      <c r="AN447" s="905">
        <f>INDEX(G447:R447,1,MATCH(Parametres!$B$3,G$1:R$1,0))*IF(OR(F447="L",F447="S",F447="I"),-1,1)</f>
        <v>13387.11</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8431.25</v>
      </c>
      <c r="O448" s="706">
        <v>8571.6</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8410.4500000000007</v>
      </c>
      <c r="AN448" s="905">
        <f>INDEX(G448:R448,1,MATCH(Parametres!$B$3,G$1:R$1,0))*IF(OR(F448="L",F448="S",F448="I"),-1,1)</f>
        <v>8431.25</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4867.76</v>
      </c>
      <c r="O449" s="706">
        <v>2161.69</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1011.9300000000003</v>
      </c>
      <c r="AN449" s="905">
        <f>INDEX(G449:R449,1,MATCH(Parametres!$B$3,G$1:R$1,0))*IF(OR(F449="L",F449="S",F449="I"),-1,1)</f>
        <v>4867.76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5807.41</v>
      </c>
      <c r="O450" s="706">
        <v>866.65</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5173.8599999999997</v>
      </c>
      <c r="AN450" s="905">
        <f>INDEX(G450:R450,1,MATCH(Parametres!$B$3,G$1:R$1,0))*IF(OR(F450="L",F450="S",F450="I"),-1,1)</f>
        <v>5807.41</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391500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-9527.77</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96587.38</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137871.64000000001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-6306.81</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-3632.67</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277264.28999999998</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-84047.92</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776778.81</v>
      </c>
      <c r="O490" s="706">
        <v>398468.04</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1449665.83</v>
      </c>
      <c r="AN490" s="905">
        <f>INDEX(G490:R490,1,MATCH(Parametres!$B$3,G$1:R$1,0))*IF(OR(F490="L",F490="S",F490="I"),-1,1)</f>
        <v>-776778.81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6154.77</v>
      </c>
      <c r="O493" s="706">
        <v>-6007.18</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3493.1000000000004</v>
      </c>
      <c r="AN493" s="905">
        <f>INDEX(G493:R493,1,MATCH(Parametres!$B$3,G$1:R$1,0))*IF(OR(F493="L",F493="S",F493="I"),-1,1)</f>
        <v>-6154.77</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664.1</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2412</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671663.05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17503553.239999998</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3929734.17</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-28664.48</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103235.22</v>
      </c>
      <c r="O520" s="706">
        <v>9502.2800000000007</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-15182.64</v>
      </c>
      <c r="AN520" s="905">
        <f>INDEX(G520:R520,1,MATCH(Parametres!$B$3,G$1:R$1,0))*IF(OR(F520="L",F520="S",F520="I"),-1,1)</f>
        <v>-103235.22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8351.2000000000007</v>
      </c>
      <c r="O521" s="706">
        <v>18428.939999999999</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10142.790000000001</v>
      </c>
      <c r="AN521" s="905">
        <f>INDEX(G521:R521,1,MATCH(Parametres!$B$3,G$1:R$1,0))*IF(OR(F521="L",F521="S",F521="I"),-1,1)</f>
        <v>-8351.2000000000007</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-327.02</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721.9</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147174</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873709.11</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-7009.39</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-3007.5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386508.76</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11941.67</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171652.66</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52403.79</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23936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25620.080000000002</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3441</v>
      </c>
      <c r="D565" s="706" t="s">
        <v>3442</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332</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2237046.9300000002</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51</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905">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905">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905">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249722.27</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4</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905">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905">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905">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2992021.86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39</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431610.67</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4</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905">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3605711.95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46</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2583449.11</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53</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905">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199872</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3</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905">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62317816.799999997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942</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538688.44999999995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153</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905">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30936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27</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22221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35</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679152.48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22</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5510679.8600000003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158</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7039998.2699999996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185</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10446283.26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317</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487719.8</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1780</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17477.64</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133</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522110.42</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3306</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248582.5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1466</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430476.02</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2515</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413747.86</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2655</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196602.2</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1315</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103852.02</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280</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409951.1</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1350</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26216.3</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2347</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37980.58</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73</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41882.839999999997</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71</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384498.49</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331</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95259.42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83</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7367.43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44</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492114.66</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250</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3157.46</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12</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163325.04999999999</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343</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4615.22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21</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32740.21</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78</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20579.830000000002</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104</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1936.85</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18</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10732.21</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68</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519077.52</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1662</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412430.37</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1451</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312980.5</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1565</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1131600.46</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2876</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191552.01</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206</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100598.17</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1501</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905">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2172773.13</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905">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905">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905">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239632.8</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905">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905">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905">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833931.65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905">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2873492.65</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415400.39</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905">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3451097.95</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2522690.46</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193939.26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61803177.560000002</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273324.19</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905">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13343.59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641786.17000000004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5324160.3099999996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6951970.54</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10114937.390000001</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123865.83</v>
      </c>
      <c r="O922" s="706">
        <v>129706.32</v>
      </c>
      <c r="P922" s="706">
        <v>0</v>
      </c>
      <c r="Q922" s="706">
        <v>0</v>
      </c>
      <c r="R922" s="706">
        <v>0</v>
      </c>
      <c r="S922" s="706">
        <v>15483.23</v>
      </c>
      <c r="T922" s="706">
        <v>15483.23</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13359.699999999997</v>
      </c>
      <c r="AN922" s="905">
        <f>INDEX(G922:R922,1,MATCH(Parametres!$B$3,G$1:R$1,0))*IF(OR(F922="L",F922="S",F922="I"),-1,1)</f>
        <v>123865.83</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3.25</v>
      </c>
      <c r="O923" s="706">
        <v>3.25</v>
      </c>
      <c r="P923" s="706">
        <v>0</v>
      </c>
      <c r="Q923" s="706">
        <v>0</v>
      </c>
      <c r="R923" s="706">
        <v>0</v>
      </c>
      <c r="S923" s="706">
        <v>0.41</v>
      </c>
      <c r="T923" s="706">
        <v>0.41</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0</v>
      </c>
      <c r="AN923" s="905">
        <f>INDEX(G923:R923,1,MATCH(Parametres!$B$3,G$1:R$1,0))*IF(OR(F923="L",F923="S",F923="I"),-1,1)</f>
        <v>3.25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4706.13</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128183.83</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57943.14</v>
      </c>
      <c r="O931" s="706">
        <v>64541.98</v>
      </c>
      <c r="P931" s="706">
        <v>0</v>
      </c>
      <c r="Q931" s="706">
        <v>0</v>
      </c>
      <c r="R931" s="706">
        <v>0</v>
      </c>
      <c r="S931" s="706">
        <v>7242.89</v>
      </c>
      <c r="T931" s="706">
        <v>7242.89</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15103.559999999998</v>
      </c>
      <c r="AN931" s="905">
        <f>INDEX(G931:R931,1,MATCH(Parametres!$B$3,G$1:R$1,0))*IF(OR(F931="L",F931="S",F931="I"),-1,1)</f>
        <v>57943.14</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146241.79999999999</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127455.38</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34020.910000000003</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9492.4</v>
      </c>
      <c r="O939" s="706">
        <v>9492.4</v>
      </c>
      <c r="P939" s="706">
        <v>0</v>
      </c>
      <c r="Q939" s="706">
        <v>0</v>
      </c>
      <c r="R939" s="706">
        <v>0</v>
      </c>
      <c r="S939" s="706">
        <v>1186.55</v>
      </c>
      <c r="T939" s="706">
        <v>1186.55</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0</v>
      </c>
      <c r="AN939" s="905">
        <f>INDEX(G939:R939,1,MATCH(Parametres!$B$3,G$1:R$1,0))*IF(OR(F939="L",F939="S",F939="I"),-1,1)</f>
        <v>9492.4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1417.39</v>
      </c>
      <c r="O940" s="706">
        <v>1417.39</v>
      </c>
      <c r="P940" s="706">
        <v>0</v>
      </c>
      <c r="Q940" s="706">
        <v>0</v>
      </c>
      <c r="R940" s="706">
        <v>0</v>
      </c>
      <c r="S940" s="706">
        <v>177.17</v>
      </c>
      <c r="T940" s="706">
        <v>177.17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0</v>
      </c>
      <c r="AN940" s="905">
        <f>INDEX(G940:R940,1,MATCH(Parametres!$B$3,G$1:R$1,0))*IF(OR(F940="L",F940="S",F940="I"),-1,1)</f>
        <v>1417.39</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80838</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282814.39</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6549.72</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7471.13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134949.15</v>
      </c>
      <c r="O953" s="706">
        <v>138417.23000000001</v>
      </c>
      <c r="P953" s="706">
        <v>0</v>
      </c>
      <c r="Q953" s="706">
        <v>0</v>
      </c>
      <c r="R953" s="706">
        <v>0</v>
      </c>
      <c r="S953" s="706">
        <v>16868.64</v>
      </c>
      <c r="T953" s="706">
        <v>16868.64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10592.319999999992</v>
      </c>
      <c r="AN953" s="905">
        <f>INDEX(G953:R953,1,MATCH(Parametres!$B$3,G$1:R$1,0))*IF(OR(F953="L",F953="S",F953="I"),-1,1)</f>
        <v>134949.15</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25527.99</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1946.54</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15667.64</v>
      </c>
      <c r="O962" s="706">
        <v>15667.64</v>
      </c>
      <c r="P962" s="706">
        <v>0</v>
      </c>
      <c r="Q962" s="706">
        <v>0</v>
      </c>
      <c r="R962" s="706">
        <v>0</v>
      </c>
      <c r="S962" s="706">
        <v>1958.46</v>
      </c>
      <c r="T962" s="706">
        <v>1958.46</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0</v>
      </c>
      <c r="AN962" s="905">
        <f>INDEX(G962:R962,1,MATCH(Parametres!$B$3,G$1:R$1,0))*IF(OR(F962="L",F962="S",F962="I"),-1,1)</f>
        <v>15667.64</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374584.08</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110839.3</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2657.44</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21503.7</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15323.86</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1228.51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8130.79</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369861.45</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282102.53999999998</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244748.91</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942342.32</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-85953.33</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164050.93</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72673.3</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12124.29</v>
      </c>
      <c r="O1025" s="706">
        <v>13622.79</v>
      </c>
      <c r="P1025" s="706">
        <v>0</v>
      </c>
      <c r="Q1025" s="706">
        <v>0</v>
      </c>
      <c r="R1025" s="706">
        <v>0</v>
      </c>
      <c r="S1025" s="706">
        <v>1515.54</v>
      </c>
      <c r="T1025" s="706">
        <v>1515.54</v>
      </c>
      <c r="U1025" s="706">
        <v>0</v>
      </c>
      <c r="V1025" s="706">
        <v>0</v>
      </c>
      <c r="W1025" s="706">
        <v>-1</v>
      </c>
      <c r="X1025" s="706">
        <v>1</v>
      </c>
      <c r="Y1025" s="706">
        <v>8</v>
      </c>
      <c r="Z1025" s="706">
        <v>9</v>
      </c>
      <c r="AA1025" s="706">
        <v>10</v>
      </c>
      <c r="AB1025" s="706">
        <v>11</v>
      </c>
      <c r="AC1025" s="706">
        <v>11</v>
      </c>
      <c r="AD1025" s="706">
        <v>13</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0</v>
      </c>
      <c r="AN1025" s="905">
        <f>INDEX(G1025:R1025,1,MATCH(Parametres!$B$3,G$1:R$1,0))*IF(OR(F1025="L",F1025="S",F1025="I"),-1,1)</f>
        <v>-12124.29</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0</v>
      </c>
      <c r="AX1025" s="899">
        <f>INDEX(V1025:AG1025,1,MATCH(Parametres!$B$3,V$1:AG$1,0))*IF(OR(C1025="L",C1025="S",C1025="I"),-1,1)</f>
        <v>11</v>
      </c>
      <c r="AY1025" s="487" t="s">
        <v>337</v>
      </c>
      <c r="AZ1025" s="487" t="str">
        <f>+VLOOKUP($AJ1025,Data_Validation!$A:$E,5,0)</f>
        <v>Oui</v>
      </c>
    </row>
    <row r="1026" spans="1:52" ht="15"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110817.89</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43752.09</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-57</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37457.160000000003</v>
      </c>
      <c r="O1057" s="706">
        <v>37457.160000000003</v>
      </c>
      <c r="P1057" s="706">
        <v>0</v>
      </c>
      <c r="Q1057" s="706">
        <v>0</v>
      </c>
      <c r="R1057" s="706">
        <v>0</v>
      </c>
      <c r="S1057" s="706">
        <v>4682.1499999999996</v>
      </c>
      <c r="T1057" s="706">
        <v>4682.1499999999996</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-2127.3800000000047</v>
      </c>
      <c r="AN1057" s="905">
        <f>INDEX(G1057:R1057,1,MATCH(Parametres!$B$3,G$1:R$1,0))*IF(OR(F1057="L",F1057="S",F1057="I"),-1,1)</f>
        <v>-37457.160000000003</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6168.22</v>
      </c>
      <c r="O1058" s="706">
        <v>6168.22</v>
      </c>
      <c r="P1058" s="706">
        <v>0</v>
      </c>
      <c r="Q1058" s="706">
        <v>0</v>
      </c>
      <c r="R1058" s="706">
        <v>0</v>
      </c>
      <c r="S1058" s="706">
        <v>771.03</v>
      </c>
      <c r="T1058" s="706">
        <v>771.03</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-1424.1000000000004</v>
      </c>
      <c r="AN1058" s="905">
        <f>INDEX(G1058:R1058,1,MATCH(Parametres!$B$3,G$1:R$1,0))*IF(OR(F1058="L",F1058="S",F1058="I"),-1,1)</f>
        <v>-6168.22</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89621.54</v>
      </c>
      <c r="O1059" s="706">
        <v>89621.54</v>
      </c>
      <c r="P1059" s="706">
        <v>0</v>
      </c>
      <c r="Q1059" s="706">
        <v>0</v>
      </c>
      <c r="R1059" s="706">
        <v>0</v>
      </c>
      <c r="S1059" s="706">
        <v>11202.69</v>
      </c>
      <c r="T1059" s="706">
        <v>11202.69</v>
      </c>
      <c r="U1059" s="706">
        <v>0</v>
      </c>
      <c r="V1059" s="706">
        <v>0</v>
      </c>
      <c r="W1059" s="706">
        <v>0</v>
      </c>
      <c r="X1059" s="706">
        <v>2</v>
      </c>
      <c r="Y1059" s="706">
        <v>4</v>
      </c>
      <c r="Z1059" s="706">
        <v>6</v>
      </c>
      <c r="AA1059" s="706">
        <v>8</v>
      </c>
      <c r="AB1059" s="706">
        <v>10</v>
      </c>
      <c r="AC1059" s="706">
        <v>10</v>
      </c>
      <c r="AD1059" s="706">
        <v>10</v>
      </c>
      <c r="AE1059" s="706">
        <v>0</v>
      </c>
      <c r="AF1059" s="706">
        <v>0</v>
      </c>
      <c r="AG1059" s="706">
        <v>0</v>
      </c>
      <c r="AH1059" s="706">
        <v>1</v>
      </c>
      <c r="AI1059" s="706">
        <v>1</v>
      </c>
      <c r="AJ1059" s="905" t="str">
        <f t="shared" si="110"/>
        <v>G90800</v>
      </c>
      <c r="AK1059" s="905" t="str">
        <f t="shared" si="111"/>
        <v>REVENU INTERET (PRETS)</v>
      </c>
      <c r="AL1059" s="905">
        <f>IFERROR(INDEX(G1059:R1059,1,MATCH(Parametres!$B$3,G$1:R$1,0)-1)*IF(OR(F1059="L",F1059="S",F1059="I"),-1,1),"")</f>
        <v>-89621.54</v>
      </c>
      <c r="AM1059" s="905">
        <f t="shared" si="112"/>
        <v>0</v>
      </c>
      <c r="AN1059" s="905">
        <f>INDEX(G1059:R1059,1,MATCH(Parametres!$B$3,G$1:R$1,0))*IF(OR(F1059="L",F1059="S",F1059="I"),-1,1)</f>
        <v>-89621.54</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0</v>
      </c>
      <c r="AX1059" s="899">
        <f>INDEX(V1059:AG1059,1,MATCH(Parametres!$B$3,V$1:AG$1,0))*IF(OR(C1059="L",C1059="S",C1059="I"),-1,1)</f>
        <v>10</v>
      </c>
      <c r="AY1059" s="487" t="s">
        <v>337</v>
      </c>
      <c r="AZ1059" s="487">
        <f>+VLOOKUP($AJ1059,Data_Validation!$A:$E,5,0)</f>
        <v>0</v>
      </c>
    </row>
    <row r="1060" spans="1:52" ht="15"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133076.69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44</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51531.23</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59765625" defaultRowHeight="15" customHeight="1" outlineLevelCol="1"/>
  <cols>
    <col min="1" max="1" width="8" bestFit="1" customWidth="1"/>
    <col min="2" max="2" width="34.5" customWidth="1"/>
    <col min="3" max="3" width="16.59765625" customWidth="1"/>
    <col min="4" max="4" width="27.5" customWidth="1"/>
    <col min="5" max="5" width="8.3984375" bestFit="1" customWidth="1"/>
    <col min="6" max="6" width="21.69921875" customWidth="1"/>
    <col min="7" max="7" width="28.59765625" hidden="1" customWidth="1" outlineLevel="1"/>
    <col min="8" max="8" width="3.19921875" hidden="1" customWidth="1" outlineLevel="1"/>
    <col min="9" max="9" width="35.3984375" hidden="1" customWidth="1" outlineLevel="1"/>
    <col min="10" max="10" width="9.3984375" hidden="1" customWidth="1" collapsed="1"/>
    <col min="11" max="12" width="9.3984375" hidden="1" customWidth="1"/>
    <col min="13" max="27" width="9.3984375" customWidth="1"/>
  </cols>
  <sheetData>
    <row r="1" spans="1:11" ht="14.4">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59765625" defaultRowHeight="15" customHeight="1"/>
  <cols>
    <col min="1" max="1" width="3.69921875" style="706" bestFit="1" customWidth="1"/>
    <col min="2" max="2" width="6.5" style="706" bestFit="1" customWidth="1"/>
    <col min="3" max="3" width="9.3984375" style="706" bestFit="1" customWidth="1"/>
    <col min="4" max="4" width="32.3984375" style="706" bestFit="1" customWidth="1"/>
    <col min="5" max="5" width="2.69921875" style="706" bestFit="1" customWidth="1"/>
    <col min="6" max="6" width="5.09765625" style="706" bestFit="1" customWidth="1"/>
    <col min="7" max="7" width="18" style="706" bestFit="1" customWidth="1"/>
    <col min="8" max="8" width="17.59765625" style="706" bestFit="1" customWidth="1"/>
    <col min="9" max="9" width="15.8984375" style="706" bestFit="1" customWidth="1"/>
    <col min="10" max="10" width="15.09765625" style="706" bestFit="1" customWidth="1"/>
    <col min="11" max="11" width="14.59765625" style="706" bestFit="1" customWidth="1"/>
    <col min="12" max="12" width="15.19921875" style="706" bestFit="1" customWidth="1"/>
    <col min="13" max="13" width="16.69921875" style="706" bestFit="1" customWidth="1"/>
    <col min="14" max="14" width="15.5" style="706" bestFit="1" customWidth="1"/>
    <col min="15" max="15" width="21.3984375" style="706" bestFit="1" customWidth="1"/>
    <col min="16" max="16" width="18.59765625" style="706" bestFit="1" customWidth="1"/>
    <col min="17" max="17" width="20.69921875" style="706" bestFit="1" customWidth="1"/>
    <col min="18" max="18" width="20.8984375" style="706" bestFit="1" customWidth="1"/>
    <col min="19" max="19" width="22.3984375" style="706" bestFit="1" customWidth="1"/>
    <col min="20" max="20" width="25.19921875" style="706" bestFit="1" customWidth="1"/>
    <col min="21" max="21" width="15" style="706" bestFit="1" customWidth="1"/>
    <col min="22" max="22" width="18.59765625" style="706" bestFit="1" customWidth="1"/>
    <col min="23" max="23" width="18.19921875" style="706" bestFit="1" customWidth="1"/>
    <col min="24" max="24" width="16.5" style="706" bestFit="1" customWidth="1"/>
    <col min="25" max="25" width="15.69921875" style="706" bestFit="1" customWidth="1"/>
    <col min="26" max="26" width="15.19921875" style="706" bestFit="1" customWidth="1"/>
    <col min="27" max="27" width="15.8984375" style="706" bestFit="1" customWidth="1"/>
    <col min="28" max="28" width="17.3984375" style="706" bestFit="1" customWidth="1"/>
    <col min="29" max="29" width="16.09765625" style="706" bestFit="1" customWidth="1"/>
    <col min="30" max="30" width="22" style="706" bestFit="1" customWidth="1"/>
    <col min="31" max="31" width="19.19921875" style="706" bestFit="1" customWidth="1"/>
    <col min="32" max="32" width="21.3984375" style="706" bestFit="1" customWidth="1"/>
    <col min="33" max="33" width="21.5" style="706" bestFit="1" customWidth="1"/>
    <col min="34" max="34" width="23" style="706" bestFit="1" customWidth="1"/>
    <col min="35" max="35" width="25.8984375" style="706" bestFit="1" customWidth="1"/>
    <col min="36" max="36" width="12.8984375" customWidth="1"/>
    <col min="37" max="37" width="39.69921875" customWidth="1"/>
    <col min="38" max="38" width="19.59765625" style="905" bestFit="1" customWidth="1"/>
    <col min="39" max="39" width="19.3984375" style="905" customWidth="1"/>
    <col min="40" max="40" width="16.3984375" style="905" bestFit="1" customWidth="1"/>
    <col min="41" max="41" width="13" customWidth="1"/>
    <col min="42" max="42" width="42.69921875" customWidth="1"/>
    <col min="43" max="43" width="25.3984375" customWidth="1"/>
    <col min="44" max="44" width="16.8984375" customWidth="1"/>
    <col min="45" max="45" width="11.5" customWidth="1"/>
    <col min="46" max="46" width="13" bestFit="1" customWidth="1"/>
    <col min="47" max="47" width="32.3984375" bestFit="1" customWidth="1"/>
    <col min="48" max="48" width="16.19921875" bestFit="1" customWidth="1"/>
    <col min="49" max="49" width="12.69921875" bestFit="1" customWidth="1"/>
    <col min="50" max="50" width="11.3984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3.8"/>
  <cols>
    <col min="1" max="1" width="11" style="1059"/>
    <col min="2" max="2" width="23.19921875" style="1059" bestFit="1" customWidth="1"/>
    <col min="3" max="3" width="13.19921875" style="1060" customWidth="1"/>
    <col min="4" max="4" width="13.19921875" style="1060" hidden="1" customWidth="1"/>
    <col min="5" max="5" width="13.19921875" style="1059" hidden="1" customWidth="1"/>
    <col min="6" max="8" width="13.19921875" style="1059" customWidth="1"/>
    <col min="9" max="16384" width="11" style="1059"/>
  </cols>
  <sheetData>
    <row r="2" spans="2:7" ht="15" customHeight="1"/>
    <row r="3" spans="2:7" ht="14.4" thickBot="1"/>
    <row r="4" spans="2:7" ht="21.6" thickBot="1">
      <c r="C4" s="1299" t="s">
        <v>14</v>
      </c>
      <c r="D4" s="1300"/>
      <c r="E4" s="1300"/>
      <c r="F4" s="1300"/>
      <c r="G4" s="1301"/>
    </row>
    <row r="5" spans="2:7" s="1061" customFormat="1" ht="28.2" thickBot="1">
      <c r="C5" s="1062" t="s">
        <v>3186</v>
      </c>
      <c r="D5" s="1063" t="s">
        <v>282</v>
      </c>
      <c r="E5" s="1064" t="s">
        <v>3165</v>
      </c>
      <c r="F5" s="1063">
        <v>2025</v>
      </c>
      <c r="G5" s="1064" t="s">
        <v>3166</v>
      </c>
    </row>
    <row r="6" spans="2:7" s="1061" customFormat="1" ht="14.4"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4.4"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4.4" thickBot="1">
      <c r="B15" s="1075" t="s">
        <v>3172</v>
      </c>
      <c r="C15" s="1076">
        <f>Print_Mois!L390</f>
        <v>92322.530000000188</v>
      </c>
      <c r="D15" s="1077"/>
      <c r="E15" s="1078">
        <f t="shared" si="0"/>
        <v>92322.530000000188</v>
      </c>
      <c r="F15" s="1077">
        <f>Print_Mois!Q390</f>
        <v>97640.879999999976</v>
      </c>
      <c r="G15" s="1078">
        <f t="shared" si="1"/>
        <v>-5318.3499999997875</v>
      </c>
    </row>
    <row r="16" spans="2:7" ht="14.4" thickTop="1">
      <c r="B16" s="1079" t="s">
        <v>3173</v>
      </c>
      <c r="C16" s="1080">
        <f>SUM(C9:C15)</f>
        <v>480538.85999999702</v>
      </c>
      <c r="D16" s="1081">
        <f>SUM(D9:D15)</f>
        <v>0</v>
      </c>
      <c r="E16" s="1082">
        <f t="shared" si="0"/>
        <v>480538.85999999702</v>
      </c>
      <c r="F16" s="1081">
        <f>SUM(F9:F15)</f>
        <v>789154.20999998925</v>
      </c>
      <c r="G16" s="1082">
        <f t="shared" si="1"/>
        <v>-308615.34999999224</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-485436.44000000006</v>
      </c>
      <c r="D18" s="1077"/>
      <c r="E18" s="1078">
        <f t="shared" si="0"/>
        <v>-485436.44000000006</v>
      </c>
      <c r="F18" s="1077">
        <f>-Print_Mois!AL555</f>
        <v>-726933.25000000012</v>
      </c>
      <c r="G18" s="1078">
        <f t="shared" si="1"/>
        <v>241496.81000000006</v>
      </c>
    </row>
    <row r="19" spans="2:7" ht="14.4"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5" thickTop="1" thickBot="1">
      <c r="B20" s="1083" t="s">
        <v>3177</v>
      </c>
      <c r="C20" s="1084">
        <f>SUM(C16:C19)</f>
        <v>22337.059999996884</v>
      </c>
      <c r="D20" s="1085">
        <f t="shared" ref="D20:G20" si="2">SUM(D16:D19)</f>
        <v>0</v>
      </c>
      <c r="E20" s="1086">
        <f t="shared" si="2"/>
        <v>22337.059999996884</v>
      </c>
      <c r="F20" s="1085">
        <f t="shared" si="2"/>
        <v>57695.159999989097</v>
      </c>
      <c r="G20" s="1086">
        <f t="shared" si="2"/>
        <v>-35358.099999992184</v>
      </c>
    </row>
    <row r="21" spans="2:7" ht="14.4" thickBot="1"/>
    <row r="22" spans="2:7" ht="21.6" thickBot="1">
      <c r="C22" s="1299" t="s">
        <v>3435</v>
      </c>
      <c r="D22" s="1300"/>
      <c r="E22" s="1300"/>
      <c r="F22" s="1300"/>
      <c r="G22" s="1301"/>
    </row>
    <row r="23" spans="2:7" ht="28.2" thickBot="1">
      <c r="B23" s="1061"/>
      <c r="C23" s="1062" t="s">
        <v>3187</v>
      </c>
      <c r="D23" s="1063" t="s">
        <v>3178</v>
      </c>
      <c r="E23" s="1064" t="s">
        <v>3165</v>
      </c>
      <c r="F23" s="1063" t="s">
        <v>3179</v>
      </c>
      <c r="G23" s="1064" t="s">
        <v>3166</v>
      </c>
    </row>
    <row r="24" spans="2:7" ht="14.4"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4.4"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4.4" thickBot="1">
      <c r="B33" s="1075" t="s">
        <v>3172</v>
      </c>
      <c r="C33" s="1076">
        <f>Print_AAD!L390</f>
        <v>786317.29000000027</v>
      </c>
      <c r="D33" s="1077"/>
      <c r="E33" s="1078">
        <f t="shared" si="3"/>
        <v>786317.29000000027</v>
      </c>
      <c r="F33" s="1077">
        <f>Print_AAD!Q390</f>
        <v>776387.20000000007</v>
      </c>
      <c r="G33" s="1078">
        <f t="shared" si="4"/>
        <v>9930.0900000002002</v>
      </c>
    </row>
    <row r="34" spans="2:8" ht="14.4" thickTop="1">
      <c r="B34" s="1079" t="s">
        <v>3173</v>
      </c>
      <c r="C34" s="1080">
        <f>SUM(C27:C33)</f>
        <v>6232251.8100000015</v>
      </c>
      <c r="D34" s="1081">
        <f>SUM(D27:D33)</f>
        <v>0</v>
      </c>
      <c r="E34" s="1082">
        <f t="shared" si="3"/>
        <v>6232251.8100000015</v>
      </c>
      <c r="F34" s="1081">
        <f>SUM(F27:F33)</f>
        <v>7214386.2599999923</v>
      </c>
      <c r="G34" s="1082">
        <f t="shared" si="4"/>
        <v>-982134.44999999087</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-4612206.75</v>
      </c>
      <c r="D36" s="1077"/>
      <c r="E36" s="1078">
        <f t="shared" si="3"/>
        <v>-4612206.75</v>
      </c>
      <c r="F36" s="1077">
        <f>-Print_AAD!AL555</f>
        <v>-5003329.8099999996</v>
      </c>
      <c r="G36" s="1078">
        <f t="shared" si="4"/>
        <v>391123.05999999959</v>
      </c>
      <c r="H36" s="1102" t="s">
        <v>3192</v>
      </c>
    </row>
    <row r="37" spans="2:8" ht="14.4"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5" thickTop="1" thickBot="1">
      <c r="B38" s="1083" t="s">
        <v>3177</v>
      </c>
      <c r="C38" s="1084">
        <f t="shared" ref="C38:G38" si="5">SUM(C34:C37)</f>
        <v>1883699.1400000011</v>
      </c>
      <c r="D38" s="1085">
        <f t="shared" si="5"/>
        <v>0</v>
      </c>
      <c r="E38" s="1086">
        <f t="shared" si="5"/>
        <v>1883699.1400000011</v>
      </c>
      <c r="F38" s="1085">
        <f t="shared" si="5"/>
        <v>2583564.0299999933</v>
      </c>
      <c r="G38" s="1086">
        <f t="shared" si="5"/>
        <v>-699864.88999999128</v>
      </c>
    </row>
    <row r="40" spans="2:8" ht="21.6" hidden="1" thickBot="1">
      <c r="C40" s="1299" t="s">
        <v>3181</v>
      </c>
      <c r="D40" s="1300"/>
      <c r="E40" s="1300"/>
      <c r="F40" s="1300"/>
      <c r="G40" s="1301"/>
    </row>
    <row r="41" spans="2:8" ht="27.6"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4.4"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4.4"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6" hidden="1" thickBot="1">
      <c r="C54" s="1299" t="s">
        <v>3206</v>
      </c>
      <c r="D54" s="1300"/>
      <c r="E54" s="1300"/>
      <c r="F54" s="1300"/>
      <c r="G54" s="1301"/>
    </row>
    <row r="55" spans="2:7" ht="28.2" hidden="1" thickBot="1">
      <c r="B55" s="1061"/>
      <c r="C55" s="1062" t="s">
        <v>3187</v>
      </c>
      <c r="D55" s="1063" t="s">
        <v>3178</v>
      </c>
      <c r="E55" s="1064" t="s">
        <v>3165</v>
      </c>
      <c r="F55" s="1063" t="s">
        <v>3179</v>
      </c>
      <c r="G55" s="1064" t="s">
        <v>3166</v>
      </c>
    </row>
    <row r="56" spans="2:7" ht="14.4"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4.4"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4.4" hidden="1" thickBot="1">
      <c r="B65" s="1075" t="s">
        <v>3172</v>
      </c>
      <c r="C65" s="1076">
        <f>'Q2'!L390</f>
        <v>298770.57999999996</v>
      </c>
      <c r="D65" s="1077"/>
      <c r="E65" s="1078">
        <f t="shared" si="11"/>
        <v>298770.57999999996</v>
      </c>
      <c r="F65" s="1077">
        <f>'Q2'!Q390</f>
        <v>295186.97999999992</v>
      </c>
      <c r="G65" s="1078">
        <f t="shared" si="10"/>
        <v>3583.6000000000349</v>
      </c>
    </row>
    <row r="66" spans="2:7" ht="14.4"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4.4"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3.8"/>
  <cols>
    <col min="1" max="1" width="39.3984375" customWidth="1"/>
    <col min="2" max="22" width="17.19921875" customWidth="1"/>
  </cols>
  <sheetData>
    <row r="1" spans="1:22" s="1248" customFormat="1" ht="22.8">
      <c r="C1" s="1248" t="s">
        <v>3425</v>
      </c>
      <c r="F1" s="1248" t="s">
        <v>3426</v>
      </c>
      <c r="I1" s="1248" t="s">
        <v>3427</v>
      </c>
      <c r="L1" s="1248" t="s">
        <v>3428</v>
      </c>
      <c r="O1" s="1248" t="s">
        <v>3429</v>
      </c>
      <c r="R1" s="1248" t="s">
        <v>3430</v>
      </c>
      <c r="U1" s="1248" t="s">
        <v>3436</v>
      </c>
    </row>
    <row r="3" spans="1:22" ht="35.4">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6"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6"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399999999999999">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399999999999999">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399999999999999">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399999999999999">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399999999999999">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399999999999999">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399999999999999">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399999999999999">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399999999999999">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1">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1">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1">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399999999999999">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1">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1">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1">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1">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399999999999999">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399999999999999">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399999999999999">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1">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399999999999999">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6"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6"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6"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1">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399999999999999">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399999999999999">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399999999999999">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399999999999999">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399999999999999">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399999999999999">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399999999999999">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399999999999999">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399999999999999">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399999999999999">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1">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399999999999999">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399999999999999">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399999999999999">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399999999999999">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399999999999999">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399999999999999">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399999999999999">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399999999999999">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399999999999999">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399999999999999">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399999999999999">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399999999999999">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1">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399999999999999">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399999999999999">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399999999999999">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399999999999999">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399999999999999">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399999999999999">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399999999999999">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399999999999999">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399999999999999">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399999999999999">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399999999999999">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399999999999999">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399999999999999">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399999999999999">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399999999999999">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399999999999999">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399999999999999">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1">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399999999999999">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1">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399999999999999">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399999999999999">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399999999999999">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399999999999999">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399999999999999">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399999999999999">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399999999999999">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399999999999999">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1">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1">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6"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3.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2.8">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4">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6" thickBot="1">
      <c r="A92" s="34"/>
      <c r="B92" s="35"/>
      <c r="C92" s="35"/>
      <c r="D92" s="35"/>
      <c r="E92" s="35"/>
      <c r="F92" s="35"/>
      <c r="G92" s="35"/>
      <c r="H92" s="35"/>
      <c r="I92" s="35"/>
      <c r="J92" s="35"/>
      <c r="K92" s="35"/>
      <c r="L92" s="35"/>
      <c r="M92" s="35"/>
      <c r="N92" s="35"/>
      <c r="O92" s="35"/>
      <c r="P92" s="35"/>
      <c r="Q92" s="35"/>
      <c r="R92" s="35"/>
      <c r="S92" s="35"/>
      <c r="T92" s="35"/>
      <c r="U92" s="35"/>
      <c r="V92" s="35"/>
    </row>
    <row r="93" spans="1:22" ht="21.6"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399999999999999">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399999999999999">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399999999999999">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399999999999999">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399999999999999">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1">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1">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1">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1">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1">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399999999999999">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399999999999999">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399999999999999">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399999999999999">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1">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1">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6"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6"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6"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1">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399999999999999">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399999999999999">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399999999999999">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399999999999999">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399999999999999">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399999999999999">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399999999999999">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399999999999999">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399999999999999">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399999999999999">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1">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399999999999999">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399999999999999">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399999999999999">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399999999999999">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399999999999999">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399999999999999">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399999999999999">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399999999999999">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399999999999999">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399999999999999">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399999999999999">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399999999999999">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1">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399999999999999">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399999999999999">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399999999999999">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399999999999999">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399999999999999">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399999999999999">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399999999999999">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399999999999999">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399999999999999">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399999999999999">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399999999999999">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399999999999999">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399999999999999">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399999999999999">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399999999999999">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399999999999999">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399999999999999">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1">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399999999999999">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1">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1">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1">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399999999999999">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399999999999999">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399999999999999">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399999999999999">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399999999999999">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1">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399999999999999">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6"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6"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4">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6"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6"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399999999999999">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399999999999999">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399999999999999">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399999999999999">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399999999999999">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399999999999999">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399999999999999">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399999999999999">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399999999999999">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6"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6"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6"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1">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399999999999999">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399999999999999">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399999999999999">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399999999999999">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399999999999999">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399999999999999">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399999999999999">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399999999999999">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399999999999999">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399999999999999">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1">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399999999999999">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399999999999999">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399999999999999">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399999999999999">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399999999999999">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399999999999999">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399999999999999">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399999999999999">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399999999999999">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399999999999999">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399999999999999">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399999999999999">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1">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399999999999999">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399999999999999">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399999999999999">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399999999999999">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399999999999999">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399999999999999">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399999999999999">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399999999999999">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399999999999999">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399999999999999">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399999999999999">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399999999999999">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399999999999999">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399999999999999">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399999999999999">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399999999999999">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399999999999999">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1">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399999999999999">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1">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1">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1">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399999999999999">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399999999999999">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399999999999999">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399999999999999">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399999999999999">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1">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399999999999999">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6"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6"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4">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6"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6"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399999999999999">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399999999999999">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399999999999999">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399999999999999">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399999999999999">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399999999999999">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399999999999999">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399999999999999">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399999999999999">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399999999999999">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399999999999999">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399999999999999">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399999999999999">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6"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1">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399999999999999">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399999999999999">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399999999999999">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1">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399999999999999">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1">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6"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6"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6"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6"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1">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399999999999999">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399999999999999">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399999999999999">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399999999999999">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399999999999999">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399999999999999">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399999999999999">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399999999999999">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399999999999999">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399999999999999">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399999999999999">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399999999999999">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1">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399999999999999">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399999999999999">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399999999999999">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399999999999999">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399999999999999">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399999999999999">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399999999999999">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399999999999999">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399999999999999">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399999999999999">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399999999999999">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399999999999999">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399999999999999">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399999999999999">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399999999999999">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399999999999999">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399999999999999">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399999999999999">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1">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399999999999999">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1">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399999999999999">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6"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4">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6"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6"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399999999999999">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399999999999999">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399999999999999">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399999999999999">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399999999999999">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399999999999999">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399999999999999">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399999999999999">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399999999999999">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399999999999999">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399999999999999">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399999999999999">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6"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6"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1">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399999999999999">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399999999999999">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399999999999999">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399999999999999">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399999999999999">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399999999999999">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399999999999999">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399999999999999">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399999999999999">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399999999999999">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399999999999999">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399999999999999">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1">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399999999999999">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399999999999999">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399999999999999">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399999999999999">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399999999999999">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399999999999999">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399999999999999">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399999999999999">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399999999999999">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399999999999999">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399999999999999">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399999999999999">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399999999999999">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399999999999999">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399999999999999">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399999999999999">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399999999999999">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399999999999999">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1">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399999999999999">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1">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399999999999999">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6"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4">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6"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6"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399999999999999">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399999999999999">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399999999999999">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399999999999999">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399999999999999">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399999999999999">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399999999999999">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399999999999999">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399999999999999">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399999999999999">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1">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399999999999999">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399999999999999">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399999999999999">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399999999999999">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1">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399999999999999">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399999999999999">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399999999999999">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6"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6"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6"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1">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399999999999999">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399999999999999">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399999999999999">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399999999999999">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399999999999999">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399999999999999">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399999999999999">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399999999999999">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399999999999999">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399999999999999">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399999999999999">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399999999999999">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1">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399999999999999">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399999999999999">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399999999999999">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399999999999999">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399999999999999">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399999999999999">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399999999999999">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399999999999999">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399999999999999">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399999999999999">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399999999999999">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399999999999999">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399999999999999">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399999999999999">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399999999999999">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399999999999999">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399999999999999">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399999999999999">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1">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399999999999999">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1">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399999999999999">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6"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6"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1">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4">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6"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6"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399999999999999">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399999999999999">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399999999999999">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399999999999999">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399999999999999">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399999999999999">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399999999999999">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399999999999999">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399999999999999">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399999999999999">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399999999999999">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399999999999999">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6"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6"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6"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1">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399999999999999">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399999999999999">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399999999999999">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399999999999999">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399999999999999">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399999999999999">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399999999999999">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399999999999999">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399999999999999">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399999999999999">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399999999999999">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399999999999999">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1">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399999999999999">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399999999999999">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399999999999999">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399999999999999">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399999999999999">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399999999999999">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399999999999999">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399999999999999">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399999999999999">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399999999999999">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399999999999999">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399999999999999">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399999999999999">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399999999999999">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399999999999999">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399999999999999">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399999999999999">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1">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399999999999999">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1">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399999999999999">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6"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6"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1">
      <c r="D490" s="305"/>
      <c r="G490" s="305"/>
      <c r="J490" s="305"/>
      <c r="M490" s="305"/>
      <c r="P490" s="305"/>
      <c r="S490" s="305"/>
      <c r="V490" s="305"/>
    </row>
    <row r="491" spans="1:22" ht="35.4">
      <c r="A491" s="656" t="s">
        <v>1161</v>
      </c>
      <c r="D491" s="709"/>
      <c r="G491" s="709"/>
      <c r="J491" s="709"/>
      <c r="M491" s="709"/>
      <c r="P491" s="709"/>
      <c r="S491" s="709"/>
      <c r="V491" s="709"/>
    </row>
    <row r="492" spans="1:22" ht="18" thickBot="1">
      <c r="A492" s="376"/>
    </row>
    <row r="493" spans="1:22" ht="22.2"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399999999999999">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7.399999999999999">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7.399999999999999">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7.399999999999999">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7.399999999999999">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7.399999999999999">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7.399999999999999">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7.399999999999999">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7.399999999999999">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7.399999999999999">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7.399999999999999">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7.399999999999999">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7.399999999999999">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7.399999999999999">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7.399999999999999">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7.399999999999999">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7.399999999999999">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7.399999999999999">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7.399999999999999">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7.399999999999999">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7.399999999999999">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7.399999999999999">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7.399999999999999">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7.399999999999999">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7.399999999999999">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7.399999999999999">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7.399999999999999">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399999999999999">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7.399999999999999">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7.399999999999999">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7.399999999999999">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7.399999999999999">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7.399999999999999">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7.399999999999999">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7.399999999999999">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7.399999999999999">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7.399999999999999">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7.399999999999999">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7.399999999999999">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7.399999999999999">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7.399999999999999">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7.399999999999999">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7.399999999999999">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7.399999999999999">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7.399999999999999">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7.399999999999999">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7.399999999999999">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7.399999999999999">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7.399999999999999">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7.399999999999999">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7.399999999999999">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7.399999999999999">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7.399999999999999">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7.399999999999999">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7.399999999999999">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7.399999999999999">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7.399999999999999">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7.399999999999999">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7.399999999999999">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7.399999999999999">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7.399999999999999">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7.399999999999999">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7.399999999999999">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7.399999999999999">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7.399999999999999">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7.399999999999999">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7.399999999999999">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7.399999999999999">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7.399999999999999">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7.399999999999999">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7.399999999999999">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7.399999999999999">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7.399999999999999">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7.399999999999999">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7.399999999999999">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7.399999999999999">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7.399999999999999">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8.600000000000001"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2.8">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4">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8.600000000000001"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8.600000000000001"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6"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7.399999999999999">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399999999999999">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399999999999999">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399999999999999">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7.399999999999999">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7.399999999999999">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8.600000000000001"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4.4"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2026-09-15T19:17:14Z</dcterms:modified>
</cp:coreProperties>
</file>