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7E7FA0DA-3367-4200-9DC0-370AA1EA1B85}" xr6:coauthVersionLast="47" xr6:coauthVersionMax="47" xr10:uidLastSave="{00000000-0000-0000-0000-000000000000}"/>
  <bookViews>
    <workbookView xWindow="28680" yWindow="-120" windowWidth="29040" windowHeight="15720" tabRatio="953" activeTab="1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Capex quart" sheetId="25" r:id="rId17"/>
  </sheets>
  <externalReferences>
    <externalReference r:id="rId18"/>
    <externalReference r:id="rId19"/>
    <externalReference r:id="rId20"/>
    <externalReference r:id="rId21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16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16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16" hidden="1">OFFSET(#REF!,5,0,COUNTA(#REF!)-COUNTA(#REF!),1)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16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16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16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16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16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6" hidden="1">OFFSET(#REF!,5,0,COUNTA(#REF!)-COUNTA(#REF!),1)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16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16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16" hidden="1">OFFSET(#REF!,5,0,COUNTA(#REF!)-COUNTA(#REF!),1)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16" hidden="1">OFFSET(#REF!,5,0,COUNTA(#REF!)-COUNTA(#REF!),1)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16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16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16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16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16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6">'Capex quart'!$A$1:$L$40</definedName>
    <definedName name="_xlnm.Print_Area" localSheetId="10">Print_AAD!$C$1:$S$353,Print_AAD!$V$402:$AO$499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F508" i="17" l="1"/>
  <c r="AF504" i="17"/>
  <c r="V117" i="3" l="1"/>
  <c r="AQ469" i="3"/>
  <c r="AQ446" i="3"/>
  <c r="AQ437" i="3"/>
  <c r="AQ434" i="3"/>
  <c r="AQ458" i="3"/>
  <c r="AQ480" i="3" l="1"/>
  <c r="AQ471" i="3"/>
  <c r="C7" i="26" l="1"/>
  <c r="AR483" i="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352" i="3"/>
  <c r="N288" i="3"/>
  <c r="N232" i="3"/>
  <c r="M182" i="3"/>
  <c r="B1" i="15"/>
  <c r="L3" i="21" l="1"/>
  <c r="P5" i="23" l="1"/>
  <c r="Q5" i="23"/>
  <c r="L2" i="22"/>
  <c r="L6" i="25" l="1"/>
  <c r="E6" i="23"/>
  <c r="K12" i="25"/>
  <c r="J12" i="25"/>
  <c r="I12" i="25"/>
  <c r="H12" i="25"/>
  <c r="K11" i="25"/>
  <c r="J11" i="25"/>
  <c r="I11" i="25"/>
  <c r="H11" i="25"/>
  <c r="K10" i="25"/>
  <c r="J10" i="25"/>
  <c r="I10" i="25"/>
  <c r="H10" i="25"/>
  <c r="K9" i="25"/>
  <c r="J9" i="25"/>
  <c r="I9" i="25"/>
  <c r="H9" i="25"/>
  <c r="K8" i="25"/>
  <c r="J8" i="25"/>
  <c r="I8" i="25"/>
  <c r="H8" i="25"/>
  <c r="K7" i="25"/>
  <c r="J7" i="25"/>
  <c r="I7" i="25"/>
  <c r="H7" i="25"/>
  <c r="C14" i="25"/>
  <c r="C13" i="25"/>
  <c r="C12" i="25"/>
  <c r="C11" i="25"/>
  <c r="C10" i="25"/>
  <c r="C9" i="25"/>
  <c r="C8" i="25"/>
  <c r="C7" i="25"/>
  <c r="C6" i="25"/>
  <c r="H13" i="25"/>
  <c r="I13" i="25"/>
  <c r="J13" i="25"/>
  <c r="K13" i="25"/>
  <c r="H14" i="25"/>
  <c r="I14" i="25"/>
  <c r="J14" i="25"/>
  <c r="K14" i="25"/>
  <c r="K6" i="25"/>
  <c r="J6" i="25"/>
  <c r="I6" i="25"/>
  <c r="H6" i="25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G34" i="25" s="1"/>
  <c r="E33" i="25"/>
  <c r="G33" i="25" s="1"/>
  <c r="E32" i="25"/>
  <c r="G32" i="25" s="1"/>
  <c r="E31" i="25"/>
  <c r="G31" i="25" s="1"/>
  <c r="E30" i="25"/>
  <c r="G30" i="25" s="1"/>
  <c r="E29" i="25"/>
  <c r="G29" i="25" s="1"/>
  <c r="E28" i="25"/>
  <c r="G28" i="25" s="1"/>
  <c r="E27" i="25"/>
  <c r="G27" i="25" s="1"/>
  <c r="E26" i="25"/>
  <c r="G26" i="25" s="1"/>
  <c r="E25" i="25"/>
  <c r="G25" i="25" s="1"/>
  <c r="E24" i="25"/>
  <c r="G24" i="25" s="1"/>
  <c r="E23" i="25"/>
  <c r="G23" i="25" s="1"/>
  <c r="E22" i="25"/>
  <c r="G22" i="25" s="1"/>
  <c r="E21" i="25"/>
  <c r="G21" i="25" s="1"/>
  <c r="E20" i="25"/>
  <c r="G20" i="25" s="1"/>
  <c r="E19" i="25"/>
  <c r="G19" i="25" s="1"/>
  <c r="E18" i="25"/>
  <c r="G18" i="25" s="1"/>
  <c r="E17" i="25"/>
  <c r="G17" i="25" s="1"/>
  <c r="E16" i="25"/>
  <c r="G16" i="25" s="1"/>
  <c r="E15" i="25"/>
  <c r="G15" i="25" s="1"/>
  <c r="F5" i="25"/>
  <c r="E14" i="25" l="1"/>
  <c r="G14" i="25" s="1"/>
  <c r="H5" i="25"/>
  <c r="E10" i="25"/>
  <c r="G10" i="25" s="1"/>
  <c r="E8" i="25"/>
  <c r="G8" i="25" s="1"/>
  <c r="E11" i="25"/>
  <c r="G11" i="25" s="1"/>
  <c r="E12" i="25"/>
  <c r="G12" i="25" s="1"/>
  <c r="E6" i="25"/>
  <c r="G6" i="25" s="1"/>
  <c r="K5" i="25"/>
  <c r="E9" i="25"/>
  <c r="G9" i="25" s="1"/>
  <c r="E13" i="25"/>
  <c r="G13" i="25" s="1"/>
  <c r="J5" i="25"/>
  <c r="E7" i="25"/>
  <c r="G7" i="25" s="1"/>
  <c r="I5" i="25"/>
  <c r="G5" i="25" l="1"/>
  <c r="E5" i="25"/>
  <c r="A6" i="23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S5" i="23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O467" i="5" s="1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P454" i="5" l="1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242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E94" i="3" s="1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F189" i="3" s="1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D52" i="19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Q189" i="3" l="1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P289" i="3" s="1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E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E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Z480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42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E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F179" i="17" l="1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F266" i="17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287" i="17" s="1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F231" i="17" s="1"/>
  <c r="E307" i="17"/>
  <c r="AL423" i="17"/>
  <c r="O185" i="17"/>
  <c r="Z446" i="17"/>
  <c r="F248" i="17"/>
  <c r="AL431" i="17"/>
  <c r="Q330" i="17"/>
  <c r="F135" i="17"/>
  <c r="D185" i="17"/>
  <c r="E186" i="17" s="1"/>
  <c r="F349" i="17"/>
  <c r="Q24" i="17"/>
  <c r="Q13" i="17"/>
  <c r="AL439" i="17"/>
  <c r="Q229" i="17"/>
  <c r="Q179" i="17"/>
  <c r="Z436" i="17"/>
  <c r="F176" i="17"/>
  <c r="F304" i="17"/>
  <c r="F309" i="17" s="1"/>
  <c r="F314" i="17" s="1"/>
  <c r="E349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AK413" i="17" s="1"/>
  <c r="Q245" i="17"/>
  <c r="Q250" i="17"/>
  <c r="Q287" i="17"/>
  <c r="P266" i="17"/>
  <c r="AL474" i="17"/>
  <c r="Q163" i="17"/>
  <c r="Q362" i="17"/>
  <c r="P360" i="17"/>
  <c r="AL434" i="17"/>
  <c r="Q72" i="17"/>
  <c r="Q351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266" i="17"/>
  <c r="E174" i="17"/>
  <c r="E185" i="17"/>
  <c r="E194" i="17" s="1"/>
  <c r="E96" i="17"/>
  <c r="F185" i="17"/>
  <c r="F173" i="17"/>
  <c r="D304" i="17"/>
  <c r="E295" i="17"/>
  <c r="F351" i="17"/>
  <c r="E351" i="17" s="1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F27" i="17" l="1"/>
  <c r="P330" i="17"/>
  <c r="AK412" i="17"/>
  <c r="Q231" i="17"/>
  <c r="E72" i="17"/>
  <c r="E330" i="17"/>
  <c r="E54" i="17"/>
  <c r="P353" i="3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Q353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E231" i="17" s="1"/>
  <c r="F186" i="17"/>
  <c r="Y409" i="17"/>
  <c r="Z419" i="17"/>
  <c r="F74" i="17"/>
  <c r="E74" i="17" s="1"/>
  <c r="E41" i="17"/>
  <c r="D24" i="17"/>
  <c r="D27" i="17"/>
  <c r="E27" i="17" s="1"/>
  <c r="E13" i="17"/>
  <c r="F155" i="17"/>
  <c r="E155" i="17" s="1"/>
  <c r="E122" i="17"/>
  <c r="D108" i="17"/>
  <c r="E108" i="17" s="1"/>
  <c r="D105" i="17"/>
  <c r="E105" i="17" s="1"/>
  <c r="E97" i="17"/>
  <c r="Q186" i="17"/>
  <c r="Q194" i="17"/>
  <c r="P231" i="17" s="1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135" i="17" l="1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J433" i="17"/>
  <c r="AJ468" i="17"/>
  <c r="Z483" i="17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Z489" i="17"/>
  <c r="Z498" i="17" s="1"/>
  <c r="Y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Y489" i="17" l="1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D53" i="3" l="1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N112" i="3" s="1"/>
  <c r="L113" i="3"/>
  <c r="N113" i="3" s="1"/>
  <c r="L31" i="3"/>
  <c r="L32" i="3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Y448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72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H477" i="3"/>
  <c r="AI477" i="3" s="1"/>
  <c r="AF477" i="17"/>
  <c r="AH477" i="17" s="1"/>
  <c r="AI477" i="17" s="1"/>
  <c r="L68" i="3"/>
  <c r="N68" i="3" s="1"/>
  <c r="AI440" i="3"/>
  <c r="L77" i="3"/>
  <c r="N77" i="3" s="1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N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N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N254" i="3" s="1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1" i="3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19" i="3"/>
  <c r="N219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5" i="3"/>
  <c r="N295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N15" i="3" s="1"/>
  <c r="J6" i="3"/>
  <c r="J244" i="3"/>
  <c r="J247" i="3"/>
  <c r="P17" i="3" l="1"/>
  <c r="M6" i="3"/>
  <c r="N17" i="3"/>
  <c r="N49" i="3"/>
  <c r="N52" i="3"/>
  <c r="E17" i="3"/>
  <c r="N102" i="3"/>
  <c r="L105" i="3"/>
  <c r="N23" i="3"/>
  <c r="P15" i="3"/>
  <c r="N22" i="3"/>
  <c r="E6" i="3"/>
  <c r="D13" i="3"/>
  <c r="AL410" i="3"/>
  <c r="AL411" i="3"/>
  <c r="Z479" i="3"/>
  <c r="Z425" i="3"/>
  <c r="AI425" i="3" s="1"/>
  <c r="Z478" i="3"/>
  <c r="Z449" i="3"/>
  <c r="AI449" i="3" s="1"/>
  <c r="Z465" i="3"/>
  <c r="AI465" i="3" s="1"/>
  <c r="Z416" i="3"/>
  <c r="Y416" i="3" s="1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Y418" i="3" s="1"/>
  <c r="Z497" i="3"/>
  <c r="AI497" i="3" s="1"/>
  <c r="Y415" i="3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F54" i="3"/>
  <c r="Z421" i="3"/>
  <c r="P6" i="3"/>
  <c r="Q13" i="3"/>
  <c r="O31" i="3" s="1"/>
  <c r="AL412" i="3"/>
  <c r="F13" i="3"/>
  <c r="D31" i="3" s="1"/>
  <c r="Z412" i="3"/>
  <c r="Y412" i="3" s="1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Y410" i="3" s="1"/>
  <c r="Q24" i="3"/>
  <c r="F41" i="3"/>
  <c r="Z409" i="3"/>
  <c r="Z413" i="3"/>
  <c r="Y413" i="3" s="1"/>
  <c r="E15" i="3"/>
  <c r="D24" i="3"/>
  <c r="E34" i="3" s="1"/>
  <c r="Q72" i="3"/>
  <c r="AL434" i="3"/>
  <c r="Z411" i="3"/>
  <c r="Y411" i="3" s="1"/>
  <c r="D66" i="19"/>
  <c r="Q41" i="3"/>
  <c r="AL409" i="3"/>
  <c r="AL413" i="3"/>
  <c r="Z414" i="3"/>
  <c r="Y414" i="3" s="1"/>
  <c r="Z481" i="3"/>
  <c r="AL414" i="3"/>
  <c r="E64" i="19" s="1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E13" i="19"/>
  <c r="L163" i="17"/>
  <c r="D23" i="19"/>
  <c r="D29" i="19"/>
  <c r="S95" i="17"/>
  <c r="AF471" i="17"/>
  <c r="D11" i="19"/>
  <c r="D7" i="19"/>
  <c r="R95" i="3"/>
  <c r="AF450" i="3"/>
  <c r="AF418" i="3"/>
  <c r="AF417" i="3"/>
  <c r="AH497" i="3"/>
  <c r="AH495" i="3"/>
  <c r="AF432" i="3"/>
  <c r="AH432" i="3" s="1"/>
  <c r="AF478" i="3"/>
  <c r="AH478" i="3" s="1"/>
  <c r="AI478" i="3" s="1"/>
  <c r="AF416" i="3"/>
  <c r="AF463" i="3"/>
  <c r="AH463" i="3" s="1"/>
  <c r="AF464" i="3"/>
  <c r="AF451" i="3"/>
  <c r="AF479" i="3"/>
  <c r="AH479" i="3" s="1"/>
  <c r="AI479" i="3" s="1"/>
  <c r="AF449" i="3"/>
  <c r="AH449" i="3" s="1"/>
  <c r="AH496" i="3"/>
  <c r="AI496" i="3" s="1"/>
  <c r="AF465" i="3"/>
  <c r="AI418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D15" i="19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H426" i="3" s="1"/>
  <c r="AF425" i="3"/>
  <c r="AH425" i="3" s="1"/>
  <c r="AN420" i="3"/>
  <c r="AO420" i="3" s="1"/>
  <c r="AF418" i="17"/>
  <c r="AH418" i="17" s="1"/>
  <c r="AF416" i="17"/>
  <c r="AH416" i="17" s="1"/>
  <c r="AF417" i="17"/>
  <c r="AH417" i="17" s="1"/>
  <c r="D5" i="19"/>
  <c r="S157" i="17"/>
  <c r="S157" i="3"/>
  <c r="D4" i="19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H411" i="3" s="1"/>
  <c r="AI411" i="3" s="1"/>
  <c r="AF435" i="3"/>
  <c r="AF446" i="3"/>
  <c r="AF443" i="3"/>
  <c r="AH443" i="3" s="1"/>
  <c r="AI443" i="3" s="1"/>
  <c r="AF444" i="3"/>
  <c r="AH444" i="3" s="1"/>
  <c r="AI444" i="3" s="1"/>
  <c r="AF437" i="3"/>
  <c r="AH437" i="3" s="1"/>
  <c r="AI437" i="3" s="1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L266" i="3"/>
  <c r="N266" i="3" s="1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AI417" i="3" l="1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P27" i="3" s="1"/>
  <c r="E4" i="19"/>
  <c r="E14" i="19" s="1"/>
  <c r="AK416" i="3"/>
  <c r="Y409" i="3"/>
  <c r="Z419" i="3"/>
  <c r="AH434" i="3"/>
  <c r="AI434" i="3" s="1"/>
  <c r="AH464" i="3"/>
  <c r="Q74" i="3"/>
  <c r="P74" i="3" s="1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M14" i="3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D8" i="19"/>
  <c r="F5" i="19"/>
  <c r="H5" i="19" s="1"/>
  <c r="G5" i="19"/>
  <c r="I5" i="19" s="1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D67" i="19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K22" i="3"/>
  <c r="R22" i="3" s="1"/>
  <c r="K23" i="3"/>
  <c r="R23" i="3" s="1"/>
  <c r="K21" i="3"/>
  <c r="R21" i="3" s="1"/>
  <c r="K13" i="3"/>
  <c r="E27" i="3" l="1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G70" i="19" s="1"/>
  <c r="I70" i="19" s="1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G8" i="19"/>
  <c r="I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N289" i="3" s="1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X466" i="3" l="1"/>
  <c r="Z483" i="3"/>
  <c r="X433" i="3"/>
  <c r="X481" i="3"/>
  <c r="AJ466" i="3"/>
  <c r="AJ419" i="3"/>
  <c r="AJ433" i="3"/>
  <c r="AJ452" i="3"/>
  <c r="AL483" i="3"/>
  <c r="AJ407" i="3"/>
  <c r="AJ415" i="3"/>
  <c r="AJ413" i="3"/>
  <c r="AJ414" i="3"/>
  <c r="AJ409" i="3"/>
  <c r="AJ411" i="3"/>
  <c r="AJ410" i="3"/>
  <c r="AJ412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AL498" i="3" l="1"/>
  <c r="AK498" i="3" s="1"/>
  <c r="AK489" i="3"/>
  <c r="Z498" i="3"/>
  <c r="Y498" i="3" s="1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F498" i="3" s="1"/>
  <c r="AE483" i="3"/>
  <c r="AD481" i="17"/>
  <c r="AN481" i="17"/>
  <c r="AO481" i="17" s="1"/>
  <c r="AN483" i="3"/>
  <c r="AO483" i="3" s="1"/>
  <c r="M309" i="3" l="1"/>
  <c r="M304" i="3"/>
  <c r="AE483" i="17"/>
  <c r="AN483" i="17"/>
  <c r="AO483" i="17" s="1"/>
  <c r="AF507" i="3"/>
  <c r="G74" i="19"/>
  <c r="I74" i="19" s="1"/>
  <c r="AF489" i="17"/>
  <c r="G75" i="19"/>
  <c r="I75" i="19" s="1"/>
  <c r="AE489" i="3"/>
  <c r="AN489" i="3"/>
  <c r="AO489" i="3" s="1"/>
  <c r="AH489" i="17" l="1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H498" i="17" l="1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<sst xmlns="http://schemas.openxmlformats.org/spreadsheetml/2006/main" count="16149" uniqueCount="2921">
  <si>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</si>
  <si>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</si>
  <si>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</si>
  <si>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</si>
  <si>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</si>
  <si>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</si>
  <si>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</si>
  <si>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</si>
  <si>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</si>
  <si>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</si>
  <si>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</si>
  <si>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</si>
  <si>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</si>
  <si>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</si>
  <si>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</si>
  <si>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</si>
  <si>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</si>
  <si>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</si>
  <si>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</si>
  <si>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</si>
  <si>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</si>
  <si>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</si>
  <si>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</si>
  <si>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</si>
  <si>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</si>
  <si>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</si>
  <si>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</si>
  <si>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</si>
  <si>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</si>
  <si>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</si>
  <si>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</si>
  <si>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</si>
  <si>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</si>
  <si>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</si>
  <si>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</si>
  <si>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</si>
  <si>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</si>
  <si>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</si>
  <si>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</si>
  <si>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</si>
  <si>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</si>
  <si>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</si>
  <si>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</si>
  <si>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</si>
  <si>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</si>
  <si>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</si>
  <si>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</si>
  <si>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</si>
  <si>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</si>
  <si>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</si>
  <si>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</si>
  <si>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</si>
  <si>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</si>
  <si>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</si>
  <si>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</si>
  <si>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</si>
  <si>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</si>
  <si>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</si>
  <si>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</si>
  <si>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</si>
  <si>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</si>
  <si>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</si>
  <si>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</si>
  <si>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</si>
  <si>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</si>
  <si>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</si>
  <si>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</si>
  <si>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</si>
  <si>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</si>
  <si>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</si>
  <si>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</si>
  <si>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</si>
  <si>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</si>
  <si>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</si>
  <si>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</si>
  <si>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</si>
  <si>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</si>
  <si>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</si>
  <si>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</si>
  <si>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</si>
  <si>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</si>
  <si>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</si>
  <si>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</si>
  <si>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</si>
  <si>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</si>
  <si>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</si>
  <si>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</si>
  <si>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</si>
  <si>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</si>
  <si>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</si>
  <si>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</si>
  <si>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</si>
  <si>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</si>
  <si>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</si>
  <si>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</si>
  <si>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</si>
  <si>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</si>
  <si>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</si>
  <si>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</si>
  <si>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</si>
  <si>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</si>
  <si>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</si>
  <si>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</si>
  <si>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</si>
  <si>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</si>
  <si>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</si>
  <si>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</si>
  <si>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</si>
  <si>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</si>
  <si>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</si>
  <si>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</si>
  <si>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</si>
  <si>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</si>
  <si>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</si>
  <si>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</si>
  <si>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</si>
  <si>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</si>
  <si>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</si>
  <si>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</si>
  <si>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</si>
  <si>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</si>
  <si>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</si>
  <si>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</si>
  <si>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</si>
  <si>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</si>
  <si>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</si>
  <si>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</si>
  <si>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</si>
  <si>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</si>
  <si>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</si>
  <si>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</si>
  <si>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</si>
  <si>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</si>
  <si>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</si>
  <si>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</si>
  <si>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</si>
  <si>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</si>
  <si>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</si>
  <si>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</si>
  <si>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</si>
  <si>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</si>
  <si>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</si>
  <si>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</si>
  <si>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</si>
  <si>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</si>
  <si>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</si>
  <si>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</si>
  <si>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</si>
  <si>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</si>
  <si>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</si>
  <si>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</si>
  <si>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</si>
  <si>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</si>
  <si>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</si>
  <si>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</si>
  <si>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</si>
  <si>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</si>
  <si>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</si>
  <si>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</si>
  <si>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</si>
  <si>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</si>
  <si>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</si>
  <si>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</si>
  <si>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</si>
  <si>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</si>
  <si>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</si>
  <si>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</si>
  <si>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</si>
  <si>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</si>
  <si>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</si>
  <si>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</si>
  <si>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</si>
  <si>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</si>
  <si>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</si>
  <si>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</si>
  <si>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</si>
  <si>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</si>
  <si>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</si>
  <si>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</si>
  <si>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</si>
  <si>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</si>
  <si>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</si>
  <si>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</si>
  <si>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</si>
  <si>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</si>
  <si>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</si>
  <si>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</si>
  <si>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</si>
  <si>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</si>
  <si>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</si>
  <si>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</si>
  <si>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</si>
  <si>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</si>
  <si>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</si>
  <si>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</si>
  <si>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</si>
  <si>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</si>
  <si>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</si>
  <si>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</si>
  <si>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</si>
  <si>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</si>
  <si>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</si>
  <si>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</si>
  <si>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</si>
  <si>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</si>
  <si>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</si>
  <si>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</si>
  <si>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</si>
  <si>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</si>
  <si>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</si>
  <si>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</si>
  <si>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</si>
  <si>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</si>
  <si>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</si>
  <si>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</si>
  <si>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</si>
  <si>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</si>
  <si>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</si>
  <si>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</si>
  <si>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</si>
  <si>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</si>
  <si>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</si>
  <si>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</si>
  <si>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</si>
  <si>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</si>
  <si>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</si>
  <si>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</si>
  <si>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</si>
  <si>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</si>
  <si>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</si>
  <si>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</si>
  <si>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</si>
  <si>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</si>
  <si>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</si>
  <si>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</si>
  <si>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</si>
  <si>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</si>
  <si>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</si>
  <si>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</si>
  <si>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</si>
  <si>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</si>
  <si>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</si>
  <si>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</si>
  <si>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</si>
  <si>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</si>
  <si>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</si>
  <si>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</si>
  <si>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</si>
  <si>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</si>
  <si>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</si>
  <si>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</si>
  <si>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</si>
  <si>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</si>
  <si>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</si>
  <si>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</si>
  <si>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</si>
  <si>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</si>
  <si>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</si>
  <si>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</si>
  <si>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</si>
  <si>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</si>
  <si>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</si>
  <si>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</si>
  <si>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</si>
  <si>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</si>
  <si>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</si>
  <si>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</si>
  <si>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</si>
  <si>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</si>
  <si>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</si>
  <si>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</si>
  <si>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</si>
  <si>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</si>
  <si>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</si>
  <si>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</si>
  <si>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</si>
  <si>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</si>
  <si>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</si>
  <si>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</si>
  <si>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</si>
  <si>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</si>
  <si>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</si>
  <si>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</si>
  <si>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</si>
  <si>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</si>
  <si>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</si>
  <si>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</si>
  <si>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</si>
  <si>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</si>
  <si>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</si>
  <si>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</si>
  <si>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</si>
  <si>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</si>
  <si>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</si>
  <si>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</si>
  <si>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</si>
  <si>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</si>
  <si>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</si>
  <si>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</si>
  <si>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</si>
  <si>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</si>
  <si>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</si>
  <si>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</si>
  <si>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</si>
  <si>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</si>
  <si>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</si>
  <si>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</si>
  <si>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</si>
  <si>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</si>
  <si>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</si>
  <si>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</si>
  <si>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</si>
  <si>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</si>
  <si>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</si>
  <si>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</si>
  <si>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</si>
  <si>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</si>
  <si>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</si>
  <si>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</si>
  <si>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</si>
  <si>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</si>
  <si>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</si>
  <si>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</si>
  <si>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</si>
  <si>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</si>
  <si>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</si>
  <si>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</si>
  <si>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</si>
  <si>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</si>
  <si>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</si>
  <si>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</si>
  <si>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</si>
  <si>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</si>
  <si>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</si>
  <si>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</si>
  <si>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</si>
  <si>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</si>
  <si>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</si>
  <si>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</si>
  <si>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</si>
  <si>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</si>
  <si>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</si>
  <si>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</si>
  <si>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</si>
  <si>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</si>
  <si>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</si>
  <si>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</si>
  <si>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</si>
  <si>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</si>
  <si>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</si>
  <si>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</si>
  <si>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</si>
  <si>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</si>
  <si>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</si>
  <si>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</si>
  <si>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</si>
  <si>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</si>
  <si>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</si>
  <si>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</si>
  <si>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</si>
  <si>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</si>
  <si>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</si>
  <si>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</si>
  <si>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</si>
  <si>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</si>
  <si>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</si>
  <si>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</si>
  <si>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</si>
  <si>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</si>
  <si>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</si>
  <si>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</si>
  <si>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</si>
  <si>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</si>
  <si>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</si>
  <si>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</si>
  <si>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</si>
  <si>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</si>
  <si>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</si>
  <si>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</si>
  <si>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</si>
  <si>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</si>
  <si>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</si>
  <si>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</si>
  <si>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</si>
  <si>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</si>
  <si>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</si>
  <si>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</si>
  <si>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</si>
  <si>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</si>
  <si>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</si>
  <si>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</si>
  <si>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</si>
  <si>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</si>
  <si>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</si>
  <si>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</si>
  <si>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</si>
  <si>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</si>
  <si>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</si>
  <si>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</si>
  <si>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</si>
  <si>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</si>
  <si>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</si>
  <si>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</si>
  <si>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</si>
  <si>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</si>
  <si>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</si>
  <si>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</si>
  <si>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</si>
  <si>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</si>
  <si>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</si>
  <si>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</si>
  <si>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</si>
  <si>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</si>
  <si>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</si>
  <si>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</si>
  <si>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</si>
  <si>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</si>
  <si>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</si>
  <si>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</si>
  <si>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</si>
  <si>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</si>
  <si>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</si>
  <si>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</si>
  <si>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</si>
  <si>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</si>
  <si>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</si>
  <si>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</si>
  <si>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</si>
  <si>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</si>
  <si>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</si>
  <si>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</si>
  <si>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</si>
  <si>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</si>
  <si>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</si>
  <si>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</si>
  <si>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</si>
  <si>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</si>
  <si>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</si>
  <si>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</si>
  <si>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</si>
  <si>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</si>
  <si>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</si>
  <si>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</si>
  <si>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</si>
  <si>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</si>
  <si>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</si>
  <si>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</si>
  <si>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</si>
  <si>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</si>
  <si>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</si>
  <si>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</si>
  <si>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</si>
  <si>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</si>
  <si>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</si>
  <si>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</si>
  <si>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</si>
  <si>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</si>
  <si>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</si>
  <si>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</si>
  <si>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</si>
  <si>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</si>
  <si>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</si>
  <si>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</si>
  <si>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</si>
  <si>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</si>
  <si>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</si>
  <si>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</si>
  <si>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</si>
  <si>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</si>
  <si>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</si>
  <si>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</si>
  <si>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</si>
  <si>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</si>
  <si>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</si>
  <si>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</si>
  <si>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</si>
  <si>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</si>
  <si>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</si>
  <si>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</si>
  <si>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</si>
  <si>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</si>
  <si>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</si>
  <si>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</si>
  <si>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</si>
  <si>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</si>
  <si>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</si>
  <si>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</si>
  <si>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</si>
  <si>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</si>
  <si>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</si>
  <si>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</si>
  <si>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</si>
  <si>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</si>
  <si>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</si>
  <si>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</si>
  <si>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</si>
  <si>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</si>
  <si>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</si>
  <si>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</si>
  <si>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</si>
  <si>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</si>
  <si>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</si>
  <si>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</si>
  <si>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</si>
  <si>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</si>
  <si>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</si>
  <si>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</si>
  <si>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</si>
  <si>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</si>
  <si>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</si>
  <si>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</si>
  <si>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</si>
  <si>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</si>
  <si>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</si>
  <si>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</si>
  <si>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</si>
  <si>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</si>
  <si>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</si>
  <si>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</si>
  <si>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</si>
  <si>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</si>
  <si>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</si>
  <si>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</si>
  <si>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</si>
  <si>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</si>
  <si>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</si>
  <si>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</si>
  <si>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</si>
  <si>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</si>
  <si>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</si>
  <si>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</si>
  <si>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</si>
  <si>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</si>
  <si>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</si>
  <si>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</si>
  <si>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</si>
  <si>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</si>
  <si>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</si>
  <si>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</si>
  <si>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</si>
  <si>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</si>
  <si>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</si>
  <si>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</si>
  <si>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</si>
  <si>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</si>
  <si>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</si>
  <si>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</si>
  <si>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</si>
  <si>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</si>
  <si>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</si>
  <si>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</si>
  <si>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</si>
  <si>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</si>
  <si>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</si>
  <si>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</si>
  <si>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</si>
  <si>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</si>
  <si>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</si>
  <si>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</si>
  <si>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</si>
  <si>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</si>
  <si>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</si>
  <si>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</si>
  <si>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</si>
  <si>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</si>
  <si>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</si>
  <si>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</si>
  <si>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</si>
  <si>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</si>
  <si>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</si>
  <si>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</si>
  <si>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</si>
  <si>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</si>
  <si>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</si>
  <si>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</si>
  <si>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</si>
  <si>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</si>
  <si>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</si>
  <si>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</si>
  <si>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</si>
  <si>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</si>
  <si>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</si>
  <si>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</si>
  <si>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</si>
  <si>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</si>
  <si>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</si>
  <si>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</si>
  <si>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</si>
  <si>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</si>
  <si>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</si>
  <si>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</si>
  <si>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</si>
  <si>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</si>
  <si>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</si>
  <si>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</si>
  <si>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</si>
  <si>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</si>
  <si>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</si>
  <si>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</si>
  <si>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</si>
  <si>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</si>
  <si>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</si>
  <si>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</si>
  <si>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</si>
  <si>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</si>
  <si>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</si>
  <si>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</si>
  <si>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</si>
  <si>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</si>
  <si>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</si>
  <si>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</si>
  <si>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</si>
  <si>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</si>
  <si>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</si>
  <si>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</si>
  <si>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</si>
  <si>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</si>
  <si>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</si>
  <si>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</si>
  <si>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</si>
  <si>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</si>
  <si>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</si>
  <si>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</si>
  <si>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</si>
  <si>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</si>
  <si>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</si>
  <si>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</si>
  <si>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</si>
  <si>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</si>
  <si>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</si>
  <si>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</si>
  <si>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</si>
  <si>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</si>
  <si>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</si>
  <si>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</si>
  <si>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</si>
  <si>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</si>
  <si>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</si>
  <si>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</si>
  <si>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</si>
  <si>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</si>
  <si>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</si>
  <si>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</si>
  <si>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</si>
  <si>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</si>
  <si>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</si>
  <si>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</si>
  <si>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</si>
  <si>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</si>
  <si>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</si>
  <si>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</si>
  <si>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</si>
  <si>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</si>
  <si>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</si>
  <si>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</si>
  <si>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</si>
  <si>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</si>
  <si>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</si>
  <si>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</si>
  <si>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</si>
  <si>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</si>
  <si>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</si>
  <si>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</si>
  <si>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</si>
  <si>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</si>
  <si>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</si>
  <si>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</si>
  <si>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</si>
  <si>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</si>
  <si>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</si>
  <si>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</si>
  <si>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</si>
  <si>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</si>
  <si>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</si>
  <si>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</si>
  <si>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</si>
  <si>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</si>
  <si>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</si>
  <si>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</si>
  <si>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</si>
  <si>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</si>
  <si>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</si>
  <si>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</si>
  <si>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</si>
  <si>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</si>
  <si>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</si>
  <si>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</si>
  <si>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</si>
  <si>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</si>
  <si>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</si>
  <si>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</si>
  <si>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</si>
  <si>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</si>
  <si>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</si>
  <si>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</si>
  <si>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</si>
  <si>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</si>
  <si>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</si>
  <si>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</si>
  <si>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</si>
  <si>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</si>
  <si>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</si>
  <si>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</si>
  <si>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</si>
  <si>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</si>
  <si>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</si>
  <si>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</si>
  <si>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</si>
  <si>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</si>
  <si>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</si>
  <si>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</si>
  <si>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</si>
  <si>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</si>
  <si>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</si>
  <si>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</si>
  <si>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</si>
  <si>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</si>
  <si>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</si>
  <si>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</si>
  <si>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</si>
  <si>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</si>
  <si>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</si>
  <si>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</si>
  <si>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</si>
  <si>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</si>
  <si>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</si>
  <si>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</si>
  <si>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</si>
  <si>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</si>
  <si>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</si>
  <si>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</si>
  <si>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</si>
  <si>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</si>
  <si>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</si>
  <si>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</si>
  <si>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</si>
  <si>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</si>
  <si>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</si>
  <si>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</si>
  <si>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</si>
  <si>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</si>
  <si>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</si>
  <si>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</si>
  <si>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</si>
  <si>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</si>
  <si>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</si>
  <si>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</si>
  <si>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</si>
  <si>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</si>
  <si>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</si>
  <si>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</si>
  <si>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</si>
  <si>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</si>
  <si>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</si>
  <si>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</si>
  <si>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</si>
  <si>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</si>
  <si>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</si>
  <si>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</si>
  <si>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</si>
  <si>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</si>
  <si>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</si>
  <si>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</si>
  <si>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</si>
  <si>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</si>
  <si>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</si>
  <si>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</si>
  <si>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</si>
  <si>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</si>
  <si>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</si>
  <si>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</si>
  <si>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</si>
  <si>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</si>
  <si>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</si>
  <si>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</si>
  <si>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</si>
  <si>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</si>
  <si>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</si>
  <si>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</si>
  <si>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</si>
  <si>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</si>
  <si>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</si>
  <si>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</si>
  <si>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</si>
  <si>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</si>
  <si>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</si>
  <si>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</si>
  <si>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</si>
  <si>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</si>
  <si>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</si>
  <si>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</si>
  <si>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</si>
  <si>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</si>
  <si>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</si>
  <si>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</si>
  <si>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</si>
  <si>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</si>
  <si>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</si>
  <si>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</si>
  <si>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</si>
  <si>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</si>
  <si>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</si>
  <si>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</si>
  <si>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</si>
  <si>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</si>
  <si>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</si>
  <si>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</si>
  <si>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</si>
  <si>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</si>
  <si>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</si>
  <si>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</si>
  <si>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</si>
  <si>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</si>
  <si>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</si>
  <si>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</si>
  <si>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</si>
  <si>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</si>
  <si>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</si>
  <si>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</si>
  <si>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</si>
  <si>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</si>
  <si>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</si>
  <si>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</si>
  <si>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</si>
  <si>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</si>
  <si>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</si>
  <si>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</si>
  <si>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</si>
  <si>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</si>
  <si>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</si>
  <si>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</si>
  <si>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</si>
  <si>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</si>
  <si>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</si>
  <si>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</si>
  <si>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</si>
  <si>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</si>
  <si>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</si>
  <si>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</si>
  <si>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</si>
  <si>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</si>
  <si>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</si>
  <si>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</si>
  <si>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</si>
  <si>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</si>
  <si>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</si>
  <si>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</si>
  <si>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</si>
  <si>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</si>
  <si>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</si>
  <si>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</si>
  <si>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</si>
  <si>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</si>
  <si>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</si>
  <si>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</si>
  <si>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</si>
  <si>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</si>
  <si>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</si>
  <si>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</si>
  <si>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</si>
  <si>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</si>
  <si>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</si>
  <si>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</si>
  <si>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</si>
  <si>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</si>
  <si>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</si>
  <si>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</si>
  <si>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</si>
  <si>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</si>
  <si>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</si>
  <si>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</si>
  <si>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</si>
  <si>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</si>
  <si>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</si>
  <si>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</si>
  <si>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</si>
  <si>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</si>
  <si>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</si>
  <si>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</si>
  <si>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</si>
  <si>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</si>
  <si>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</si>
  <si>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</si>
  <si>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</si>
  <si>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</si>
  <si>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</si>
  <si>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</si>
  <si>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</si>
  <si>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</si>
  <si>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</si>
  <si>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</si>
  <si>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</si>
  <si>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</si>
  <si>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</si>
  <si>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</si>
  <si>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</si>
  <si>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</si>
  <si>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</si>
  <si>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</si>
  <si>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</si>
  <si>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</si>
  <si>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</si>
  <si>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</si>
  <si>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</si>
  <si>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</si>
  <si>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</si>
  <si>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</si>
  <si>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</si>
  <si>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</si>
  <si>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</si>
  <si>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</si>
  <si>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</si>
  <si>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</si>
  <si>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</si>
  <si>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</si>
  <si>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</si>
  <si>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</si>
  <si>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</si>
  <si>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</si>
  <si>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</si>
  <si>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</si>
  <si>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</si>
  <si>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</si>
  <si>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</si>
  <si>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</si>
  <si>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</si>
  <si>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</si>
  <si>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</si>
  <si>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</si>
  <si>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</si>
  <si>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</si>
  <si>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</si>
  <si>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</si>
  <si>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</si>
  <si>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</si>
  <si>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</si>
  <si>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</si>
  <si>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</si>
  <si>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</si>
  <si>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</si>
  <si>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</si>
  <si>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</si>
  <si>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</si>
  <si>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</si>
  <si>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</si>
  <si>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</si>
  <si>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</si>
  <si>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</si>
  <si>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</si>
  <si>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</si>
  <si>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</si>
  <si>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</si>
  <si>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</si>
  <si>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</si>
  <si>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</si>
  <si>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</si>
  <si>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</si>
  <si>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</si>
  <si>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</si>
  <si>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</si>
  <si>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</si>
  <si>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</si>
  <si>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</si>
  <si>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</si>
  <si>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</si>
  <si>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</si>
  <si>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</si>
  <si>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</si>
  <si>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</si>
  <si>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</si>
  <si>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</si>
  <si>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</si>
  <si>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</si>
  <si>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</si>
  <si>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</si>
  <si>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</si>
  <si>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</si>
  <si>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</si>
  <si>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</si>
  <si>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</si>
  <si>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</si>
  <si>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</si>
  <si>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</si>
  <si>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</si>
  <si>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</si>
  <si>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</si>
  <si>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</si>
  <si>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</si>
  <si>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</si>
  <si>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</si>
  <si>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</si>
  <si>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</si>
  <si>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</si>
  <si>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</si>
  <si>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</si>
  <si>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</si>
  <si>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</si>
  <si>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</si>
  <si>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</si>
  <si>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</si>
  <si>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</si>
  <si>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</si>
  <si>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</si>
  <si>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</si>
  <si>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</si>
  <si>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</si>
  <si>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</si>
  <si>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</si>
  <si>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</si>
  <si>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</si>
  <si>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</si>
  <si>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</si>
  <si>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</si>
  <si>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</si>
  <si>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</si>
  <si>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</si>
  <si>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</si>
  <si>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</si>
  <si>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</si>
  <si>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</si>
  <si>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</si>
  <si>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</si>
  <si>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</si>
  <si>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</si>
  <si>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</si>
  <si>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</si>
  <si>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</si>
  <si>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</si>
  <si>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</si>
  <si>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</si>
  <si>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</si>
  <si>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</si>
  <si>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</si>
  <si>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</si>
  <si>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</si>
  <si>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</si>
  <si>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</si>
  <si>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</si>
  <si>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</si>
  <si>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</si>
  <si>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</si>
  <si>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</si>
  <si>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</si>
  <si>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</si>
  <si>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</si>
  <si>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</si>
  <si>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</si>
  <si>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</si>
  <si>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</si>
  <si>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</si>
  <si>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</si>
  <si>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</si>
  <si>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</si>
  <si>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</si>
  <si>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</si>
  <si>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</si>
  <si>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</si>
  <si>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</si>
  <si>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</si>
  <si>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</si>
  <si>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</si>
  <si>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</si>
  <si>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</si>
  <si>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</si>
  <si>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</si>
  <si>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</si>
  <si>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</si>
  <si>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</si>
  <si>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</si>
  <si>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</si>
  <si>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</si>
  <si>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</si>
  <si>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</si>
  <si>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</si>
  <si>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</si>
  <si>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</si>
  <si>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</si>
  <si>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</si>
  <si>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</si>
  <si>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</si>
  <si>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</si>
  <si>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</si>
  <si>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</si>
  <si>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</si>
  <si>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</si>
  <si>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</si>
  <si>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</si>
  <si>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</si>
  <si>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</si>
  <si>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</si>
  <si>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</si>
  <si>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</si>
  <si>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</si>
  <si>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</si>
  <si>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</si>
  <si>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</si>
  <si>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</si>
  <si>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</si>
  <si>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</si>
  <si>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</si>
  <si>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</si>
  <si>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</si>
  <si>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</si>
  <si>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</si>
  <si>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</si>
  <si>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</si>
  <si>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</si>
  <si>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</si>
  <si>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</si>
  <si>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</si>
  <si>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</si>
  <si>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</si>
  <si>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</si>
  <si>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</si>
  <si>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</si>
  <si>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</si>
  <si>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</si>
  <si>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</si>
  <si>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</si>
  <si>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</si>
  <si>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</si>
  <si>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</si>
  <si>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</si>
  <si>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</si>
  <si>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</si>
  <si>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</si>
  <si>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</si>
  <si>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</si>
  <si>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</si>
  <si>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</si>
  <si>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</si>
  <si>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</si>
  <si>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</si>
  <si>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</si>
  <si>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</si>
  <si>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</si>
  <si>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</si>
  <si>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</si>
  <si>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</si>
  <si>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</si>
  <si>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</si>
  <si>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</si>
  <si>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</si>
  <si>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</si>
  <si>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</si>
  <si>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</si>
  <si>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</si>
  <si>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</si>
  <si>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</si>
  <si>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</si>
  <si>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</si>
  <si>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</si>
  <si>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</si>
  <si>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</si>
  <si>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</si>
  <si>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</si>
  <si>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</si>
  <si>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</si>
  <si>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</si>
  <si>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</si>
  <si>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</si>
  <si>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</si>
  <si>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</si>
  <si>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</si>
  <si>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</si>
  <si>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</si>
  <si>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</si>
  <si>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</si>
  <si>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</si>
  <si>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</si>
  <si>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</si>
  <si>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</si>
  <si>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</si>
  <si>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</si>
  <si>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</si>
  <si>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</si>
  <si>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</si>
  <si>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</si>
  <si>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</si>
  <si>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</si>
  <si>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</si>
  <si>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</si>
  <si>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</si>
  <si>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</si>
  <si>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</si>
  <si>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</si>
  <si>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</si>
  <si>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</si>
  <si>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</si>
  <si>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</si>
  <si>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</si>
  <si>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</si>
  <si>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</si>
  <si>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</si>
  <si>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</si>
  <si>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</si>
  <si>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</si>
  <si>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</si>
  <si>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</si>
  <si>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</si>
  <si>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</si>
  <si>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</si>
  <si>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</si>
  <si>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</si>
  <si>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</si>
  <si>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</si>
  <si>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</si>
  <si>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</si>
  <si>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</si>
  <si>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</si>
  <si>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</si>
  <si>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</si>
  <si>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</si>
  <si>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</si>
  <si>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</si>
  <si>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</si>
  <si>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</si>
  <si>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</si>
  <si>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</si>
  <si>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</si>
  <si>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</si>
  <si>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</si>
  <si>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</si>
  <si>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</si>
  <si>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</si>
  <si>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</si>
  <si>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</si>
  <si>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</si>
  <si>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</si>
  <si>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</si>
  <si>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</si>
  <si>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</si>
  <si>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</si>
  <si>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</si>
  <si>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</si>
  <si>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</si>
  <si>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</si>
  <si>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</si>
  <si>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</si>
  <si>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</si>
  <si>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</si>
  <si>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</si>
  <si>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</si>
  <si>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</si>
  <si>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</si>
  <si>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</si>
  <si>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</si>
  <si>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</si>
  <si>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</si>
  <si>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</si>
  <si>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</si>
  <si>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</si>
  <si>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</si>
  <si>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</si>
  <si>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</si>
  <si>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</si>
  <si>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</si>
  <si>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</si>
  <si>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</si>
  <si>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</si>
  <si>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</si>
  <si>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</si>
  <si>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</si>
  <si>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</si>
  <si>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</si>
  <si>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</si>
  <si>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</si>
  <si>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</si>
  <si>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</si>
  <si>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</si>
  <si>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</si>
  <si>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</si>
  <si>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</si>
  <si>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</si>
  <si>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</si>
  <si>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</si>
  <si>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</si>
  <si>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</si>
  <si>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</si>
  <si>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</si>
  <si>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</si>
  <si>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</si>
  <si>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</si>
  <si>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</si>
  <si>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</si>
  <si>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</si>
  <si>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</si>
  <si>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</si>
  <si>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</si>
  <si>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</si>
  <si>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</si>
  <si>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</si>
  <si>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</si>
  <si>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</si>
  <si>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</si>
  <si>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</si>
  <si>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</si>
  <si>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</si>
  <si>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</si>
  <si>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</si>
  <si>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</si>
  <si>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</si>
  <si>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</si>
  <si>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</si>
  <si>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</si>
  <si>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</si>
  <si>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</si>
  <si>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</si>
  <si>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</si>
  <si>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</si>
  <si>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</si>
  <si>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</si>
  <si>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</si>
  <si>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</si>
  <si>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</si>
  <si>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</si>
  <si>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</si>
  <si>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</si>
  <si>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</si>
  <si>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</si>
  <si>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</si>
  <si>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</si>
  <si>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</si>
  <si>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</si>
  <si>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</si>
  <si>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</si>
  <si>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</si>
  <si>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</si>
  <si>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</si>
  <si>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</si>
  <si>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</si>
  <si>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</si>
  <si>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</si>
  <si>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</si>
  <si>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</si>
  <si>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</si>
  <si>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</si>
  <si>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</si>
  <si>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</si>
  <si>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</si>
  <si>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</si>
  <si>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</si>
  <si>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</si>
  <si>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</si>
  <si>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</si>
  <si>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</si>
  <si>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</si>
  <si>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</si>
  <si>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</si>
  <si>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</si>
  <si>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</si>
  <si>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</si>
  <si>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</si>
  <si>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</si>
  <si>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</si>
  <si>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</si>
  <si>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</si>
  <si>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</si>
  <si>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</si>
  <si>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</si>
  <si>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</si>
  <si>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</si>
  <si>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</si>
  <si>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</si>
  <si>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</si>
  <si>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</si>
  <si>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</si>
  <si>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</si>
  <si>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</si>
  <si>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</si>
  <si>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</si>
  <si>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</si>
  <si>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</si>
  <si>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</si>
  <si>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</si>
  <si>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</si>
  <si>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</si>
  <si>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</si>
  <si>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</si>
  <si>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</si>
  <si>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</si>
  <si>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</si>
  <si>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</si>
  <si>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</si>
  <si>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</si>
  <si>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</si>
  <si>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</si>
  <si>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</si>
  <si>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</si>
  <si>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</si>
  <si>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</si>
  <si>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</si>
  <si>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</si>
  <si>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</si>
  <si>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</si>
  <si>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</si>
  <si>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</si>
  <si>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</si>
  <si>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</si>
  <si>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</si>
  <si>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</si>
  <si>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</si>
  <si>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</si>
  <si>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</si>
  <si>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</si>
  <si>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</si>
  <si>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</si>
  <si>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</si>
  <si>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</si>
  <si>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</si>
  <si>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</si>
  <si>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</si>
  <si>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</si>
  <si>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</si>
  <si>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</si>
  <si>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</si>
  <si>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</si>
  <si>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</si>
  <si>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</si>
  <si>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</si>
  <si>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</si>
  <si>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</si>
  <si>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</si>
  <si>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</si>
  <si>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</si>
  <si>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</si>
  <si>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</si>
  <si>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</si>
  <si>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</si>
  <si>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</si>
  <si>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</si>
  <si>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</si>
  <si>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</si>
  <si>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</si>
  <si>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</si>
  <si>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</si>
  <si>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</si>
  <si>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</si>
  <si>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</si>
  <si>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</si>
  <si>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</si>
  <si>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</si>
  <si>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</si>
  <si>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</si>
  <si>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</si>
  <si>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</si>
  <si>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</si>
  <si>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</si>
  <si>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</si>
  <si>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</si>
  <si>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</si>
  <si>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</si>
  <si>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</si>
  <si>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</si>
  <si>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</si>
  <si>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</si>
  <si>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</si>
  <si>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</si>
  <si>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</si>
  <si>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</si>
  <si>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</si>
  <si>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</si>
  <si>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</si>
  <si>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</si>
  <si>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</si>
  <si>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</si>
  <si>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</si>
  <si>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</si>
  <si>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</si>
  <si>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</si>
  <si>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</si>
  <si>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</si>
  <si>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</si>
  <si>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</si>
  <si>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</si>
  <si>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</si>
  <si>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</si>
  <si>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</si>
  <si>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</si>
  <si>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</si>
  <si>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</si>
  <si>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</si>
  <si>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</si>
  <si>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</si>
  <si>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</si>
  <si>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</si>
  <si>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</si>
  <si>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</si>
  <si>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</si>
  <si>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</si>
  <si>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</si>
  <si>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</si>
  <si>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</si>
  <si>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</si>
  <si>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</si>
  <si>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</si>
  <si>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</si>
  <si>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</si>
  <si>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</si>
  <si>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</si>
  <si>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</si>
  <si>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</si>
  <si>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</si>
  <si>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</si>
  <si>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</si>
  <si>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</si>
  <si>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</si>
  <si>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</si>
  <si>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</si>
  <si>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</si>
  <si>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</si>
  <si>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</si>
  <si>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</si>
  <si>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</si>
  <si>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</si>
  <si>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</si>
  <si>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</si>
  <si>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</si>
  <si>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</si>
  <si>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</si>
  <si>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</si>
  <si>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</si>
  <si>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</si>
  <si>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</si>
  <si>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</si>
  <si>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</si>
  <si>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</si>
  <si>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</si>
  <si>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</si>
  <si>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</si>
  <si>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</si>
  <si>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</si>
  <si>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</si>
  <si>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</si>
  <si>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</si>
  <si>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</si>
  <si>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</si>
  <si>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</si>
  <si>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</si>
  <si>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</si>
  <si>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</si>
  <si>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</si>
  <si>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</si>
  <si>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</si>
  <si>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</si>
  <si>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</si>
  <si>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</si>
  <si>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</si>
  <si>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</si>
  <si>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</si>
  <si>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</si>
  <si>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</si>
  <si>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</si>
  <si>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</si>
  <si>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</si>
  <si>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</si>
  <si>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</si>
  <si>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</si>
  <si>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</si>
  <si>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</si>
  <si>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</si>
  <si>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</si>
  <si>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</si>
  <si>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</si>
  <si>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</si>
  <si>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</si>
  <si>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</si>
  <si>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</si>
  <si>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</si>
  <si>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</si>
  <si>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</si>
  <si>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</si>
  <si>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</si>
  <si>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</si>
  <si>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</si>
  <si>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</si>
  <si>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</si>
  <si>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</si>
  <si>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</si>
  <si>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</si>
  <si>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</si>
  <si>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</si>
  <si>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</si>
  <si>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</si>
  <si>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</si>
  <si>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</si>
  <si>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</si>
  <si>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</si>
  <si>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</si>
  <si>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</si>
  <si>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</si>
  <si>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</si>
  <si>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</si>
  <si>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</si>
  <si>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</si>
  <si>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</si>
  <si>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</si>
  <si>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</si>
  <si>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</si>
  <si>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</si>
  <si>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</si>
  <si>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</si>
  <si>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</si>
  <si>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</si>
  <si>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</si>
  <si>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</si>
  <si>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</si>
  <si>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</si>
  <si>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</si>
  <si>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</si>
  <si>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</si>
  <si>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</si>
  <si>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</si>
  <si>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</si>
  <si>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</si>
  <si>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</si>
  <si>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</si>
  <si>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</si>
  <si>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</si>
  <si>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</si>
  <si>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</si>
  <si>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</si>
  <si>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</si>
  <si>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</si>
  <si>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</si>
  <si>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</si>
  <si>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</si>
  <si>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</si>
  <si>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</si>
  <si>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</si>
  <si>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</si>
  <si>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</si>
  <si>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</si>
  <si>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</si>
  <si>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</si>
  <si>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</si>
  <si>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</si>
  <si>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</si>
  <si>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</si>
  <si>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</si>
  <si>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</si>
  <si>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</si>
  <si>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</si>
  <si>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</si>
  <si>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</si>
  <si>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</si>
  <si>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</si>
  <si>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</si>
  <si>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</si>
  <si>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</si>
  <si>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</si>
  <si>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</si>
  <si>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</si>
  <si>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</si>
  <si>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</si>
  <si>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</si>
  <si>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</si>
  <si>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</si>
  <si>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</si>
  <si>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</si>
  <si>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</si>
  <si>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</si>
  <si>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</si>
  <si>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</si>
  <si>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</si>
  <si>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</si>
  <si>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</si>
  <si>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</si>
  <si>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</si>
  <si>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</si>
  <si>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</si>
  <si>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</si>
  <si>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</si>
  <si>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</si>
  <si>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</si>
  <si>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</si>
  <si>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</si>
  <si>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</si>
  <si>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</si>
  <si>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</si>
  <si>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</si>
  <si>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</si>
  <si>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</si>
  <si>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</si>
  <si>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</si>
  <si>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</si>
  <si>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</si>
  <si>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</si>
  <si>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</si>
  <si>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</si>
  <si>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</si>
  <si>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</si>
  <si>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</si>
  <si>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</si>
  <si>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</si>
  <si>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</si>
  <si>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</si>
  <si>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</si>
  <si>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</si>
  <si>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</si>
  <si>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</si>
  <si>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</si>
  <si>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</si>
  <si>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</si>
  <si>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</si>
  <si>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</si>
  <si>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</si>
  <si>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</si>
  <si>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</si>
  <si>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</si>
  <si>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</si>
  <si>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</si>
  <si>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</si>
  <si>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</si>
  <si>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</si>
  <si>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</si>
  <si>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</si>
  <si>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</si>
  <si>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</si>
  <si>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</si>
  <si>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</si>
  <si>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</si>
  <si>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</si>
  <si>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</si>
  <si>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</si>
  <si>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</si>
  <si>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</si>
  <si>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</si>
  <si>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</si>
  <si>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</si>
  <si>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</si>
  <si>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</si>
  <si>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</si>
  <si>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</si>
  <si>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</si>
  <si>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</si>
  <si>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</si>
  <si>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</si>
  <si>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</si>
  <si>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</si>
  <si>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</si>
  <si>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</si>
  <si>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</si>
  <si>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</si>
  <si>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</si>
  <si>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</si>
  <si>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</si>
  <si>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</si>
  <si>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</si>
  <si>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</si>
  <si>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</si>
  <si>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</si>
  <si>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</si>
  <si>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</si>
  <si>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</si>
  <si>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</si>
  <si>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</si>
  <si>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</si>
  <si>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</si>
  <si>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</si>
  <si>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</si>
  <si>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</si>
  <si>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</si>
  <si>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</si>
  <si>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</si>
  <si>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</si>
  <si>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</si>
  <si>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</si>
  <si>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</si>
  <si>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</si>
  <si>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</si>
  <si>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</si>
  <si>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</si>
  <si>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</si>
  <si>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</si>
  <si>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</si>
  <si>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</si>
  <si>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</si>
  <si>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</si>
  <si>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</si>
  <si>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</si>
  <si>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</si>
  <si>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</si>
  <si>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</si>
  <si>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</si>
  <si>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</si>
  <si>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</si>
  <si>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</si>
  <si>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</si>
  <si>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</si>
  <si>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</si>
  <si>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</si>
  <si>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</si>
  <si>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</si>
  <si>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</si>
  <si>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</si>
  <si>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</si>
  <si>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</si>
  <si>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</si>
  <si>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</si>
  <si>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</si>
  <si>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</si>
  <si>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</si>
  <si>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</si>
  <si>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</si>
  <si>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</si>
  <si>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</si>
  <si>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</si>
  <si>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</si>
  <si>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</si>
  <si>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</si>
  <si>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</si>
  <si>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</si>
  <si>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</si>
  <si>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</si>
  <si>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</si>
  <si>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</si>
  <si>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</si>
  <si>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</si>
  <si>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</si>
  <si>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</si>
  <si>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</si>
  <si>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</si>
  <si>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</si>
  <si>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</si>
  <si>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</si>
  <si>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</si>
  <si>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</si>
  <si>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</si>
  <si>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</si>
  <si>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</si>
  <si>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</si>
  <si>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</si>
  <si>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</si>
  <si>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</si>
  <si>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</si>
  <si>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</si>
  <si>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</si>
  <si>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</si>
  <si>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</si>
  <si>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</si>
  <si>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</si>
  <si>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</si>
  <si>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</si>
  <si>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</si>
  <si>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</si>
  <si>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</si>
  <si>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</si>
  <si>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</si>
  <si>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</si>
  <si>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</si>
  <si>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</si>
  <si>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</si>
  <si>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</si>
  <si>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</si>
  <si>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</si>
  <si>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</si>
  <si>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</si>
  <si>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</si>
  <si>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</si>
  <si>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</si>
  <si>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</si>
  <si>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</si>
  <si>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</si>
  <si>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</si>
  <si>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</si>
  <si>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</si>
  <si>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</si>
  <si>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</si>
  <si>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</si>
  <si>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</si>
  <si>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</si>
  <si>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</si>
  <si>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</si>
  <si>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</si>
  <si>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</si>
  <si>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</si>
  <si>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</si>
  <si>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</si>
  <si>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</si>
  <si>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</si>
  <si>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</si>
  <si>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</si>
  <si>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</si>
  <si>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</si>
  <si>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</si>
  <si>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</si>
  <si>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</si>
  <si>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</si>
  <si>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</si>
  <si>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</si>
  <si>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</si>
  <si>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</si>
  <si>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</si>
  <si>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</si>
  <si>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</si>
  <si>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</si>
  <si>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</si>
  <si>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</si>
  <si>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</si>
  <si>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</si>
  <si>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</si>
  <si>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</si>
  <si>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</si>
  <si>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</si>
  <si>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</si>
  <si>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</si>
  <si>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</si>
  <si>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</si>
  <si>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</si>
  <si>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</si>
  <si>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</si>
  <si>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</si>
  <si>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</si>
  <si>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</si>
  <si>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</si>
  <si>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</si>
  <si>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</si>
  <si>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</si>
  <si>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</si>
  <si>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</si>
  <si>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</si>
  <si>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</si>
  <si>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</si>
  <si>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</si>
  <si>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</si>
  <si>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</si>
  <si>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</si>
  <si>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</si>
  <si>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</si>
  <si>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</si>
  <si>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</si>
  <si>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</si>
  <si>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</si>
  <si>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</si>
  <si>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</si>
  <si>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</si>
  <si>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</si>
  <si>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</si>
  <si>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</si>
  <si>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</si>
  <si>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</si>
  <si>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</si>
  <si>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</si>
  <si>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</si>
  <si>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</si>
  <si>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</si>
  <si>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</si>
  <si>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</si>
  <si>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</si>
  <si>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</si>
  <si>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</si>
  <si>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</si>
  <si>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</si>
  <si>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</si>
  <si>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</si>
  <si>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</si>
  <si>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</si>
  <si>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</si>
  <si>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</si>
  <si>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</si>
  <si>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</si>
  <si>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</si>
  <si>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</si>
  <si>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</si>
  <si>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</si>
  <si>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</si>
  <si>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</si>
  <si>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</si>
  <si>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</si>
  <si>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</si>
  <si>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</si>
  <si>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</si>
  <si>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</si>
  <si>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</si>
  <si>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</si>
  <si>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</si>
  <si>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</si>
  <si>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</si>
  <si>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</si>
  <si>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</si>
  <si>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</si>
  <si>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</si>
  <si>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</si>
  <si>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</si>
  <si>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</si>
  <si>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</si>
  <si>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</si>
  <si>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</si>
  <si>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</si>
  <si>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</si>
  <si>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</si>
  <si>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</si>
  <si>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</si>
  <si>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</si>
  <si>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</si>
  <si>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</si>
  <si>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</si>
  <si>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</si>
  <si>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</si>
  <si>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</si>
  <si>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</si>
  <si>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</si>
  <si>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</si>
  <si>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</si>
  <si>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</si>
  <si>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</si>
  <si>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</si>
  <si>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</si>
  <si>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</si>
  <si>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</si>
  <si>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</si>
  <si>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</si>
  <si>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</si>
  <si>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</si>
  <si>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</si>
  <si>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</si>
  <si>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</si>
  <si>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</si>
  <si>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</si>
  <si>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</si>
  <si>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</si>
  <si>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</si>
  <si>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</si>
  <si>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</si>
  <si>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</si>
  <si>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</si>
  <si>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</si>
  <si>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</si>
  <si>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</si>
  <si>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</si>
  <si>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</si>
  <si>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</si>
  <si>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</si>
  <si>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</si>
  <si>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</si>
  <si>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</si>
  <si>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</si>
  <si>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</si>
  <si>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</si>
  <si>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</si>
  <si>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</si>
  <si>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</si>
  <si>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</si>
  <si>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</si>
  <si>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</si>
  <si>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</si>
  <si>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</si>
  <si>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</si>
  <si>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</si>
  <si>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</si>
  <si>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</si>
  <si>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</si>
  <si>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</si>
  <si>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</si>
  <si>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</si>
  <si>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</si>
  <si>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</si>
  <si>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</si>
  <si>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</si>
  <si>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</si>
  <si>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</si>
  <si>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</si>
  <si>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</si>
  <si>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</si>
  <si>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</si>
  <si>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</si>
  <si>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</si>
  <si>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</si>
  <si>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</si>
  <si>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</si>
  <si>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</si>
  <si>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</si>
  <si>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</si>
  <si>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</si>
  <si>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</si>
  <si>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</si>
  <si>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</si>
  <si>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</si>
  <si>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</si>
  <si>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</si>
  <si>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</si>
  <si>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</si>
  <si>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</si>
  <si>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</si>
  <si>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</si>
  <si>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</si>
  <si>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</si>
  <si>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</si>
  <si>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</si>
  <si>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</si>
  <si>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</si>
  <si>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</si>
  <si>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</si>
  <si>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</si>
  <si>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</si>
  <si>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</si>
  <si>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</si>
  <si>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</si>
  <si>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</si>
  <si>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</si>
  <si>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</si>
  <si>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</si>
  <si>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</si>
  <si>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</si>
  <si>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</si>
  <si>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</si>
  <si>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</si>
  <si>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</si>
  <si>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</si>
  <si>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</si>
  <si>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</si>
  <si>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</si>
  <si>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</si>
  <si>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</si>
  <si>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</si>
  <si>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</si>
  <si>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</si>
  <si>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</si>
  <si>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</si>
  <si>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</si>
  <si>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</si>
  <si>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</si>
  <si>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</si>
  <si>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</si>
  <si>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</si>
  <si>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</si>
  <si>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</si>
  <si>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</si>
  <si>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</si>
  <si>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</si>
  <si>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</si>
  <si>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</si>
  <si>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</si>
  <si>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</si>
  <si>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</si>
  <si>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</si>
  <si>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</si>
  <si>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</si>
  <si>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</si>
  <si>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</si>
  <si>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</si>
  <si>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</si>
  <si>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</si>
  <si>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</si>
  <si>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</si>
  <si>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</si>
  <si>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</si>
  <si>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</si>
  <si>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</si>
  <si>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</si>
  <si>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</si>
  <si>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</si>
  <si>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</si>
  <si>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</si>
  <si>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</si>
  <si>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</si>
  <si>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</si>
  <si>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</si>
  <si>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</si>
  <si>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</si>
  <si>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</si>
  <si>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</si>
  <si>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</si>
  <si>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</si>
  <si>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</si>
  <si>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</si>
  <si>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</si>
  <si>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</si>
  <si>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</si>
  <si>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</si>
  <si>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</si>
  <si>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</si>
  <si>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</si>
  <si>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</si>
  <si>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</si>
  <si>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</si>
  <si>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</si>
  <si>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</si>
  <si>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</si>
  <si>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</si>
  <si>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</si>
  <si>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</si>
  <si>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</si>
  <si>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</si>
  <si>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</si>
  <si>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</si>
  <si>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</si>
  <si>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</si>
  <si>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</si>
  <si>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</si>
  <si>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</si>
  <si>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</si>
  <si>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</si>
  <si>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</si>
  <si>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</si>
  <si>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</si>
  <si>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</si>
  <si>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</si>
  <si>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</si>
  <si>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</si>
  <si>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</si>
  <si>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</si>
  <si>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</si>
  <si>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</si>
  <si>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</si>
  <si>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</si>
  <si>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</si>
  <si>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</si>
  <si>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</si>
  <si>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</si>
  <si>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</si>
  <si>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</si>
  <si>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</si>
  <si>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</si>
  <si>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</si>
  <si>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</si>
  <si>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</si>
  <si>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</si>
  <si>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</si>
  <si>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</si>
  <si>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</si>
  <si>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</si>
  <si>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</si>
  <si>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</si>
  <si>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</si>
  <si>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</si>
  <si>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</si>
  <si>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</si>
  <si>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</si>
  <si>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</si>
  <si>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</si>
  <si>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</si>
  <si>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</si>
  <si>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</si>
  <si>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</si>
  <si>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</si>
  <si>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</si>
  <si>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</si>
  <si>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</si>
  <si>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</si>
  <si>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</si>
  <si>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</si>
  <si>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</si>
  <si>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</si>
  <si>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</si>
  <si>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</si>
  <si>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</si>
  <si>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</si>
  <si>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</si>
  <si>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</si>
  <si>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</si>
  <si>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</si>
  <si>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</si>
  <si>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</si>
  <si>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</si>
  <si>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</si>
  <si>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</si>
  <si>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</si>
  <si>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</si>
  <si>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</si>
  <si>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</si>
  <si>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</si>
  <si>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</si>
  <si>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</si>
  <si>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</si>
  <si>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</si>
  <si>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</si>
  <si>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</si>
  <si>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</si>
  <si>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</si>
  <si>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</si>
  <si>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</si>
  <si>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</si>
  <si>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</si>
  <si>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</si>
  <si>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</si>
  <si>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</si>
  <si>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</si>
  <si>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</si>
  <si>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</si>
  <si>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</si>
  <si>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</si>
  <si>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</si>
  <si>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</si>
  <si>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</si>
  <si>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</si>
  <si>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</si>
  <si>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</si>
  <si>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</si>
  <si>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</si>
  <si>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</si>
  <si>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</si>
  <si>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</si>
  <si>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</si>
  <si>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</si>
  <si>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</si>
  <si>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</si>
  <si>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</si>
  <si>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</si>
  <si>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</si>
  <si>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</si>
  <si>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</si>
  <si>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</si>
  <si>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</si>
  <si>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</si>
  <si>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</si>
  <si>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</si>
  <si>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</si>
  <si>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</si>
  <si>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</si>
  <si>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</si>
  <si>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</si>
  <si>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</si>
  <si>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</si>
  <si>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</si>
  <si>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</si>
  <si>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</si>
  <si>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</si>
  <si>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</si>
  <si>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</si>
  <si>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</si>
  <si>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</si>
  <si>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</si>
  <si>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</si>
  <si>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</si>
  <si>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</si>
  <si>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</si>
  <si>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</si>
  <si>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</si>
  <si>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</si>
  <si>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</si>
  <si>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</si>
  <si>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</si>
  <si>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3 ans de taux maximum payé pour Facility fund terminé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</si>
  <si>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</si>
  <si>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</si>
  <si>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</si>
  <si>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</si>
  <si>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</si>
  <si>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</si>
  <si>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</si>
  <si>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</si>
  <si>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</si>
  <si>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</si>
  <si>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</si>
  <si>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</si>
  <si>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</si>
  <si>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</si>
  <si>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</si>
  <si>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</si>
  <si>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</si>
  <si>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</si>
  <si>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</si>
  <si>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</si>
  <si>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</si>
  <si>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</si>
  <si>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</si>
  <si>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</si>
  <si>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</si>
  <si>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</si>
  <si>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</si>
  <si>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</si>
  <si>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Q1</t>
  </si>
  <si>
    <t>Q2</t>
  </si>
  <si>
    <t>Q3</t>
  </si>
  <si>
    <t>Q4</t>
  </si>
  <si>
    <t>REEL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</si>
  <si>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</si>
  <si>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</si>
  <si>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</si>
  <si>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</si>
  <si>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</si>
  <si>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</si>
  <si>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</si>
  <si>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</si>
  <si>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</si>
  <si>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</si>
  <si>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</si>
  <si>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</si>
  <si>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</si>
  <si>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</si>
  <si>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</si>
  <si>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</si>
  <si>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</si>
  <si>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</si>
  <si>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</si>
  <si>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</si>
  <si>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</si>
  <si>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</si>
  <si>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</si>
  <si>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</si>
  <si>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</si>
  <si>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</si>
  <si>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</si>
  <si>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</si>
  <si>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</si>
  <si>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</si>
  <si>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</si>
  <si>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</si>
  <si>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</si>
  <si>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</si>
  <si>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</si>
  <si>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</si>
  <si>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</si>
  <si>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</si>
  <si>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</si>
  <si>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</si>
  <si>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</si>
  <si>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</si>
  <si>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</si>
  <si>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</si>
  <si>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</si>
  <si>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</si>
  <si>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</si>
  <si>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</si>
  <si>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</si>
  <si>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</si>
  <si>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</si>
  <si>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</si>
  <si>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</si>
  <si>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</si>
  <si>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</si>
  <si>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</si>
  <si>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</si>
  <si>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</si>
  <si>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</si>
  <si>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</si>
  <si>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</si>
  <si>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</si>
  <si>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</si>
  <si>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</si>
  <si>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</si>
  <si>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</si>
  <si>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</si>
  <si>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</si>
  <si>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</si>
  <si>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</si>
  <si>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</si>
  <si>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</si>
  <si>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</si>
  <si>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</si>
  <si>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</si>
  <si>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</si>
  <si>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</si>
  <si>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</si>
  <si>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</si>
  <si>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</si>
  <si>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</si>
  <si>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</si>
  <si>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</si>
  <si>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</si>
  <si>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</si>
  <si>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</si>
  <si>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</si>
  <si>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</si>
  <si>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</si>
  <si>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</si>
  <si>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</si>
  <si>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</si>
  <si>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</si>
  <si>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</si>
  <si>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</si>
  <si>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</si>
  <si>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</si>
  <si>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</si>
  <si>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</si>
  <si>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</si>
  <si>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</si>
  <si>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</si>
  <si>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</si>
  <si>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</si>
  <si>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</si>
  <si>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</si>
  <si>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</si>
  <si>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</si>
  <si>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</si>
  <si>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</si>
  <si>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</si>
  <si>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</si>
  <si>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</si>
  <si>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</si>
  <si>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</si>
  <si>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</si>
  <si>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</si>
  <si>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</si>
  <si>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</si>
  <si>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</si>
  <si>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</si>
  <si>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</si>
  <si>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</si>
  <si>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</si>
  <si>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</si>
  <si>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</si>
  <si>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</si>
  <si>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</si>
  <si>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</si>
  <si>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</si>
  <si>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</si>
  <si>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</si>
  <si>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</si>
  <si>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</si>
  <si>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</si>
  <si>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</si>
  <si>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</si>
  <si>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</si>
  <si>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</si>
  <si>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</si>
  <si>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</si>
  <si>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</si>
  <si>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</si>
  <si>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</si>
  <si>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</si>
  <si>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</si>
  <si>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</si>
  <si>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</si>
  <si>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</si>
  <si>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</si>
  <si>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</si>
  <si>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</si>
  <si>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</si>
  <si>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</si>
  <si>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</si>
  <si>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</si>
  <si>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</si>
  <si>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</si>
  <si>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</si>
  <si>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</si>
  <si>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</si>
  <si>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</si>
  <si>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</si>
  <si>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</si>
  <si>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</si>
  <si>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</si>
  <si>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</si>
  <si>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</si>
  <si>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</si>
  <si>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</si>
  <si>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</si>
  <si>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</si>
  <si>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</si>
  <si>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</si>
  <si>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</si>
  <si>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</si>
  <si>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</si>
  <si>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</si>
  <si>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</si>
  <si>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</si>
  <si>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</si>
  <si>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</si>
  <si>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</si>
  <si>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</si>
  <si>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</si>
  <si>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</si>
  <si>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</si>
  <si>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</si>
  <si>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</si>
  <si>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</si>
  <si>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</si>
  <si>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</si>
  <si>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</si>
  <si>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</si>
  <si>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</si>
  <si>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</si>
  <si>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</si>
  <si>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</si>
  <si>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</si>
  <si>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</si>
  <si>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</si>
  <si>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</si>
  <si>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</si>
  <si>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</si>
  <si>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</si>
  <si>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</si>
  <si>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</si>
  <si>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</si>
  <si>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</si>
  <si>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</si>
  <si>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</si>
  <si>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</si>
  <si>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</si>
  <si>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</si>
  <si>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</si>
  <si>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</si>
  <si>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</si>
  <si>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</si>
  <si>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</si>
  <si>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</si>
  <si>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</si>
  <si>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</si>
  <si>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</si>
  <si>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</si>
  <si>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</si>
  <si>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</si>
  <si>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</si>
  <si>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</si>
  <si>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</si>
  <si>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</si>
  <si>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</si>
  <si>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</si>
  <si>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</si>
  <si>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</si>
  <si>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</si>
  <si>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</si>
  <si>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</si>
  <si>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</si>
  <si>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</si>
  <si>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</si>
  <si>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</si>
  <si>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</si>
  <si>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</si>
  <si>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</si>
  <si>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</si>
  <si>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</si>
  <si>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</si>
  <si>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</si>
  <si>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</si>
  <si>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</si>
  <si>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</si>
  <si>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</si>
  <si>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</si>
  <si>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</si>
  <si>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</si>
  <si>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</si>
  <si>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</si>
  <si>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</si>
  <si>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</si>
  <si>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</si>
  <si>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</si>
  <si>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</si>
  <si>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</si>
  <si>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</si>
  <si>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</si>
  <si>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</si>
  <si>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</si>
  <si>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</si>
  <si>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</si>
  <si>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</si>
  <si>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</si>
  <si>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</si>
  <si>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</si>
  <si>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</si>
  <si>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</si>
  <si>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</si>
  <si>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</si>
  <si>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</si>
  <si>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</si>
  <si>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</si>
  <si>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</si>
  <si>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</si>
  <si>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</si>
  <si>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</si>
  <si>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</si>
  <si>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</si>
  <si>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</si>
  <si>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</si>
  <si>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</si>
  <si>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</si>
  <si>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</si>
  <si>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</si>
  <si>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</si>
  <si>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</si>
  <si>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</si>
  <si>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</si>
  <si>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</si>
  <si>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</si>
  <si>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</si>
  <si>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</si>
  <si>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</si>
  <si>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</si>
  <si>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</si>
  <si>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</si>
  <si>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</si>
  <si>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</si>
  <si>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</si>
  <si>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</si>
  <si>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</si>
  <si>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</si>
  <si>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</si>
  <si>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</si>
  <si>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</si>
  <si>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</si>
  <si>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</si>
  <si>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</si>
  <si>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</si>
  <si>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</si>
  <si>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</si>
  <si>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</si>
  <si>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</si>
  <si>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</si>
  <si>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</si>
  <si>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</si>
  <si>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</si>
  <si>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</si>
  <si>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</si>
  <si>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</si>
  <si>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</si>
  <si>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</si>
  <si>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</si>
  <si>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</si>
  <si>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</si>
  <si>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</si>
  <si>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</si>
  <si>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</si>
  <si>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</si>
  <si>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</si>
  <si>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</si>
  <si>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</si>
  <si>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</si>
  <si>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</si>
  <si>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</si>
  <si>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</si>
  <si>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</si>
  <si>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</si>
  <si>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</si>
  <si>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</si>
  <si>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</si>
  <si>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</si>
  <si>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</si>
  <si>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</si>
  <si>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</si>
  <si>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</si>
  <si>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</si>
  <si>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</si>
  <si>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</si>
  <si>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</si>
  <si>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</si>
  <si>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</si>
  <si>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</si>
  <si>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</si>
  <si>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</si>
  <si>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</si>
  <si>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</si>
  <si>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</si>
  <si>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</si>
  <si>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</si>
  <si>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</si>
  <si>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</si>
  <si>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</si>
  <si>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</si>
  <si>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</si>
  <si>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</si>
  <si>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</si>
  <si>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</si>
  <si>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</si>
  <si>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</si>
  <si>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</si>
  <si>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</si>
  <si>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</si>
  <si>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</si>
  <si>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</si>
  <si>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</si>
  <si>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</si>
  <si>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</si>
  <si>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</si>
  <si>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</si>
  <si>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</si>
  <si>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</si>
  <si>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</si>
  <si>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</si>
  <si>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</si>
  <si>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</si>
  <si>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</si>
  <si>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</si>
  <si>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</si>
  <si>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</si>
  <si>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</si>
  <si>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</si>
  <si>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</si>
  <si>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</si>
  <si>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</si>
  <si>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</si>
  <si>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</si>
  <si>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</si>
  <si>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</si>
  <si>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</si>
  <si>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</si>
  <si>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</si>
  <si>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</si>
  <si>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</si>
  <si>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</si>
  <si>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</si>
  <si>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</si>
  <si>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</si>
  <si>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</si>
  <si>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</si>
  <si>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</si>
  <si>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</si>
  <si>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</si>
  <si>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</si>
  <si>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</si>
  <si>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</si>
  <si>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</si>
  <si>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</si>
  <si>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</si>
  <si>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</si>
  <si>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</si>
  <si>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</si>
  <si>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</si>
  <si>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</si>
  <si>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</si>
  <si>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</si>
  <si>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</si>
  <si>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</si>
  <si>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</si>
  <si>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</si>
  <si>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</si>
  <si>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</si>
  <si>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</si>
  <si>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</si>
  <si>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</si>
  <si>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</si>
  <si>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</si>
  <si>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</si>
  <si>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</si>
  <si>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</si>
  <si>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</si>
  <si>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</si>
  <si>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</si>
  <si>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</si>
  <si>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</si>
  <si>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</si>
  <si>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</si>
  <si>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</si>
  <si>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</si>
  <si>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</si>
  <si>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</si>
  <si>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</si>
  <si>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</si>
  <si>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</si>
  <si>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</si>
  <si>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</si>
  <si>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</si>
  <si>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</si>
  <si>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</si>
  <si>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</si>
  <si>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</si>
  <si>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</si>
  <si>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</si>
  <si>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</si>
  <si>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</si>
  <si>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</si>
  <si>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</si>
  <si>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</si>
  <si>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</si>
  <si>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</si>
  <si>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</si>
  <si>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</si>
  <si>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</si>
  <si>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</si>
  <si>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</si>
  <si>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</si>
  <si>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</si>
  <si>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</si>
  <si>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</si>
  <si>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</si>
  <si>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</si>
  <si>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</si>
  <si>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Forecast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</si>
  <si>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</si>
  <si>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</si>
  <si>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</si>
  <si>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</si>
  <si>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</si>
  <si>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</si>
  <si>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</si>
  <si>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</si>
  <si>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</si>
  <si>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</si>
  <si>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</si>
  <si>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</si>
  <si>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</si>
  <si>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</si>
  <si>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</si>
  <si>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</si>
  <si>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</si>
  <si>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</si>
  <si>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</si>
  <si>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</si>
  <si>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</si>
  <si>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</si>
  <si>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</si>
  <si>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</si>
  <si>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</si>
  <si>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</si>
  <si>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</si>
  <si>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sans boni F&amp;I vendeur 26%</t>
  </si>
  <si>
    <t>AAD 2024</t>
  </si>
  <si>
    <t xml:space="preserve">  Réalisé 2024</t>
  </si>
  <si>
    <t xml:space="preserve">  Budget 2024</t>
  </si>
  <si>
    <t>Pacing</t>
  </si>
  <si>
    <t>Chaises salle conférence</t>
  </si>
  <si>
    <t>Hébert</t>
  </si>
  <si>
    <t>Norman</t>
  </si>
  <si>
    <t>Président Exécutif du Conseil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</si>
  <si>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</si>
  <si>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</si>
  <si>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</si>
  <si>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</si>
  <si>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</si>
  <si>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</si>
  <si>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</si>
  <si>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</si>
  <si>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</si>
  <si>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404E</t>
  </si>
  <si>
    <t>675</t>
  </si>
  <si>
    <t>409@</t>
  </si>
  <si>
    <t>N : 30 17850$</t>
  </si>
  <si>
    <t>u :22 13090$</t>
  </si>
  <si>
    <t>WBAHF3C09RWY32362</t>
  </si>
  <si>
    <t>avec boni F&amp;I vendeur 34%</t>
  </si>
  <si>
    <t>sans boni F&amp;I vendeur 24.3%</t>
  </si>
  <si>
    <t>avec boni F&amp;I vendeur %</t>
  </si>
  <si>
    <t>Gars pneus, budgeté juste en octobre et novembre</t>
  </si>
  <si>
    <t>+2.5k déprec court +2.5k mobility</t>
  </si>
  <si>
    <t>- Salaire/profits brut : Manque de bruts, salaire sous budget.
- Int. F.P. : Inventaire neuf un peu plus élevé que budgeté</t>
  </si>
  <si>
    <t xml:space="preserve">- Début du mois d'Avril à été hâtif et la demande de véhicules électrique BMW en baisse
- Beaucoup plus d'inventaire (mauvais Mix) et clientèle qui négocie beaucoup plus (Nous ne sommes pas en position de force comme 2023)
- Nous ( incluant Les vendeurs et F&amp;i) poussons beaucoup plus la vente de produits F&amp;i pour combler le manque à gagné du 'Front'... Ils sont bonifier selon leurs performances
- Dép. Variable : Intérêts floor plan supérieur au budget dû à un inventaire plus élevé.
</t>
  </si>
  <si>
    <t>- Notre inventaire du Used est bien réparti et aux bon prix. Nous sommes très compétitif vs le marché 
- Étant donné que nous nous forçons à reviser les prix à la semaine pour suivre le marché, alors nos marges sont affectés. Les clients sont également plus difficile à signer que l'année dernière et négocie plus. De plus, le reconditionnement nous coûte plus cher que prévu.
- 42% de Off brands en Avril ''ventes retail''
- Nos prévisions budgétaire sur les ristournes de finance ne réflète pas ce que nous vivons et nous rencontrons un manque à gagner de $3500</t>
  </si>
  <si>
    <t>- Temp perdu, embauche de nouveaux techniciens et nous avons plus 16 jours d'absence tech 
- Encore une excuse de M... mais le manque volume et MY wo en baisse du aux fort manque de persononelle 
- 30 bon de travail de moins vs 2023, a des répercutions</t>
  </si>
  <si>
    <t>- La garantie n'est pas au RDV, beaucoup de programation 
- Pneu on récupère une partie du retard de Q1
- Salaires autres : Commis pièces temps partiel non budgeté</t>
  </si>
  <si>
    <t>- Ebitda affacté par l'ensemble des départements, vente Neuf + occasion gtl-28k et Pièces et Service -26k
- Dépenses en controle à l'exception inventaire neuf, mauvais Mix, on y travaille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</si>
</sst>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</numFmts>
  <fonts count="13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8">
    <xf numFmtId="0" fontId="0" fillId="0" borderId="0"/>
    <xf numFmtId="9" fontId="85" fillId="0" borderId="0" applyFont="0" applyFill="0" applyBorder="0" applyAlignment="0" applyProtection="0"/>
    <xf numFmtId="0" fontId="48" fillId="0" borderId="1"/>
    <xf numFmtId="0" fontId="47" fillId="0" borderId="1"/>
    <xf numFmtId="9" fontId="47" fillId="0" borderId="1" applyFont="0" applyFill="0" applyBorder="0" applyAlignment="0" applyProtection="0"/>
    <xf numFmtId="0" fontId="46" fillId="0" borderId="1"/>
    <xf numFmtId="0" fontId="45" fillId="0" borderId="1"/>
    <xf numFmtId="0" fontId="44" fillId="0" borderId="1"/>
    <xf numFmtId="0" fontId="43" fillId="0" borderId="1"/>
    <xf numFmtId="0" fontId="42" fillId="0" borderId="1"/>
    <xf numFmtId="0" fontId="85" fillId="0" borderId="1"/>
    <xf numFmtId="0" fontId="40" fillId="0" borderId="1"/>
    <xf numFmtId="0" fontId="39" fillId="0" borderId="1"/>
    <xf numFmtId="0" fontId="38" fillId="0" borderId="1"/>
    <xf numFmtId="0" fontId="35" fillId="0" borderId="1"/>
    <xf numFmtId="0" fontId="34" fillId="0" borderId="1"/>
    <xf numFmtId="9" fontId="85" fillId="0" borderId="1" applyFont="0" applyFill="0" applyBorder="0" applyAlignment="0" applyProtection="0"/>
    <xf numFmtId="0" fontId="34" fillId="0" borderId="1"/>
    <xf numFmtId="9" fontId="34" fillId="0" borderId="1" applyFont="0" applyFill="0" applyBorder="0" applyAlignment="0" applyProtection="0"/>
    <xf numFmtId="0" fontId="120" fillId="0" borderId="1"/>
    <xf numFmtId="0" fontId="121" fillId="0" borderId="1"/>
    <xf numFmtId="0" fontId="32" fillId="0" borderId="1"/>
    <xf numFmtId="0" fontId="31" fillId="0" borderId="1"/>
    <xf numFmtId="0" fontId="30" fillId="0" borderId="1"/>
    <xf numFmtId="0" fontId="30" fillId="0" borderId="1"/>
    <xf numFmtId="9" fontId="30" fillId="0" borderId="1" applyFont="0" applyFill="0" applyBorder="0" applyAlignment="0" applyProtection="0"/>
    <xf numFmtId="0" fontId="30" fillId="0" borderId="1"/>
    <xf numFmtId="0" fontId="28" fillId="0" borderId="1"/>
    <xf numFmtId="0" fontId="26" fillId="0" borderId="1"/>
    <xf numFmtId="0" fontId="26" fillId="0" borderId="1"/>
    <xf numFmtId="9" fontId="26" fillId="0" borderId="1" applyFont="0" applyFill="0" applyBorder="0" applyAlignment="0" applyProtection="0"/>
    <xf numFmtId="0" fontId="26" fillId="0" borderId="1"/>
    <xf numFmtId="0" fontId="25" fillId="0" borderId="1"/>
    <xf numFmtId="0" fontId="23" fillId="0" borderId="1"/>
    <xf numFmtId="0" fontId="23" fillId="0" borderId="1"/>
    <xf numFmtId="9" fontId="23" fillId="0" borderId="1" applyFont="0" applyFill="0" applyBorder="0" applyAlignment="0" applyProtection="0"/>
    <xf numFmtId="0" fontId="23" fillId="0" borderId="1"/>
    <xf numFmtId="0" fontId="22" fillId="0" borderId="1"/>
    <xf numFmtId="0" fontId="22" fillId="0" borderId="1"/>
    <xf numFmtId="9" fontId="22" fillId="0" borderId="1" applyFont="0" applyFill="0" applyBorder="0" applyAlignment="0" applyProtection="0"/>
    <xf numFmtId="0" fontId="22" fillId="0" borderId="1"/>
    <xf numFmtId="0" fontId="21" fillId="0" borderId="1"/>
    <xf numFmtId="0" fontId="20" fillId="0" borderId="1"/>
    <xf numFmtId="0" fontId="20" fillId="0" borderId="1"/>
    <xf numFmtId="9" fontId="20" fillId="0" borderId="1" applyFont="0" applyFill="0" applyBorder="0" applyAlignment="0" applyProtection="0"/>
    <xf numFmtId="0" fontId="20" fillId="0" borderId="1"/>
    <xf numFmtId="0" fontId="19" fillId="0" borderId="1"/>
    <xf numFmtId="0" fontId="19" fillId="0" borderId="1"/>
    <xf numFmtId="9" fontId="19" fillId="0" borderId="1" applyFont="0" applyFill="0" applyBorder="0" applyAlignment="0" applyProtection="0"/>
    <xf numFmtId="0" fontId="19" fillId="0" borderId="1"/>
    <xf numFmtId="0" fontId="18" fillId="0" borderId="1"/>
    <xf numFmtId="0" fontId="18" fillId="0" borderId="1"/>
    <xf numFmtId="9" fontId="18" fillId="0" borderId="1" applyFont="0" applyFill="0" applyBorder="0" applyAlignment="0" applyProtection="0"/>
    <xf numFmtId="0" fontId="18" fillId="0" borderId="1"/>
    <xf numFmtId="0" fontId="16" fillId="0" borderId="1"/>
    <xf numFmtId="0" fontId="14" fillId="0" borderId="1"/>
    <xf numFmtId="0" fontId="14" fillId="0" borderId="1"/>
    <xf numFmtId="9" fontId="14" fillId="0" borderId="1" applyFont="0" applyFill="0" applyBorder="0" applyAlignment="0" applyProtection="0"/>
    <xf numFmtId="164" fontId="14" fillId="0" borderId="1" applyFont="0" applyFill="0" applyBorder="0" applyAlignment="0" applyProtection="0"/>
    <xf numFmtId="0" fontId="13" fillId="0" borderId="1"/>
    <xf numFmtId="0" fontId="12" fillId="0" borderId="1"/>
    <xf numFmtId="0" fontId="11" fillId="0" borderId="1"/>
    <xf numFmtId="0" fontId="9" fillId="0" borderId="1"/>
    <xf numFmtId="0" fontId="8" fillId="0" borderId="1"/>
    <xf numFmtId="0" fontId="7" fillId="0" borderId="1"/>
    <xf numFmtId="0" fontId="3" fillId="0" borderId="1"/>
    <xf numFmtId="0" fontId="2" fillId="0" borderId="1"/>
    <xf numFmtId="0" fontId="1" fillId="0" borderId="1"/>
  </cellStyleXfs>
  <cellXfs count="1262">
    <xf numFmtId="0" fontId="0" fillId="0" borderId="0" xfId="0"/>
    <xf numFmtId="0" fontId="49" fillId="0" borderId="0" xfId="0" applyFont="1"/>
    <xf numFmtId="0" fontId="50" fillId="0" borderId="0" xfId="0" applyFont="1"/>
    <xf numFmtId="0" fontId="50" fillId="2" borderId="1" xfId="0" applyFont="1" applyFill="1" applyBorder="1" applyAlignment="1">
      <alignment horizontal="center"/>
    </xf>
    <xf numFmtId="0" fontId="51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right"/>
    </xf>
    <xf numFmtId="0" fontId="51" fillId="0" borderId="0" xfId="0" applyFont="1"/>
    <xf numFmtId="0" fontId="53" fillId="0" borderId="2" xfId="0" applyFont="1" applyBorder="1"/>
    <xf numFmtId="0" fontId="55" fillId="0" borderId="4" xfId="0" applyFont="1" applyBorder="1"/>
    <xf numFmtId="0" fontId="53" fillId="0" borderId="6" xfId="0" applyFont="1" applyBorder="1"/>
    <xf numFmtId="0" fontId="55" fillId="0" borderId="6" xfId="0" applyFont="1" applyBorder="1"/>
    <xf numFmtId="0" fontId="55" fillId="3" borderId="8" xfId="0" applyFont="1" applyFill="1" applyBorder="1"/>
    <xf numFmtId="0" fontId="55" fillId="3" borderId="10" xfId="0" applyFont="1" applyFill="1" applyBorder="1"/>
    <xf numFmtId="0" fontId="54" fillId="0" borderId="6" xfId="0" applyFont="1" applyBorder="1"/>
    <xf numFmtId="168" fontId="50" fillId="0" borderId="0" xfId="0" applyNumberFormat="1" applyFont="1"/>
    <xf numFmtId="0" fontId="50" fillId="0" borderId="6" xfId="0" applyFont="1" applyBorder="1"/>
    <xf numFmtId="169" fontId="50" fillId="0" borderId="0" xfId="0" applyNumberFormat="1" applyFont="1"/>
    <xf numFmtId="0" fontId="52" fillId="0" borderId="0" xfId="0" applyFont="1"/>
    <xf numFmtId="0" fontId="57" fillId="0" borderId="0" xfId="0" applyFont="1" applyAlignment="1">
      <alignment horizontal="center" vertical="center"/>
    </xf>
    <xf numFmtId="3" fontId="52" fillId="0" borderId="0" xfId="0" applyNumberFormat="1" applyFont="1"/>
    <xf numFmtId="0" fontId="57" fillId="0" borderId="0" xfId="0" applyFont="1"/>
    <xf numFmtId="170" fontId="58" fillId="0" borderId="0" xfId="0" applyNumberFormat="1" applyFont="1" applyAlignment="1">
      <alignment horizontal="left"/>
    </xf>
    <xf numFmtId="0" fontId="58" fillId="0" borderId="0" xfId="0" applyFont="1"/>
    <xf numFmtId="0" fontId="59" fillId="0" borderId="0" xfId="0" applyFont="1"/>
    <xf numFmtId="0" fontId="60" fillId="0" borderId="0" xfId="0" applyFont="1"/>
    <xf numFmtId="37" fontId="61" fillId="3" borderId="14" xfId="0" applyNumberFormat="1" applyFont="1" applyFill="1" applyBorder="1"/>
    <xf numFmtId="3" fontId="61" fillId="3" borderId="14" xfId="0" applyNumberFormat="1" applyFont="1" applyFill="1" applyBorder="1"/>
    <xf numFmtId="37" fontId="61" fillId="3" borderId="9" xfId="0" applyNumberFormat="1" applyFont="1" applyFill="1" applyBorder="1"/>
    <xf numFmtId="37" fontId="61" fillId="3" borderId="8" xfId="0" applyNumberFormat="1" applyFont="1" applyFill="1" applyBorder="1"/>
    <xf numFmtId="172" fontId="61" fillId="3" borderId="14" xfId="0" applyNumberFormat="1" applyFont="1" applyFill="1" applyBorder="1"/>
    <xf numFmtId="0" fontId="61" fillId="3" borderId="10" xfId="0" applyFont="1" applyFill="1" applyBorder="1"/>
    <xf numFmtId="0" fontId="61" fillId="3" borderId="11" xfId="0" applyFont="1" applyFill="1" applyBorder="1"/>
    <xf numFmtId="171" fontId="61" fillId="3" borderId="10" xfId="0" applyNumberFormat="1" applyFont="1" applyFill="1" applyBorder="1"/>
    <xf numFmtId="171" fontId="61" fillId="3" borderId="11" xfId="0" applyNumberFormat="1" applyFont="1" applyFill="1" applyBorder="1"/>
    <xf numFmtId="0" fontId="61" fillId="4" borderId="1" xfId="0" applyFont="1" applyFill="1" applyBorder="1"/>
    <xf numFmtId="0" fontId="60" fillId="0" borderId="0" xfId="0" applyFont="1" applyAlignment="1">
      <alignment horizontal="right"/>
    </xf>
    <xf numFmtId="37" fontId="60" fillId="0" borderId="0" xfId="0" applyNumberFormat="1" applyFont="1"/>
    <xf numFmtId="0" fontId="61" fillId="3" borderId="16" xfId="0" applyFont="1" applyFill="1" applyBorder="1"/>
    <xf numFmtId="0" fontId="61" fillId="3" borderId="17" xfId="0" applyFont="1" applyFill="1" applyBorder="1" applyAlignment="1">
      <alignment horizontal="center"/>
    </xf>
    <xf numFmtId="171" fontId="61" fillId="3" borderId="17" xfId="0" applyNumberFormat="1" applyFont="1" applyFill="1" applyBorder="1"/>
    <xf numFmtId="37" fontId="61" fillId="3" borderId="18" xfId="0" applyNumberFormat="1" applyFont="1" applyFill="1" applyBorder="1"/>
    <xf numFmtId="0" fontId="61" fillId="3" borderId="16" xfId="0" applyFont="1" applyFill="1" applyBorder="1" applyAlignment="1">
      <alignment horizontal="center"/>
    </xf>
    <xf numFmtId="0" fontId="60" fillId="3" borderId="13" xfId="0" applyFont="1" applyFill="1" applyBorder="1"/>
    <xf numFmtId="0" fontId="60" fillId="3" borderId="16" xfId="0" applyFont="1" applyFill="1" applyBorder="1"/>
    <xf numFmtId="37" fontId="61" fillId="0" borderId="0" xfId="0" applyNumberFormat="1" applyFont="1"/>
    <xf numFmtId="37" fontId="61" fillId="3" borderId="19" xfId="0" applyNumberFormat="1" applyFont="1" applyFill="1" applyBorder="1"/>
    <xf numFmtId="0" fontId="60" fillId="4" borderId="1" xfId="0" applyFont="1" applyFill="1" applyBorder="1"/>
    <xf numFmtId="37" fontId="61" fillId="4" borderId="15" xfId="0" applyNumberFormat="1" applyFont="1" applyFill="1" applyBorder="1"/>
    <xf numFmtId="0" fontId="60" fillId="4" borderId="12" xfId="0" applyFont="1" applyFill="1" applyBorder="1"/>
    <xf numFmtId="0" fontId="60" fillId="4" borderId="13" xfId="0" applyFont="1" applyFill="1" applyBorder="1"/>
    <xf numFmtId="0" fontId="60" fillId="4" borderId="22" xfId="0" applyFont="1" applyFill="1" applyBorder="1"/>
    <xf numFmtId="37" fontId="61" fillId="4" borderId="19" xfId="0" applyNumberFormat="1" applyFont="1" applyFill="1" applyBorder="1"/>
    <xf numFmtId="0" fontId="64" fillId="0" borderId="0" xfId="0" applyFont="1"/>
    <xf numFmtId="0" fontId="65" fillId="0" borderId="0" xfId="0" applyFont="1"/>
    <xf numFmtId="37" fontId="65" fillId="0" borderId="0" xfId="0" applyNumberFormat="1" applyFont="1"/>
    <xf numFmtId="0" fontId="61" fillId="0" borderId="0" xfId="0" applyFont="1"/>
    <xf numFmtId="37" fontId="58" fillId="0" borderId="0" xfId="0" applyNumberFormat="1" applyFont="1"/>
    <xf numFmtId="37" fontId="61" fillId="4" borderId="14" xfId="0" applyNumberFormat="1" applyFont="1" applyFill="1" applyBorder="1"/>
    <xf numFmtId="37" fontId="61" fillId="4" borderId="9" xfId="0" applyNumberFormat="1" applyFont="1" applyFill="1" applyBorder="1"/>
    <xf numFmtId="37" fontId="61" fillId="4" borderId="8" xfId="0" applyNumberFormat="1" applyFont="1" applyFill="1" applyBorder="1"/>
    <xf numFmtId="171" fontId="61" fillId="4" borderId="8" xfId="0" applyNumberFormat="1" applyFont="1" applyFill="1" applyBorder="1"/>
    <xf numFmtId="37" fontId="61" fillId="4" borderId="22" xfId="0" applyNumberFormat="1" applyFont="1" applyFill="1" applyBorder="1"/>
    <xf numFmtId="171" fontId="61" fillId="4" borderId="19" xfId="0" applyNumberFormat="1" applyFont="1" applyFill="1" applyBorder="1"/>
    <xf numFmtId="37" fontId="61" fillId="4" borderId="13" xfId="0" applyNumberFormat="1" applyFont="1" applyFill="1" applyBorder="1"/>
    <xf numFmtId="39" fontId="61" fillId="4" borderId="22" xfId="0" applyNumberFormat="1" applyFont="1" applyFill="1" applyBorder="1"/>
    <xf numFmtId="37" fontId="61" fillId="4" borderId="24" xfId="0" applyNumberFormat="1" applyFont="1" applyFill="1" applyBorder="1"/>
    <xf numFmtId="172" fontId="61" fillId="4" borderId="24" xfId="0" applyNumberFormat="1" applyFont="1" applyFill="1" applyBorder="1"/>
    <xf numFmtId="37" fontId="61" fillId="4" borderId="25" xfId="0" applyNumberFormat="1" applyFont="1" applyFill="1" applyBorder="1"/>
    <xf numFmtId="37" fontId="61" fillId="4" borderId="23" xfId="0" applyNumberFormat="1" applyFont="1" applyFill="1" applyBorder="1"/>
    <xf numFmtId="171" fontId="61" fillId="3" borderId="8" xfId="0" applyNumberFormat="1" applyFont="1" applyFill="1" applyBorder="1"/>
    <xf numFmtId="171" fontId="61" fillId="3" borderId="14" xfId="0" applyNumberFormat="1" applyFont="1" applyFill="1" applyBorder="1"/>
    <xf numFmtId="171" fontId="61" fillId="3" borderId="26" xfId="0" applyNumberFormat="1" applyFont="1" applyFill="1" applyBorder="1"/>
    <xf numFmtId="37" fontId="61" fillId="3" borderId="27" xfId="0" applyNumberFormat="1" applyFont="1" applyFill="1" applyBorder="1"/>
    <xf numFmtId="37" fontId="61" fillId="3" borderId="29" xfId="0" applyNumberFormat="1" applyFont="1" applyFill="1" applyBorder="1"/>
    <xf numFmtId="172" fontId="61" fillId="3" borderId="29" xfId="0" applyNumberFormat="1" applyFont="1" applyFill="1" applyBorder="1"/>
    <xf numFmtId="37" fontId="61" fillId="3" borderId="30" xfId="0" applyNumberFormat="1" applyFont="1" applyFill="1" applyBorder="1"/>
    <xf numFmtId="37" fontId="61" fillId="3" borderId="28" xfId="0" applyNumberFormat="1" applyFont="1" applyFill="1" applyBorder="1"/>
    <xf numFmtId="0" fontId="60" fillId="3" borderId="10" xfId="0" applyFont="1" applyFill="1" applyBorder="1"/>
    <xf numFmtId="0" fontId="68" fillId="0" borderId="0" xfId="0" applyFont="1"/>
    <xf numFmtId="0" fontId="57" fillId="0" borderId="0" xfId="0" applyFont="1" applyAlignment="1">
      <alignment horizontal="right" vertical="center"/>
    </xf>
    <xf numFmtId="0" fontId="69" fillId="3" borderId="22" xfId="0" applyFont="1" applyFill="1" applyBorder="1"/>
    <xf numFmtId="37" fontId="69" fillId="3" borderId="32" xfId="0" applyNumberFormat="1" applyFont="1" applyFill="1" applyBorder="1"/>
    <xf numFmtId="37" fontId="69" fillId="3" borderId="33" xfId="0" applyNumberFormat="1" applyFont="1" applyFill="1" applyBorder="1"/>
    <xf numFmtId="37" fontId="69" fillId="3" borderId="22" xfId="0" applyNumberFormat="1" applyFont="1" applyFill="1" applyBorder="1"/>
    <xf numFmtId="171" fontId="69" fillId="3" borderId="22" xfId="0" applyNumberFormat="1" applyFont="1" applyFill="1" applyBorder="1"/>
    <xf numFmtId="37" fontId="69" fillId="3" borderId="34" xfId="0" applyNumberFormat="1" applyFont="1" applyFill="1" applyBorder="1"/>
    <xf numFmtId="37" fontId="63" fillId="0" borderId="35" xfId="0" applyNumberFormat="1" applyFont="1" applyBorder="1"/>
    <xf numFmtId="0" fontId="69" fillId="3" borderId="17" xfId="0" applyFont="1" applyFill="1" applyBorder="1"/>
    <xf numFmtId="171" fontId="69" fillId="3" borderId="17" xfId="0" applyNumberFormat="1" applyFont="1" applyFill="1" applyBorder="1"/>
    <xf numFmtId="37" fontId="69" fillId="3" borderId="21" xfId="0" applyNumberFormat="1" applyFont="1" applyFill="1" applyBorder="1"/>
    <xf numFmtId="171" fontId="69" fillId="3" borderId="20" xfId="0" applyNumberFormat="1" applyFont="1" applyFill="1" applyBorder="1"/>
    <xf numFmtId="0" fontId="69" fillId="3" borderId="20" xfId="0" applyFont="1" applyFill="1" applyBorder="1"/>
    <xf numFmtId="37" fontId="69" fillId="3" borderId="17" xfId="0" applyNumberFormat="1" applyFont="1" applyFill="1" applyBorder="1"/>
    <xf numFmtId="0" fontId="69" fillId="3" borderId="36" xfId="0" applyFont="1" applyFill="1" applyBorder="1"/>
    <xf numFmtId="165" fontId="58" fillId="0" borderId="0" xfId="0" applyNumberFormat="1" applyFont="1"/>
    <xf numFmtId="165" fontId="68" fillId="0" borderId="0" xfId="0" applyNumberFormat="1" applyFont="1"/>
    <xf numFmtId="171" fontId="63" fillId="0" borderId="35" xfId="0" applyNumberFormat="1" applyFont="1" applyBorder="1"/>
    <xf numFmtId="172" fontId="69" fillId="3" borderId="17" xfId="0" applyNumberFormat="1" applyFont="1" applyFill="1" applyBorder="1"/>
    <xf numFmtId="37" fontId="69" fillId="3" borderId="20" xfId="0" applyNumberFormat="1" applyFont="1" applyFill="1" applyBorder="1"/>
    <xf numFmtId="37" fontId="69" fillId="3" borderId="36" xfId="0" applyNumberFormat="1" applyFont="1" applyFill="1" applyBorder="1"/>
    <xf numFmtId="37" fontId="68" fillId="0" borderId="0" xfId="0" applyNumberFormat="1" applyFont="1"/>
    <xf numFmtId="169" fontId="68" fillId="0" borderId="0" xfId="0" applyNumberFormat="1" applyFont="1"/>
    <xf numFmtId="0" fontId="63" fillId="3" borderId="17" xfId="0" applyFont="1" applyFill="1" applyBorder="1"/>
    <xf numFmtId="0" fontId="68" fillId="4" borderId="1" xfId="0" applyFont="1" applyFill="1" applyBorder="1"/>
    <xf numFmtId="0" fontId="63" fillId="0" borderId="35" xfId="0" applyFont="1" applyBorder="1"/>
    <xf numFmtId="37" fontId="63" fillId="4" borderId="37" xfId="0" applyNumberFormat="1" applyFont="1" applyFill="1" applyBorder="1"/>
    <xf numFmtId="0" fontId="69" fillId="4" borderId="24" xfId="0" applyFont="1" applyFill="1" applyBorder="1"/>
    <xf numFmtId="37" fontId="69" fillId="4" borderId="24" xfId="0" applyNumberFormat="1" applyFont="1" applyFill="1" applyBorder="1"/>
    <xf numFmtId="171" fontId="63" fillId="3" borderId="20" xfId="0" applyNumberFormat="1" applyFont="1" applyFill="1" applyBorder="1"/>
    <xf numFmtId="171" fontId="63" fillId="3" borderId="17" xfId="0" applyNumberFormat="1" applyFont="1" applyFill="1" applyBorder="1"/>
    <xf numFmtId="37" fontId="63" fillId="3" borderId="36" xfId="0" applyNumberFormat="1" applyFont="1" applyFill="1" applyBorder="1"/>
    <xf numFmtId="0" fontId="63" fillId="4" borderId="24" xfId="0" applyFont="1" applyFill="1" applyBorder="1"/>
    <xf numFmtId="37" fontId="63" fillId="4" borderId="24" xfId="0" applyNumberFormat="1" applyFont="1" applyFill="1" applyBorder="1"/>
    <xf numFmtId="37" fontId="63" fillId="4" borderId="38" xfId="0" applyNumberFormat="1" applyFont="1" applyFill="1" applyBorder="1"/>
    <xf numFmtId="37" fontId="63" fillId="4" borderId="1" xfId="0" applyNumberFormat="1" applyFont="1" applyFill="1" applyBorder="1"/>
    <xf numFmtId="171" fontId="63" fillId="4" borderId="1" xfId="0" applyNumberFormat="1" applyFont="1" applyFill="1" applyBorder="1"/>
    <xf numFmtId="171" fontId="63" fillId="4" borderId="38" xfId="0" applyNumberFormat="1" applyFont="1" applyFill="1" applyBorder="1"/>
    <xf numFmtId="171" fontId="63" fillId="4" borderId="24" xfId="0" applyNumberFormat="1" applyFont="1" applyFill="1" applyBorder="1"/>
    <xf numFmtId="37" fontId="63" fillId="4" borderId="42" xfId="0" applyNumberFormat="1" applyFont="1" applyFill="1" applyBorder="1"/>
    <xf numFmtId="39" fontId="63" fillId="0" borderId="0" xfId="0" applyNumberFormat="1" applyFont="1"/>
    <xf numFmtId="37" fontId="68" fillId="0" borderId="35" xfId="0" applyNumberFormat="1" applyFont="1" applyBorder="1"/>
    <xf numFmtId="0" fontId="68" fillId="0" borderId="35" xfId="0" applyFont="1" applyBorder="1"/>
    <xf numFmtId="0" fontId="68" fillId="0" borderId="40" xfId="0" applyFont="1" applyBorder="1"/>
    <xf numFmtId="0" fontId="70" fillId="0" borderId="0" xfId="0" applyFont="1"/>
    <xf numFmtId="37" fontId="70" fillId="0" borderId="0" xfId="0" applyNumberFormat="1" applyFont="1"/>
    <xf numFmtId="37" fontId="71" fillId="0" borderId="0" xfId="0" applyNumberFormat="1" applyFont="1"/>
    <xf numFmtId="0" fontId="70" fillId="4" borderId="1" xfId="0" applyFont="1" applyFill="1" applyBorder="1"/>
    <xf numFmtId="37" fontId="68" fillId="4" borderId="1" xfId="0" applyNumberFormat="1" applyFont="1" applyFill="1" applyBorder="1"/>
    <xf numFmtId="0" fontId="72" fillId="4" borderId="1" xfId="0" applyFont="1" applyFill="1" applyBorder="1"/>
    <xf numFmtId="37" fontId="70" fillId="4" borderId="1" xfId="0" applyNumberFormat="1" applyFont="1" applyFill="1" applyBorder="1"/>
    <xf numFmtId="0" fontId="73" fillId="4" borderId="1" xfId="0" applyFont="1" applyFill="1" applyBorder="1" applyAlignment="1">
      <alignment horizontal="center" vertical="center"/>
    </xf>
    <xf numFmtId="0" fontId="68" fillId="4" borderId="1" xfId="0" applyFont="1" applyFill="1" applyBorder="1" applyAlignment="1">
      <alignment horizontal="center" vertical="center"/>
    </xf>
    <xf numFmtId="170" fontId="74" fillId="4" borderId="1" xfId="0" applyNumberFormat="1" applyFont="1" applyFill="1" applyBorder="1" applyAlignment="1">
      <alignment horizontal="right"/>
    </xf>
    <xf numFmtId="0" fontId="70" fillId="4" borderId="1" xfId="0" applyFont="1" applyFill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74" fillId="4" borderId="1" xfId="0" applyFont="1" applyFill="1" applyBorder="1" applyAlignment="1">
      <alignment horizontal="center"/>
    </xf>
    <xf numFmtId="0" fontId="74" fillId="4" borderId="1" xfId="0" applyFont="1" applyFill="1" applyBorder="1"/>
    <xf numFmtId="171" fontId="68" fillId="4" borderId="1" xfId="0" applyNumberFormat="1" applyFont="1" applyFill="1" applyBorder="1"/>
    <xf numFmtId="9" fontId="68" fillId="4" borderId="1" xfId="0" applyNumberFormat="1" applyFont="1" applyFill="1" applyBorder="1"/>
    <xf numFmtId="171" fontId="70" fillId="4" borderId="1" xfId="0" applyNumberFormat="1" applyFont="1" applyFill="1" applyBorder="1"/>
    <xf numFmtId="0" fontId="75" fillId="4" borderId="1" xfId="0" applyFont="1" applyFill="1" applyBorder="1"/>
    <xf numFmtId="0" fontId="73" fillId="4" borderId="1" xfId="0" applyFont="1" applyFill="1" applyBorder="1" applyAlignment="1">
      <alignment horizontal="center"/>
    </xf>
    <xf numFmtId="170" fontId="68" fillId="4" borderId="1" xfId="0" applyNumberFormat="1" applyFont="1" applyFill="1" applyBorder="1" applyAlignment="1">
      <alignment horizontal="center"/>
    </xf>
    <xf numFmtId="0" fontId="76" fillId="4" borderId="1" xfId="0" applyFont="1" applyFill="1" applyBorder="1" applyAlignment="1">
      <alignment horizontal="center"/>
    </xf>
    <xf numFmtId="0" fontId="74" fillId="4" borderId="1" xfId="0" applyFont="1" applyFill="1" applyBorder="1" applyAlignment="1">
      <alignment horizontal="left"/>
    </xf>
    <xf numFmtId="0" fontId="77" fillId="4" borderId="1" xfId="0" applyFont="1" applyFill="1" applyBorder="1"/>
    <xf numFmtId="0" fontId="78" fillId="0" borderId="0" xfId="0" applyFont="1" applyAlignment="1">
      <alignment horizontal="center" vertical="top"/>
    </xf>
    <xf numFmtId="0" fontId="79" fillId="6" borderId="43" xfId="0" applyFont="1" applyFill="1" applyBorder="1" applyAlignment="1">
      <alignment horizontal="center" vertical="center" wrapText="1"/>
    </xf>
    <xf numFmtId="1" fontId="50" fillId="0" borderId="0" xfId="0" applyNumberFormat="1" applyFont="1" applyAlignment="1">
      <alignment horizontal="left" vertical="top"/>
    </xf>
    <xf numFmtId="49" fontId="50" fillId="0" borderId="0" xfId="0" applyNumberFormat="1" applyFont="1" applyAlignment="1">
      <alignment horizontal="left" vertical="top"/>
    </xf>
    <xf numFmtId="4" fontId="50" fillId="0" borderId="0" xfId="0" applyNumberFormat="1" applyFont="1" applyAlignment="1">
      <alignment horizontal="center" vertical="top"/>
    </xf>
    <xf numFmtId="0" fontId="50" fillId="7" borderId="1" xfId="0" applyFont="1" applyFill="1" applyBorder="1" applyAlignment="1">
      <alignment horizontal="center"/>
    </xf>
    <xf numFmtId="0" fontId="50" fillId="5" borderId="1" xfId="0" applyFont="1" applyFill="1" applyBorder="1" applyAlignment="1">
      <alignment horizontal="left" vertical="top"/>
    </xf>
    <xf numFmtId="0" fontId="79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49" fillId="9" borderId="1" xfId="0" applyFont="1" applyFill="1" applyBorder="1"/>
    <xf numFmtId="49" fontId="82" fillId="0" borderId="48" xfId="0" applyNumberFormat="1" applyFont="1" applyBorder="1" applyAlignment="1">
      <alignment horizontal="left" vertical="top"/>
    </xf>
    <xf numFmtId="0" fontId="81" fillId="0" borderId="48" xfId="0" applyFont="1" applyBorder="1" applyAlignment="1">
      <alignment horizontal="left" vertical="top"/>
    </xf>
    <xf numFmtId="0" fontId="81" fillId="0" borderId="0" xfId="0" applyFont="1" applyAlignment="1">
      <alignment horizontal="left" vertical="top"/>
    </xf>
    <xf numFmtId="0" fontId="80" fillId="0" borderId="0" xfId="0" applyFont="1"/>
    <xf numFmtId="0" fontId="50" fillId="9" borderId="1" xfId="0" applyFont="1" applyFill="1" applyBorder="1"/>
    <xf numFmtId="0" fontId="82" fillId="0" borderId="48" xfId="0" applyFont="1" applyBorder="1" applyAlignment="1">
      <alignment horizontal="left" vertical="top"/>
    </xf>
    <xf numFmtId="39" fontId="81" fillId="0" borderId="48" xfId="0" applyNumberFormat="1" applyFont="1" applyBorder="1" applyAlignment="1">
      <alignment horizontal="left" vertical="top"/>
    </xf>
    <xf numFmtId="39" fontId="81" fillId="10" borderId="49" xfId="0" applyNumberFormat="1" applyFont="1" applyFill="1" applyBorder="1" applyAlignment="1">
      <alignment horizontal="left" vertical="top"/>
    </xf>
    <xf numFmtId="0" fontId="82" fillId="10" borderId="49" xfId="0" applyFont="1" applyFill="1" applyBorder="1" applyAlignment="1">
      <alignment horizontal="left" vertical="top"/>
    </xf>
    <xf numFmtId="39" fontId="81" fillId="0" borderId="44" xfId="0" applyNumberFormat="1" applyFont="1" applyBorder="1" applyAlignment="1">
      <alignment horizontal="left" vertical="top"/>
    </xf>
    <xf numFmtId="0" fontId="82" fillId="0" borderId="44" xfId="0" applyFont="1" applyBorder="1" applyAlignment="1">
      <alignment horizontal="left" vertical="top"/>
    </xf>
    <xf numFmtId="0" fontId="82" fillId="0" borderId="0" xfId="0" applyFont="1" applyAlignment="1">
      <alignment horizontal="left" vertical="top"/>
    </xf>
    <xf numFmtId="1" fontId="82" fillId="0" borderId="48" xfId="0" applyNumberFormat="1" applyFont="1" applyBorder="1" applyAlignment="1">
      <alignment horizontal="left" vertical="top"/>
    </xf>
    <xf numFmtId="49" fontId="81" fillId="0" borderId="48" xfId="0" applyNumberFormat="1" applyFont="1" applyBorder="1" applyAlignment="1">
      <alignment horizontal="left" vertical="top"/>
    </xf>
    <xf numFmtId="1" fontId="82" fillId="10" borderId="49" xfId="0" applyNumberFormat="1" applyFont="1" applyFill="1" applyBorder="1" applyAlignment="1">
      <alignment horizontal="left" vertical="top"/>
    </xf>
    <xf numFmtId="49" fontId="81" fillId="10" borderId="49" xfId="0" applyNumberFormat="1" applyFont="1" applyFill="1" applyBorder="1" applyAlignment="1">
      <alignment horizontal="left" vertical="top"/>
    </xf>
    <xf numFmtId="0" fontId="81" fillId="10" borderId="49" xfId="0" applyFont="1" applyFill="1" applyBorder="1" applyAlignment="1">
      <alignment horizontal="left" vertical="top"/>
    </xf>
    <xf numFmtId="0" fontId="81" fillId="0" borderId="44" xfId="0" applyFont="1" applyBorder="1" applyAlignment="1">
      <alignment horizontal="left" vertical="top"/>
    </xf>
    <xf numFmtId="0" fontId="83" fillId="0" borderId="48" xfId="0" applyFont="1" applyBorder="1" applyAlignment="1">
      <alignment horizontal="left" vertical="top"/>
    </xf>
    <xf numFmtId="0" fontId="81" fillId="0" borderId="45" xfId="0" applyFont="1" applyBorder="1" applyAlignment="1">
      <alignment horizontal="left" vertical="top"/>
    </xf>
    <xf numFmtId="0" fontId="84" fillId="8" borderId="49" xfId="0" applyFont="1" applyFill="1" applyBorder="1" applyAlignment="1">
      <alignment horizontal="left" vertical="top"/>
    </xf>
    <xf numFmtId="0" fontId="81" fillId="8" borderId="49" xfId="0" applyFont="1" applyFill="1" applyBorder="1" applyAlignment="1">
      <alignment horizontal="left" vertical="top"/>
    </xf>
    <xf numFmtId="0" fontId="82" fillId="5" borderId="49" xfId="0" applyFont="1" applyFill="1" applyBorder="1" applyAlignment="1">
      <alignment horizontal="left" vertical="top"/>
    </xf>
    <xf numFmtId="0" fontId="81" fillId="5" borderId="49" xfId="0" applyFont="1" applyFill="1" applyBorder="1" applyAlignment="1">
      <alignment horizontal="left" vertical="top"/>
    </xf>
    <xf numFmtId="0" fontId="81" fillId="5" borderId="1" xfId="0" applyFont="1" applyFill="1" applyBorder="1" applyAlignment="1">
      <alignment horizontal="left" vertical="top"/>
    </xf>
    <xf numFmtId="3" fontId="60" fillId="0" borderId="52" xfId="0" applyNumberFormat="1" applyFont="1" applyBorder="1"/>
    <xf numFmtId="0" fontId="60" fillId="0" borderId="1" xfId="0" applyFont="1" applyBorder="1"/>
    <xf numFmtId="3" fontId="60" fillId="0" borderId="1" xfId="0" applyNumberFormat="1" applyFont="1" applyBorder="1"/>
    <xf numFmtId="3" fontId="60" fillId="0" borderId="15" xfId="0" applyNumberFormat="1" applyFont="1" applyBorder="1"/>
    <xf numFmtId="3" fontId="60" fillId="0" borderId="53" xfId="0" applyNumberFormat="1" applyFont="1" applyBorder="1"/>
    <xf numFmtId="3" fontId="60" fillId="0" borderId="12" xfId="0" applyNumberFormat="1" applyFont="1" applyBorder="1"/>
    <xf numFmtId="3" fontId="60" fillId="0" borderId="54" xfId="0" applyNumberFormat="1" applyFont="1" applyBorder="1"/>
    <xf numFmtId="3" fontId="60" fillId="0" borderId="55" xfId="0" applyNumberFormat="1" applyFont="1" applyBorder="1"/>
    <xf numFmtId="2" fontId="60" fillId="0" borderId="1" xfId="0" applyNumberFormat="1" applyFont="1" applyBorder="1"/>
    <xf numFmtId="3" fontId="60" fillId="0" borderId="56" xfId="0" applyNumberFormat="1" applyFont="1" applyBorder="1"/>
    <xf numFmtId="0" fontId="50" fillId="0" borderId="0" xfId="0" applyFont="1" applyAlignment="1">
      <alignment horizontal="center"/>
    </xf>
    <xf numFmtId="37" fontId="60" fillId="0" borderId="55" xfId="0" applyNumberFormat="1" applyFont="1" applyBorder="1"/>
    <xf numFmtId="172" fontId="60" fillId="0" borderId="55" xfId="0" applyNumberFormat="1" applyFont="1" applyBorder="1"/>
    <xf numFmtId="171" fontId="60" fillId="0" borderId="52" xfId="0" applyNumberFormat="1" applyFont="1" applyBorder="1"/>
    <xf numFmtId="0" fontId="60" fillId="0" borderId="55" xfId="0" applyFont="1" applyBorder="1" applyAlignment="1">
      <alignment horizontal="center"/>
    </xf>
    <xf numFmtId="0" fontId="60" fillId="0" borderId="52" xfId="0" applyFont="1" applyBorder="1" applyAlignment="1">
      <alignment horizontal="center"/>
    </xf>
    <xf numFmtId="171" fontId="60" fillId="0" borderId="55" xfId="0" applyNumberFormat="1" applyFont="1" applyBorder="1"/>
    <xf numFmtId="37" fontId="60" fillId="0" borderId="52" xfId="0" applyNumberFormat="1" applyFont="1" applyBorder="1"/>
    <xf numFmtId="37" fontId="60" fillId="0" borderId="1" xfId="0" applyNumberFormat="1" applyFont="1" applyBorder="1"/>
    <xf numFmtId="37" fontId="61" fillId="0" borderId="24" xfId="0" applyNumberFormat="1" applyFont="1" applyBorder="1"/>
    <xf numFmtId="37" fontId="60" fillId="0" borderId="57" xfId="0" applyNumberFormat="1" applyFont="1" applyBorder="1"/>
    <xf numFmtId="37" fontId="61" fillId="0" borderId="58" xfId="0" applyNumberFormat="1" applyFont="1" applyBorder="1"/>
    <xf numFmtId="37" fontId="60" fillId="0" borderId="58" xfId="0" applyNumberFormat="1" applyFont="1" applyBorder="1"/>
    <xf numFmtId="37" fontId="60" fillId="0" borderId="60" xfId="0" applyNumberFormat="1" applyFont="1" applyBorder="1"/>
    <xf numFmtId="37" fontId="60" fillId="11" borderId="1" xfId="0" applyNumberFormat="1" applyFont="1" applyFill="1" applyBorder="1"/>
    <xf numFmtId="171" fontId="61" fillId="3" borderId="1" xfId="0" applyNumberFormat="1" applyFont="1" applyFill="1" applyBorder="1"/>
    <xf numFmtId="0" fontId="60" fillId="0" borderId="62" xfId="0" applyFont="1" applyBorder="1" applyAlignment="1">
      <alignment horizontal="center"/>
    </xf>
    <xf numFmtId="0" fontId="60" fillId="0" borderId="61" xfId="0" applyFont="1" applyBorder="1" applyAlignment="1">
      <alignment horizontal="center"/>
    </xf>
    <xf numFmtId="0" fontId="60" fillId="0" borderId="63" xfId="0" applyFont="1" applyBorder="1" applyAlignment="1">
      <alignment horizontal="center"/>
    </xf>
    <xf numFmtId="37" fontId="60" fillId="11" borderId="64" xfId="0" applyNumberFormat="1" applyFont="1" applyFill="1" applyBorder="1"/>
    <xf numFmtId="37" fontId="60" fillId="0" borderId="63" xfId="0" applyNumberFormat="1" applyFont="1" applyBorder="1"/>
    <xf numFmtId="171" fontId="60" fillId="0" borderId="1" xfId="0" applyNumberFormat="1" applyFont="1" applyBorder="1"/>
    <xf numFmtId="37" fontId="60" fillId="0" borderId="54" xfId="0" applyNumberFormat="1" applyFont="1" applyBorder="1"/>
    <xf numFmtId="0" fontId="60" fillId="0" borderId="54" xfId="0" applyFont="1" applyBorder="1" applyAlignment="1">
      <alignment horizontal="center"/>
    </xf>
    <xf numFmtId="171" fontId="63" fillId="0" borderId="58" xfId="0" applyNumberFormat="1" applyFont="1" applyBorder="1"/>
    <xf numFmtId="171" fontId="63" fillId="0" borderId="57" xfId="0" applyNumberFormat="1" applyFont="1" applyBorder="1"/>
    <xf numFmtId="171" fontId="63" fillId="0" borderId="65" xfId="0" applyNumberFormat="1" applyFont="1" applyBorder="1"/>
    <xf numFmtId="171" fontId="90" fillId="0" borderId="57" xfId="0" applyNumberFormat="1" applyFont="1" applyBorder="1"/>
    <xf numFmtId="37" fontId="69" fillId="3" borderId="66" xfId="0" applyNumberFormat="1" applyFont="1" applyFill="1" applyBorder="1"/>
    <xf numFmtId="37" fontId="69" fillId="3" borderId="67" xfId="0" applyNumberFormat="1" applyFont="1" applyFill="1" applyBorder="1"/>
    <xf numFmtId="0" fontId="68" fillId="0" borderId="1" xfId="0" applyFont="1" applyBorder="1"/>
    <xf numFmtId="3" fontId="60" fillId="11" borderId="69" xfId="0" applyNumberFormat="1" applyFont="1" applyFill="1" applyBorder="1"/>
    <xf numFmtId="3" fontId="60" fillId="11" borderId="70" xfId="0" applyNumberFormat="1" applyFont="1" applyFill="1" applyBorder="1"/>
    <xf numFmtId="172" fontId="61" fillId="0" borderId="24" xfId="0" applyNumberFormat="1" applyFont="1" applyBorder="1"/>
    <xf numFmtId="37" fontId="61" fillId="0" borderId="25" xfId="0" applyNumberFormat="1" applyFont="1" applyBorder="1"/>
    <xf numFmtId="37" fontId="61" fillId="0" borderId="23" xfId="0" applyNumberFormat="1" applyFont="1" applyBorder="1"/>
    <xf numFmtId="0" fontId="60" fillId="0" borderId="12" xfId="0" applyFont="1" applyBorder="1"/>
    <xf numFmtId="37" fontId="60" fillId="0" borderId="12" xfId="0" applyNumberFormat="1" applyFont="1" applyBorder="1"/>
    <xf numFmtId="37" fontId="60" fillId="0" borderId="15" xfId="0" applyNumberFormat="1" applyFont="1" applyBorder="1"/>
    <xf numFmtId="172" fontId="60" fillId="0" borderId="1" xfId="0" applyNumberFormat="1" applyFont="1" applyBorder="1"/>
    <xf numFmtId="171" fontId="60" fillId="0" borderId="15" xfId="0" applyNumberFormat="1" applyFont="1" applyBorder="1"/>
    <xf numFmtId="37" fontId="61" fillId="0" borderId="12" xfId="0" applyNumberFormat="1" applyFont="1" applyBorder="1"/>
    <xf numFmtId="172" fontId="61" fillId="0" borderId="1" xfId="0" applyNumberFormat="1" applyFont="1" applyBorder="1"/>
    <xf numFmtId="37" fontId="61" fillId="0" borderId="15" xfId="0" applyNumberFormat="1" applyFont="1" applyBorder="1"/>
    <xf numFmtId="37" fontId="61" fillId="0" borderId="1" xfId="0" applyNumberFormat="1" applyFont="1" applyBorder="1"/>
    <xf numFmtId="0" fontId="61" fillId="0" borderId="12" xfId="0" applyFont="1" applyBorder="1"/>
    <xf numFmtId="0" fontId="61" fillId="0" borderId="1" xfId="0" applyFont="1" applyBorder="1"/>
    <xf numFmtId="171" fontId="61" fillId="0" borderId="15" xfId="0" applyNumberFormat="1" applyFont="1" applyBorder="1"/>
    <xf numFmtId="171" fontId="61" fillId="0" borderId="12" xfId="0" applyNumberFormat="1" applyFont="1" applyBorder="1"/>
    <xf numFmtId="37" fontId="87" fillId="0" borderId="1" xfId="0" applyNumberFormat="1" applyFont="1" applyBorder="1"/>
    <xf numFmtId="0" fontId="69" fillId="0" borderId="1" xfId="0" applyFont="1" applyBorder="1"/>
    <xf numFmtId="37" fontId="63" fillId="0" borderId="37" xfId="0" applyNumberFormat="1" applyFont="1" applyBorder="1"/>
    <xf numFmtId="171" fontId="69" fillId="0" borderId="24" xfId="0" applyNumberFormat="1" applyFont="1" applyBorder="1"/>
    <xf numFmtId="0" fontId="69" fillId="0" borderId="24" xfId="0" applyFont="1" applyBorder="1"/>
    <xf numFmtId="37" fontId="69" fillId="0" borderId="38" xfId="0" applyNumberFormat="1" applyFont="1" applyBorder="1"/>
    <xf numFmtId="171" fontId="69" fillId="0" borderId="38" xfId="0" applyNumberFormat="1" applyFont="1" applyBorder="1"/>
    <xf numFmtId="37" fontId="69" fillId="0" borderId="24" xfId="0" applyNumberFormat="1" applyFont="1" applyBorder="1"/>
    <xf numFmtId="171" fontId="69" fillId="0" borderId="1" xfId="0" applyNumberFormat="1" applyFont="1" applyBorder="1"/>
    <xf numFmtId="37" fontId="69" fillId="0" borderId="39" xfId="0" applyNumberFormat="1" applyFont="1" applyBorder="1"/>
    <xf numFmtId="171" fontId="69" fillId="0" borderId="39" xfId="0" applyNumberFormat="1" applyFont="1" applyBorder="1"/>
    <xf numFmtId="37" fontId="63" fillId="0" borderId="40" xfId="0" applyNumberFormat="1" applyFont="1" applyBorder="1"/>
    <xf numFmtId="37" fontId="69" fillId="0" borderId="1" xfId="0" applyNumberFormat="1" applyFont="1" applyBorder="1"/>
    <xf numFmtId="0" fontId="60" fillId="0" borderId="1" xfId="0" applyFont="1" applyBorder="1" applyAlignment="1">
      <alignment horizontal="right"/>
    </xf>
    <xf numFmtId="0" fontId="60" fillId="0" borderId="70" xfId="0" applyFont="1" applyBorder="1"/>
    <xf numFmtId="0" fontId="60" fillId="0" borderId="72" xfId="0" applyFont="1" applyBorder="1"/>
    <xf numFmtId="0" fontId="60" fillId="0" borderId="12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0" fillId="0" borderId="15" xfId="0" applyFont="1" applyBorder="1" applyAlignment="1">
      <alignment horizontal="center"/>
    </xf>
    <xf numFmtId="0" fontId="60" fillId="0" borderId="57" xfId="0" applyFont="1" applyBorder="1" applyAlignment="1">
      <alignment horizontal="center"/>
    </xf>
    <xf numFmtId="0" fontId="61" fillId="3" borderId="73" xfId="0" applyFont="1" applyFill="1" applyBorder="1"/>
    <xf numFmtId="37" fontId="61" fillId="3" borderId="74" xfId="0" applyNumberFormat="1" applyFont="1" applyFill="1" applyBorder="1"/>
    <xf numFmtId="0" fontId="61" fillId="3" borderId="75" xfId="0" applyFont="1" applyFill="1" applyBorder="1"/>
    <xf numFmtId="171" fontId="61" fillId="3" borderId="76" xfId="0" applyNumberFormat="1" applyFont="1" applyFill="1" applyBorder="1"/>
    <xf numFmtId="0" fontId="61" fillId="0" borderId="72" xfId="0" applyFont="1" applyBorder="1"/>
    <xf numFmtId="171" fontId="60" fillId="0" borderId="15" xfId="1" applyNumberFormat="1" applyFont="1" applyFill="1" applyBorder="1"/>
    <xf numFmtId="171" fontId="61" fillId="0" borderId="57" xfId="0" applyNumberFormat="1" applyFont="1" applyBorder="1"/>
    <xf numFmtId="0" fontId="61" fillId="0" borderId="72" xfId="0" applyFont="1" applyBorder="1" applyAlignment="1">
      <alignment horizontal="left"/>
    </xf>
    <xf numFmtId="0" fontId="86" fillId="0" borderId="1" xfId="0" applyFont="1" applyBorder="1"/>
    <xf numFmtId="0" fontId="60" fillId="0" borderId="15" xfId="0" applyFont="1" applyBorder="1"/>
    <xf numFmtId="0" fontId="60" fillId="0" borderId="57" xfId="0" applyFont="1" applyBorder="1"/>
    <xf numFmtId="0" fontId="63" fillId="0" borderId="72" xfId="0" applyFont="1" applyBorder="1"/>
    <xf numFmtId="0" fontId="63" fillId="0" borderId="77" xfId="0" applyFont="1" applyBorder="1"/>
    <xf numFmtId="0" fontId="60" fillId="0" borderId="12" xfId="0" applyFont="1" applyBorder="1" applyAlignment="1">
      <alignment horizontal="right"/>
    </xf>
    <xf numFmtId="0" fontId="60" fillId="0" borderId="24" xfId="0" applyFont="1" applyBorder="1" applyAlignment="1">
      <alignment horizontal="right"/>
    </xf>
    <xf numFmtId="0" fontId="60" fillId="0" borderId="24" xfId="0" applyFont="1" applyBorder="1"/>
    <xf numFmtId="0" fontId="60" fillId="0" borderId="23" xfId="0" applyFont="1" applyBorder="1" applyAlignment="1">
      <alignment horizontal="right"/>
    </xf>
    <xf numFmtId="0" fontId="60" fillId="0" borderId="23" xfId="0" applyFont="1" applyBorder="1"/>
    <xf numFmtId="37" fontId="60" fillId="0" borderId="25" xfId="0" applyNumberFormat="1" applyFont="1" applyBorder="1"/>
    <xf numFmtId="0" fontId="60" fillId="0" borderId="22" xfId="0" applyFont="1" applyBorder="1" applyAlignment="1">
      <alignment horizontal="right"/>
    </xf>
    <xf numFmtId="0" fontId="60" fillId="0" borderId="22" xfId="0" applyFont="1" applyBorder="1"/>
    <xf numFmtId="0" fontId="60" fillId="0" borderId="13" xfId="0" applyFont="1" applyBorder="1" applyAlignment="1">
      <alignment horizontal="right"/>
    </xf>
    <xf numFmtId="0" fontId="60" fillId="0" borderId="13" xfId="0" applyFont="1" applyBorder="1"/>
    <xf numFmtId="37" fontId="60" fillId="0" borderId="19" xfId="0" applyNumberFormat="1" applyFont="1" applyBorder="1"/>
    <xf numFmtId="0" fontId="61" fillId="3" borderId="78" xfId="0" applyFont="1" applyFill="1" applyBorder="1"/>
    <xf numFmtId="37" fontId="61" fillId="3" borderId="60" xfId="0" applyNumberFormat="1" applyFont="1" applyFill="1" applyBorder="1"/>
    <xf numFmtId="0" fontId="63" fillId="0" borderId="79" xfId="0" applyFont="1" applyBorder="1"/>
    <xf numFmtId="0" fontId="61" fillId="0" borderId="15" xfId="0" applyFont="1" applyBorder="1"/>
    <xf numFmtId="0" fontId="61" fillId="0" borderId="57" xfId="0" applyFont="1" applyBorder="1"/>
    <xf numFmtId="37" fontId="61" fillId="3" borderId="59" xfId="0" applyNumberFormat="1" applyFont="1" applyFill="1" applyBorder="1"/>
    <xf numFmtId="0" fontId="61" fillId="3" borderId="80" xfId="0" applyFont="1" applyFill="1" applyBorder="1"/>
    <xf numFmtId="0" fontId="61" fillId="3" borderId="66" xfId="0" applyFont="1" applyFill="1" applyBorder="1"/>
    <xf numFmtId="37" fontId="61" fillId="3" borderId="81" xfId="0" applyNumberFormat="1" applyFont="1" applyFill="1" applyBorder="1"/>
    <xf numFmtId="0" fontId="61" fillId="3" borderId="82" xfId="0" applyFont="1" applyFill="1" applyBorder="1"/>
    <xf numFmtId="0" fontId="60" fillId="3" borderId="82" xfId="0" applyFont="1" applyFill="1" applyBorder="1"/>
    <xf numFmtId="0" fontId="60" fillId="3" borderId="66" xfId="0" applyFont="1" applyFill="1" applyBorder="1"/>
    <xf numFmtId="37" fontId="61" fillId="3" borderId="83" xfId="0" applyNumberFormat="1" applyFont="1" applyFill="1" applyBorder="1"/>
    <xf numFmtId="171" fontId="60" fillId="0" borderId="12" xfId="0" applyNumberFormat="1" applyFont="1" applyBorder="1"/>
    <xf numFmtId="0" fontId="60" fillId="0" borderId="77" xfId="0" applyFont="1" applyBorder="1"/>
    <xf numFmtId="171" fontId="61" fillId="0" borderId="24" xfId="0" applyNumberFormat="1" applyFont="1" applyBorder="1"/>
    <xf numFmtId="171" fontId="61" fillId="0" borderId="23" xfId="0" applyNumberFormat="1" applyFont="1" applyBorder="1"/>
    <xf numFmtId="0" fontId="60" fillId="0" borderId="19" xfId="0" applyFont="1" applyBorder="1"/>
    <xf numFmtId="0" fontId="86" fillId="0" borderId="22" xfId="0" applyFont="1" applyBorder="1"/>
    <xf numFmtId="171" fontId="61" fillId="0" borderId="19" xfId="0" applyNumberFormat="1" applyFont="1" applyBorder="1"/>
    <xf numFmtId="171" fontId="61" fillId="0" borderId="60" xfId="0" applyNumberFormat="1" applyFont="1" applyBorder="1"/>
    <xf numFmtId="171" fontId="60" fillId="0" borderId="22" xfId="0" applyNumberFormat="1" applyFont="1" applyBorder="1"/>
    <xf numFmtId="37" fontId="60" fillId="0" borderId="13" xfId="0" applyNumberFormat="1" applyFont="1" applyBorder="1"/>
    <xf numFmtId="0" fontId="61" fillId="3" borderId="84" xfId="0" applyFont="1" applyFill="1" applyBorder="1"/>
    <xf numFmtId="0" fontId="60" fillId="3" borderId="62" xfId="0" applyFont="1" applyFill="1" applyBorder="1" applyAlignment="1">
      <alignment horizontal="right"/>
    </xf>
    <xf numFmtId="0" fontId="60" fillId="3" borderId="62" xfId="0" applyFont="1" applyFill="1" applyBorder="1"/>
    <xf numFmtId="37" fontId="61" fillId="3" borderId="61" xfId="0" applyNumberFormat="1" applyFont="1" applyFill="1" applyBorder="1"/>
    <xf numFmtId="0" fontId="60" fillId="3" borderId="63" xfId="0" applyFont="1" applyFill="1" applyBorder="1" applyAlignment="1">
      <alignment horizontal="right"/>
    </xf>
    <xf numFmtId="0" fontId="61" fillId="3" borderId="63" xfId="0" applyFont="1" applyFill="1" applyBorder="1"/>
    <xf numFmtId="0" fontId="61" fillId="3" borderId="62" xfId="0" applyFont="1" applyFill="1" applyBorder="1"/>
    <xf numFmtId="37" fontId="61" fillId="3" borderId="85" xfId="0" applyNumberFormat="1" applyFont="1" applyFill="1" applyBorder="1"/>
    <xf numFmtId="1" fontId="60" fillId="0" borderId="12" xfId="0" applyNumberFormat="1" applyFont="1" applyBorder="1"/>
    <xf numFmtId="0" fontId="60" fillId="0" borderId="79" xfId="0" applyFont="1" applyBorder="1"/>
    <xf numFmtId="1" fontId="60" fillId="0" borderId="23" xfId="0" applyNumberFormat="1" applyFont="1" applyBorder="1"/>
    <xf numFmtId="37" fontId="60" fillId="0" borderId="23" xfId="0" applyNumberFormat="1" applyFont="1" applyBorder="1"/>
    <xf numFmtId="171" fontId="60" fillId="0" borderId="23" xfId="0" applyNumberFormat="1" applyFont="1" applyBorder="1"/>
    <xf numFmtId="37" fontId="60" fillId="0" borderId="24" xfId="0" applyNumberFormat="1" applyFont="1" applyBorder="1"/>
    <xf numFmtId="172" fontId="60" fillId="0" borderId="22" xfId="0" applyNumberFormat="1" applyFont="1" applyBorder="1"/>
    <xf numFmtId="171" fontId="60" fillId="0" borderId="19" xfId="0" applyNumberFormat="1" applyFont="1" applyBorder="1"/>
    <xf numFmtId="2" fontId="60" fillId="0" borderId="22" xfId="0" applyNumberFormat="1" applyFont="1" applyBorder="1"/>
    <xf numFmtId="171" fontId="60" fillId="0" borderId="13" xfId="0" applyNumberFormat="1" applyFont="1" applyBorder="1"/>
    <xf numFmtId="37" fontId="61" fillId="3" borderId="86" xfId="0" applyNumberFormat="1" applyFont="1" applyFill="1" applyBorder="1"/>
    <xf numFmtId="0" fontId="61" fillId="3" borderId="87" xfId="0" applyFont="1" applyFill="1" applyBorder="1"/>
    <xf numFmtId="0" fontId="61" fillId="3" borderId="31" xfId="0" applyFont="1" applyFill="1" applyBorder="1"/>
    <xf numFmtId="171" fontId="61" fillId="0" borderId="13" xfId="0" applyNumberFormat="1" applyFont="1" applyBorder="1"/>
    <xf numFmtId="173" fontId="60" fillId="0" borderId="1" xfId="0" applyNumberFormat="1" applyFont="1" applyBorder="1"/>
    <xf numFmtId="37" fontId="61" fillId="0" borderId="57" xfId="0" applyNumberFormat="1" applyFont="1" applyBorder="1"/>
    <xf numFmtId="0" fontId="61" fillId="0" borderId="22" xfId="0" applyFont="1" applyBorder="1"/>
    <xf numFmtId="172" fontId="61" fillId="0" borderId="22" xfId="0" applyNumberFormat="1" applyFont="1" applyBorder="1"/>
    <xf numFmtId="0" fontId="61" fillId="0" borderId="13" xfId="0" applyFont="1" applyBorder="1"/>
    <xf numFmtId="37" fontId="61" fillId="0" borderId="13" xfId="0" applyNumberFormat="1" applyFont="1" applyBorder="1"/>
    <xf numFmtId="37" fontId="61" fillId="0" borderId="19" xfId="0" applyNumberFormat="1" applyFont="1" applyBorder="1"/>
    <xf numFmtId="37" fontId="61" fillId="0" borderId="60" xfId="0" applyNumberFormat="1" applyFont="1" applyBorder="1"/>
    <xf numFmtId="0" fontId="61" fillId="4" borderId="73" xfId="0" applyFont="1" applyFill="1" applyBorder="1"/>
    <xf numFmtId="171" fontId="88" fillId="0" borderId="12" xfId="0" applyNumberFormat="1" applyFont="1" applyBorder="1"/>
    <xf numFmtId="37" fontId="61" fillId="4" borderId="86" xfId="0" applyNumberFormat="1" applyFont="1" applyFill="1" applyBorder="1"/>
    <xf numFmtId="0" fontId="61" fillId="4" borderId="77" xfId="0" applyFont="1" applyFill="1" applyBorder="1"/>
    <xf numFmtId="0" fontId="61" fillId="0" borderId="79" xfId="0" applyFont="1" applyBorder="1"/>
    <xf numFmtId="0" fontId="61" fillId="4" borderId="79" xfId="0" applyFont="1" applyFill="1" applyBorder="1"/>
    <xf numFmtId="37" fontId="61" fillId="4" borderId="58" xfId="0" applyNumberFormat="1" applyFont="1" applyFill="1" applyBorder="1"/>
    <xf numFmtId="0" fontId="60" fillId="0" borderId="24" xfId="0" applyFont="1" applyBorder="1" applyAlignment="1">
      <alignment horizontal="center"/>
    </xf>
    <xf numFmtId="0" fontId="60" fillId="0" borderId="13" xfId="0" applyFont="1" applyBorder="1" applyAlignment="1">
      <alignment horizontal="center"/>
    </xf>
    <xf numFmtId="0" fontId="60" fillId="0" borderId="19" xfId="0" applyFont="1" applyBorder="1" applyAlignment="1">
      <alignment horizontal="center"/>
    </xf>
    <xf numFmtId="0" fontId="60" fillId="0" borderId="22" xfId="0" applyFont="1" applyBorder="1" applyAlignment="1">
      <alignment horizontal="center"/>
    </xf>
    <xf numFmtId="0" fontId="60" fillId="0" borderId="60" xfId="0" applyFont="1" applyBorder="1" applyAlignment="1">
      <alignment horizontal="center"/>
    </xf>
    <xf numFmtId="3" fontId="60" fillId="0" borderId="57" xfId="0" applyNumberFormat="1" applyFont="1" applyBorder="1"/>
    <xf numFmtId="3" fontId="61" fillId="0" borderId="24" xfId="0" applyNumberFormat="1" applyFont="1" applyBorder="1"/>
    <xf numFmtId="3" fontId="61" fillId="0" borderId="25" xfId="0" applyNumberFormat="1" applyFont="1" applyBorder="1"/>
    <xf numFmtId="3" fontId="61" fillId="0" borderId="23" xfId="0" applyNumberFormat="1" applyFont="1" applyBorder="1"/>
    <xf numFmtId="3" fontId="61" fillId="0" borderId="58" xfId="0" applyNumberFormat="1" applyFont="1" applyBorder="1"/>
    <xf numFmtId="3" fontId="60" fillId="0" borderId="19" xfId="0" applyNumberFormat="1" applyFont="1" applyBorder="1"/>
    <xf numFmtId="3" fontId="60" fillId="0" borderId="13" xfId="0" applyNumberFormat="1" applyFont="1" applyBorder="1"/>
    <xf numFmtId="3" fontId="60" fillId="0" borderId="22" xfId="0" applyNumberFormat="1" applyFont="1" applyBorder="1"/>
    <xf numFmtId="3" fontId="61" fillId="0" borderId="13" xfId="0" applyNumberFormat="1" applyFont="1" applyBorder="1"/>
    <xf numFmtId="3" fontId="61" fillId="0" borderId="19" xfId="0" applyNumberFormat="1" applyFont="1" applyBorder="1"/>
    <xf numFmtId="3" fontId="61" fillId="0" borderId="60" xfId="0" applyNumberFormat="1" applyFont="1" applyBorder="1"/>
    <xf numFmtId="3" fontId="60" fillId="0" borderId="23" xfId="0" applyNumberFormat="1" applyFont="1" applyBorder="1"/>
    <xf numFmtId="171" fontId="87" fillId="11" borderId="88" xfId="0" applyNumberFormat="1" applyFont="1" applyFill="1" applyBorder="1"/>
    <xf numFmtId="37" fontId="60" fillId="0" borderId="22" xfId="0" applyNumberFormat="1" applyFont="1" applyBorder="1"/>
    <xf numFmtId="0" fontId="61" fillId="0" borderId="1" xfId="0" applyFont="1" applyBorder="1" applyAlignment="1">
      <alignment horizontal="center"/>
    </xf>
    <xf numFmtId="171" fontId="61" fillId="0" borderId="1" xfId="0" applyNumberFormat="1" applyFont="1" applyBorder="1"/>
    <xf numFmtId="0" fontId="61" fillId="0" borderId="12" xfId="0" applyFont="1" applyBorder="1" applyAlignment="1">
      <alignment horizontal="center"/>
    </xf>
    <xf numFmtId="3" fontId="60" fillId="0" borderId="24" xfId="0" applyNumberFormat="1" applyFont="1" applyBorder="1" applyAlignment="1">
      <alignment horizontal="center"/>
    </xf>
    <xf numFmtId="3" fontId="60" fillId="0" borderId="1" xfId="0" applyNumberFormat="1" applyFont="1" applyBorder="1" applyAlignment="1">
      <alignment horizontal="center"/>
    </xf>
    <xf numFmtId="3" fontId="60" fillId="0" borderId="15" xfId="0" applyNumberFormat="1" applyFont="1" applyBorder="1" applyAlignment="1">
      <alignment horizontal="center"/>
    </xf>
    <xf numFmtId="3" fontId="60" fillId="0" borderId="12" xfId="0" applyNumberFormat="1" applyFont="1" applyBorder="1" applyAlignment="1">
      <alignment horizontal="center"/>
    </xf>
    <xf numFmtId="3" fontId="60" fillId="0" borderId="57" xfId="0" applyNumberFormat="1" applyFont="1" applyBorder="1" applyAlignment="1">
      <alignment horizontal="center"/>
    </xf>
    <xf numFmtId="3" fontId="60" fillId="0" borderId="22" xfId="0" applyNumberFormat="1" applyFont="1" applyBorder="1" applyAlignment="1">
      <alignment horizontal="center"/>
    </xf>
    <xf numFmtId="3" fontId="60" fillId="0" borderId="13" xfId="0" applyNumberFormat="1" applyFont="1" applyBorder="1" applyAlignment="1">
      <alignment horizontal="center"/>
    </xf>
    <xf numFmtId="3" fontId="60" fillId="0" borderId="19" xfId="0" applyNumberFormat="1" applyFont="1" applyBorder="1" applyAlignment="1">
      <alignment horizontal="center"/>
    </xf>
    <xf numFmtId="3" fontId="60" fillId="0" borderId="60" xfId="0" applyNumberFormat="1" applyFont="1" applyBorder="1" applyAlignment="1">
      <alignment horizontal="center"/>
    </xf>
    <xf numFmtId="0" fontId="61" fillId="0" borderId="77" xfId="0" applyFont="1" applyBorder="1"/>
    <xf numFmtId="3" fontId="60" fillId="0" borderId="60" xfId="0" applyNumberFormat="1" applyFont="1" applyBorder="1"/>
    <xf numFmtId="3" fontId="60" fillId="0" borderId="24" xfId="0" applyNumberFormat="1" applyFont="1" applyBorder="1"/>
    <xf numFmtId="3" fontId="60" fillId="0" borderId="25" xfId="0" applyNumberFormat="1" applyFont="1" applyBorder="1"/>
    <xf numFmtId="3" fontId="60" fillId="0" borderId="58" xfId="0" applyNumberFormat="1" applyFont="1" applyBorder="1"/>
    <xf numFmtId="3" fontId="61" fillId="0" borderId="12" xfId="0" applyNumberFormat="1" applyFont="1" applyBorder="1"/>
    <xf numFmtId="0" fontId="61" fillId="4" borderId="72" xfId="0" applyFont="1" applyFill="1" applyBorder="1"/>
    <xf numFmtId="37" fontId="61" fillId="4" borderId="60" xfId="0" applyNumberFormat="1" applyFont="1" applyFill="1" applyBorder="1"/>
    <xf numFmtId="0" fontId="60" fillId="3" borderId="63" xfId="0" applyFont="1" applyFill="1" applyBorder="1"/>
    <xf numFmtId="0" fontId="69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/>
    </xf>
    <xf numFmtId="0" fontId="58" fillId="0" borderId="1" xfId="0" applyFont="1" applyBorder="1"/>
    <xf numFmtId="0" fontId="60" fillId="0" borderId="89" xfId="0" applyFont="1" applyBorder="1" applyAlignment="1">
      <alignment horizontal="left"/>
    </xf>
    <xf numFmtId="0" fontId="61" fillId="0" borderId="90" xfId="0" applyFont="1" applyBorder="1" applyAlignment="1">
      <alignment horizontal="center" vertical="center"/>
    </xf>
    <xf numFmtId="0" fontId="60" fillId="0" borderId="32" xfId="0" applyFont="1" applyBorder="1" applyAlignment="1">
      <alignment horizontal="center"/>
    </xf>
    <xf numFmtId="0" fontId="60" fillId="0" borderId="33" xfId="0" applyFont="1" applyBorder="1" applyAlignment="1">
      <alignment horizontal="center"/>
    </xf>
    <xf numFmtId="0" fontId="60" fillId="0" borderId="34" xfId="0" applyFont="1" applyBorder="1" applyAlignment="1">
      <alignment horizontal="center"/>
    </xf>
    <xf numFmtId="0" fontId="63" fillId="0" borderId="22" xfId="0" applyFont="1" applyBorder="1"/>
    <xf numFmtId="37" fontId="63" fillId="0" borderId="32" xfId="0" applyNumberFormat="1" applyFont="1" applyBorder="1"/>
    <xf numFmtId="37" fontId="63" fillId="0" borderId="33" xfId="0" applyNumberFormat="1" applyFont="1" applyBorder="1"/>
    <xf numFmtId="37" fontId="63" fillId="0" borderId="22" xfId="0" applyNumberFormat="1" applyFont="1" applyBorder="1"/>
    <xf numFmtId="171" fontId="63" fillId="0" borderId="22" xfId="0" applyNumberFormat="1" applyFont="1" applyBorder="1"/>
    <xf numFmtId="37" fontId="63" fillId="0" borderId="34" xfId="0" applyNumberFormat="1" applyFont="1" applyBorder="1"/>
    <xf numFmtId="171" fontId="63" fillId="0" borderId="60" xfId="0" applyNumberFormat="1" applyFont="1" applyBorder="1"/>
    <xf numFmtId="0" fontId="69" fillId="3" borderId="77" xfId="0" applyFont="1" applyFill="1" applyBorder="1"/>
    <xf numFmtId="171" fontId="69" fillId="3" borderId="60" xfId="0" applyNumberFormat="1" applyFont="1" applyFill="1" applyBorder="1"/>
    <xf numFmtId="0" fontId="69" fillId="0" borderId="72" xfId="0" applyFont="1" applyBorder="1"/>
    <xf numFmtId="0" fontId="63" fillId="0" borderId="1" xfId="0" applyFont="1" applyBorder="1"/>
    <xf numFmtId="37" fontId="63" fillId="0" borderId="39" xfId="0" applyNumberFormat="1" applyFont="1" applyBorder="1"/>
    <xf numFmtId="37" fontId="63" fillId="0" borderId="1" xfId="0" applyNumberFormat="1" applyFont="1" applyBorder="1"/>
    <xf numFmtId="171" fontId="63" fillId="0" borderId="1" xfId="0" applyNumberFormat="1" applyFont="1" applyBorder="1"/>
    <xf numFmtId="37" fontId="63" fillId="0" borderId="41" xfId="0" applyNumberFormat="1" applyFont="1" applyBorder="1"/>
    <xf numFmtId="0" fontId="63" fillId="0" borderId="1" xfId="0" applyFont="1" applyBorder="1" applyAlignment="1">
      <alignment horizontal="right"/>
    </xf>
    <xf numFmtId="172" fontId="63" fillId="0" borderId="1" xfId="0" applyNumberFormat="1" applyFont="1" applyBorder="1"/>
    <xf numFmtId="0" fontId="63" fillId="0" borderId="39" xfId="0" applyFont="1" applyBorder="1"/>
    <xf numFmtId="0" fontId="63" fillId="0" borderId="22" xfId="0" applyFont="1" applyBorder="1" applyAlignment="1">
      <alignment horizontal="right"/>
    </xf>
    <xf numFmtId="172" fontId="63" fillId="0" borderId="22" xfId="0" applyNumberFormat="1" applyFont="1" applyBorder="1"/>
    <xf numFmtId="0" fontId="63" fillId="0" borderId="33" xfId="0" applyFont="1" applyBorder="1"/>
    <xf numFmtId="171" fontId="63" fillId="0" borderId="32" xfId="0" applyNumberFormat="1" applyFont="1" applyBorder="1"/>
    <xf numFmtId="0" fontId="69" fillId="3" borderId="78" xfId="0" applyFont="1" applyFill="1" applyBorder="1"/>
    <xf numFmtId="0" fontId="63" fillId="0" borderId="24" xfId="0" applyFont="1" applyBorder="1" applyAlignment="1">
      <alignment horizontal="right"/>
    </xf>
    <xf numFmtId="0" fontId="63" fillId="0" borderId="24" xfId="0" applyFont="1" applyBorder="1"/>
    <xf numFmtId="0" fontId="63" fillId="0" borderId="38" xfId="0" applyFont="1" applyBorder="1"/>
    <xf numFmtId="172" fontId="63" fillId="0" borderId="24" xfId="0" applyNumberFormat="1" applyFont="1" applyBorder="1"/>
    <xf numFmtId="37" fontId="63" fillId="0" borderId="24" xfId="0" applyNumberFormat="1" applyFont="1" applyBorder="1"/>
    <xf numFmtId="171" fontId="63" fillId="0" borderId="24" xfId="0" applyNumberFormat="1" applyFont="1" applyBorder="1"/>
    <xf numFmtId="37" fontId="63" fillId="0" borderId="42" xfId="0" applyNumberFormat="1" applyFont="1" applyBorder="1"/>
    <xf numFmtId="171" fontId="63" fillId="0" borderId="37" xfId="0" applyNumberFormat="1" applyFont="1" applyBorder="1"/>
    <xf numFmtId="0" fontId="63" fillId="0" borderId="41" xfId="0" applyFont="1" applyBorder="1"/>
    <xf numFmtId="171" fontId="63" fillId="0" borderId="94" xfId="0" applyNumberFormat="1" applyFont="1" applyBorder="1"/>
    <xf numFmtId="37" fontId="63" fillId="0" borderId="51" xfId="0" applyNumberFormat="1" applyFont="1" applyBorder="1"/>
    <xf numFmtId="0" fontId="69" fillId="4" borderId="79" xfId="0" applyFont="1" applyFill="1" applyBorder="1"/>
    <xf numFmtId="171" fontId="63" fillId="0" borderId="85" xfId="0" applyNumberFormat="1" applyFont="1" applyBorder="1"/>
    <xf numFmtId="0" fontId="69" fillId="3" borderId="80" xfId="0" applyFont="1" applyFill="1" applyBorder="1"/>
    <xf numFmtId="0" fontId="69" fillId="3" borderId="66" xfId="0" applyFont="1" applyFill="1" applyBorder="1"/>
    <xf numFmtId="0" fontId="69" fillId="3" borderId="66" xfId="0" applyFont="1" applyFill="1" applyBorder="1" applyAlignment="1">
      <alignment horizontal="center"/>
    </xf>
    <xf numFmtId="171" fontId="69" fillId="3" borderId="66" xfId="0" applyNumberFormat="1" applyFont="1" applyFill="1" applyBorder="1"/>
    <xf numFmtId="37" fontId="69" fillId="3" borderId="95" xfId="0" applyNumberFormat="1" applyFont="1" applyFill="1" applyBorder="1"/>
    <xf numFmtId="37" fontId="69" fillId="3" borderId="96" xfId="0" applyNumberFormat="1" applyFont="1" applyFill="1" applyBorder="1"/>
    <xf numFmtId="0" fontId="69" fillId="3" borderId="96" xfId="0" applyFont="1" applyFill="1" applyBorder="1" applyAlignment="1">
      <alignment horizontal="center"/>
    </xf>
    <xf numFmtId="171" fontId="69" fillId="3" borderId="88" xfId="0" applyNumberFormat="1" applyFont="1" applyFill="1" applyBorder="1"/>
    <xf numFmtId="0" fontId="69" fillId="3" borderId="97" xfId="0" applyFont="1" applyFill="1" applyBorder="1"/>
    <xf numFmtId="0" fontId="69" fillId="3" borderId="98" xfId="0" applyFont="1" applyFill="1" applyBorder="1"/>
    <xf numFmtId="0" fontId="69" fillId="3" borderId="98" xfId="0" applyFont="1" applyFill="1" applyBorder="1" applyAlignment="1">
      <alignment horizontal="center"/>
    </xf>
    <xf numFmtId="171" fontId="69" fillId="3" borderId="98" xfId="0" applyNumberFormat="1" applyFont="1" applyFill="1" applyBorder="1"/>
    <xf numFmtId="37" fontId="69" fillId="3" borderId="99" xfId="0" applyNumberFormat="1" applyFont="1" applyFill="1" applyBorder="1"/>
    <xf numFmtId="37" fontId="69" fillId="3" borderId="98" xfId="0" applyNumberFormat="1" applyFont="1" applyFill="1" applyBorder="1"/>
    <xf numFmtId="37" fontId="69" fillId="3" borderId="100" xfId="0" applyNumberFormat="1" applyFont="1" applyFill="1" applyBorder="1"/>
    <xf numFmtId="37" fontId="69" fillId="3" borderId="101" xfId="0" applyNumberFormat="1" applyFont="1" applyFill="1" applyBorder="1"/>
    <xf numFmtId="37" fontId="69" fillId="3" borderId="90" xfId="0" applyNumberFormat="1" applyFont="1" applyFill="1" applyBorder="1"/>
    <xf numFmtId="171" fontId="69" fillId="3" borderId="93" xfId="0" applyNumberFormat="1" applyFont="1" applyFill="1" applyBorder="1"/>
    <xf numFmtId="0" fontId="68" fillId="0" borderId="72" xfId="0" applyFont="1" applyBorder="1"/>
    <xf numFmtId="0" fontId="68" fillId="0" borderId="41" xfId="0" applyFont="1" applyBorder="1"/>
    <xf numFmtId="0" fontId="68" fillId="0" borderId="57" xfId="0" applyFont="1" applyBorder="1"/>
    <xf numFmtId="0" fontId="58" fillId="0" borderId="41" xfId="0" applyFont="1" applyBorder="1"/>
    <xf numFmtId="171" fontId="69" fillId="3" borderId="83" xfId="0" applyNumberFormat="1" applyFont="1" applyFill="1" applyBorder="1"/>
    <xf numFmtId="171" fontId="91" fillId="0" borderId="12" xfId="1" applyNumberFormat="1" applyFont="1" applyFill="1" applyBorder="1"/>
    <xf numFmtId="3" fontId="91" fillId="0" borderId="57" xfId="0" applyNumberFormat="1" applyFont="1" applyBorder="1"/>
    <xf numFmtId="0" fontId="66" fillId="0" borderId="0" xfId="0" applyFont="1"/>
    <xf numFmtId="39" fontId="60" fillId="0" borderId="0" xfId="0" applyNumberFormat="1" applyFont="1"/>
    <xf numFmtId="0" fontId="57" fillId="0" borderId="1" xfId="0" applyFont="1" applyBorder="1"/>
    <xf numFmtId="0" fontId="67" fillId="0" borderId="0" xfId="0" applyFont="1"/>
    <xf numFmtId="171" fontId="60" fillId="0" borderId="0" xfId="0" applyNumberFormat="1" applyFont="1"/>
    <xf numFmtId="171" fontId="61" fillId="0" borderId="0" xfId="0" applyNumberFormat="1" applyFont="1"/>
    <xf numFmtId="37" fontId="58" fillId="0" borderId="1" xfId="0" applyNumberFormat="1" applyFont="1" applyBorder="1"/>
    <xf numFmtId="0" fontId="61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89" fillId="0" borderId="0" xfId="0" applyFont="1"/>
    <xf numFmtId="168" fontId="54" fillId="0" borderId="1" xfId="0" applyNumberFormat="1" applyFont="1" applyBorder="1"/>
    <xf numFmtId="168" fontId="56" fillId="0" borderId="1" xfId="0" applyNumberFormat="1" applyFont="1" applyBorder="1"/>
    <xf numFmtId="168" fontId="55" fillId="0" borderId="1" xfId="0" applyNumberFormat="1" applyFont="1" applyBorder="1"/>
    <xf numFmtId="0" fontId="55" fillId="0" borderId="1" xfId="0" applyFont="1" applyBorder="1"/>
    <xf numFmtId="171" fontId="69" fillId="3" borderId="102" xfId="0" applyNumberFormat="1" applyFont="1" applyFill="1" applyBorder="1"/>
    <xf numFmtId="0" fontId="60" fillId="0" borderId="103" xfId="0" applyFont="1" applyBorder="1"/>
    <xf numFmtId="3" fontId="88" fillId="0" borderId="13" xfId="0" applyNumberFormat="1" applyFont="1" applyBorder="1"/>
    <xf numFmtId="3" fontId="88" fillId="0" borderId="22" xfId="0" applyNumberFormat="1" applyFont="1" applyBorder="1"/>
    <xf numFmtId="0" fontId="92" fillId="0" borderId="0" xfId="0" applyFont="1" applyAlignment="1">
      <alignment horizontal="left" vertical="top"/>
    </xf>
    <xf numFmtId="0" fontId="91" fillId="0" borderId="72" xfId="0" applyFont="1" applyBorder="1"/>
    <xf numFmtId="0" fontId="89" fillId="9" borderId="1" xfId="0" applyFont="1" applyFill="1" applyBorder="1"/>
    <xf numFmtId="0" fontId="93" fillId="0" borderId="79" xfId="0" applyFont="1" applyBorder="1"/>
    <xf numFmtId="4" fontId="94" fillId="0" borderId="0" xfId="0" applyNumberFormat="1" applyFont="1" applyAlignment="1">
      <alignment horizontal="center" vertical="top"/>
    </xf>
    <xf numFmtId="3" fontId="86" fillId="0" borderId="15" xfId="0" applyNumberFormat="1" applyFont="1" applyBorder="1"/>
    <xf numFmtId="0" fontId="82" fillId="10" borderId="48" xfId="0" applyFont="1" applyFill="1" applyBorder="1" applyAlignment="1">
      <alignment horizontal="left" vertical="top"/>
    </xf>
    <xf numFmtId="49" fontId="82" fillId="0" borderId="49" xfId="0" applyNumberFormat="1" applyFont="1" applyBorder="1" applyAlignment="1">
      <alignment horizontal="left" vertical="top"/>
    </xf>
    <xf numFmtId="1" fontId="82" fillId="10" borderId="48" xfId="0" applyNumberFormat="1" applyFont="1" applyFill="1" applyBorder="1" applyAlignment="1">
      <alignment horizontal="left" vertical="top"/>
    </xf>
    <xf numFmtId="1" fontId="82" fillId="0" borderId="49" xfId="0" applyNumberFormat="1" applyFont="1" applyBorder="1" applyAlignment="1">
      <alignment horizontal="left" vertical="top"/>
    </xf>
    <xf numFmtId="39" fontId="81" fillId="0" borderId="49" xfId="0" applyNumberFormat="1" applyFont="1" applyBorder="1" applyAlignment="1">
      <alignment horizontal="left" vertical="top"/>
    </xf>
    <xf numFmtId="0" fontId="82" fillId="0" borderId="49" xfId="0" applyFont="1" applyBorder="1" applyAlignment="1">
      <alignment horizontal="left" vertical="top"/>
    </xf>
    <xf numFmtId="0" fontId="81" fillId="0" borderId="49" xfId="0" applyFont="1" applyBorder="1" applyAlignment="1">
      <alignment horizontal="left" vertical="top"/>
    </xf>
    <xf numFmtId="49" fontId="81" fillId="0" borderId="49" xfId="0" applyNumberFormat="1" applyFont="1" applyBorder="1" applyAlignment="1">
      <alignment horizontal="left" vertical="top"/>
    </xf>
    <xf numFmtId="39" fontId="81" fillId="10" borderId="48" xfId="0" applyNumberFormat="1" applyFont="1" applyFill="1" applyBorder="1" applyAlignment="1">
      <alignment horizontal="left" vertical="top"/>
    </xf>
    <xf numFmtId="49" fontId="81" fillId="10" borderId="48" xfId="0" applyNumberFormat="1" applyFont="1" applyFill="1" applyBorder="1" applyAlignment="1">
      <alignment horizontal="left" vertical="top"/>
    </xf>
    <xf numFmtId="39" fontId="81" fillId="10" borderId="44" xfId="0" applyNumberFormat="1" applyFont="1" applyFill="1" applyBorder="1" applyAlignment="1">
      <alignment horizontal="left" vertical="top"/>
    </xf>
    <xf numFmtId="0" fontId="50" fillId="0" borderId="104" xfId="0" applyFont="1" applyBorder="1"/>
    <xf numFmtId="168" fontId="95" fillId="0" borderId="52" xfId="0" applyNumberFormat="1" applyFont="1" applyBorder="1"/>
    <xf numFmtId="166" fontId="54" fillId="0" borderId="7" xfId="0" applyNumberFormat="1" applyFont="1" applyBorder="1"/>
    <xf numFmtId="166" fontId="55" fillId="3" borderId="9" xfId="0" applyNumberFormat="1" applyFont="1" applyFill="1" applyBorder="1"/>
    <xf numFmtId="166" fontId="55" fillId="3" borderId="11" xfId="0" applyNumberFormat="1" applyFont="1" applyFill="1" applyBorder="1"/>
    <xf numFmtId="166" fontId="56" fillId="0" borderId="5" xfId="0" applyNumberFormat="1" applyFont="1" applyBorder="1"/>
    <xf numFmtId="166" fontId="50" fillId="0" borderId="7" xfId="0" applyNumberFormat="1" applyFont="1" applyBorder="1"/>
    <xf numFmtId="166" fontId="54" fillId="0" borderId="53" xfId="0" applyNumberFormat="1" applyFont="1" applyBorder="1"/>
    <xf numFmtId="166" fontId="56" fillId="0" borderId="53" xfId="0" applyNumberFormat="1" applyFont="1" applyBorder="1"/>
    <xf numFmtId="166" fontId="54" fillId="0" borderId="3" xfId="0" applyNumberFormat="1" applyFont="1" applyBorder="1"/>
    <xf numFmtId="0" fontId="80" fillId="0" borderId="0" xfId="0" applyFont="1" applyAlignment="1">
      <alignment horizontal="center"/>
    </xf>
    <xf numFmtId="4" fontId="50" fillId="12" borderId="0" xfId="0" applyNumberFormat="1" applyFont="1" applyFill="1" applyAlignment="1">
      <alignment horizontal="center" vertical="top"/>
    </xf>
    <xf numFmtId="39" fontId="86" fillId="0" borderId="105" xfId="0" applyNumberFormat="1" applyFont="1" applyBorder="1"/>
    <xf numFmtId="167" fontId="78" fillId="0" borderId="0" xfId="0" applyNumberFormat="1" applyFont="1" applyAlignment="1">
      <alignment horizontal="center" vertical="top"/>
    </xf>
    <xf numFmtId="167" fontId="50" fillId="0" borderId="0" xfId="0" applyNumberFormat="1" applyFont="1" applyAlignment="1">
      <alignment horizontal="center" vertical="top"/>
    </xf>
    <xf numFmtId="167" fontId="94" fillId="0" borderId="0" xfId="0" applyNumberFormat="1" applyFont="1" applyAlignment="1">
      <alignment horizontal="center" vertical="top"/>
    </xf>
    <xf numFmtId="167" fontId="50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0" fillId="14" borderId="0" xfId="0" applyNumberFormat="1" applyFont="1" applyFill="1" applyAlignment="1">
      <alignment horizontal="left" vertical="top"/>
    </xf>
    <xf numFmtId="167" fontId="50" fillId="14" borderId="0" xfId="0" applyNumberFormat="1" applyFont="1" applyFill="1" applyAlignment="1">
      <alignment horizontal="center" vertical="top"/>
    </xf>
    <xf numFmtId="4" fontId="50" fillId="14" borderId="0" xfId="0" applyNumberFormat="1" applyFont="1" applyFill="1" applyAlignment="1">
      <alignment horizontal="center" vertical="top"/>
    </xf>
    <xf numFmtId="37" fontId="61" fillId="3" borderId="17" xfId="0" applyNumberFormat="1" applyFont="1" applyFill="1" applyBorder="1"/>
    <xf numFmtId="0" fontId="60" fillId="3" borderId="20" xfId="0" applyFont="1" applyFill="1" applyBorder="1"/>
    <xf numFmtId="0" fontId="48" fillId="0" borderId="1" xfId="2"/>
    <xf numFmtId="0" fontId="96" fillId="0" borderId="1" xfId="2" applyFont="1" applyAlignment="1">
      <alignment horizontal="center"/>
    </xf>
    <xf numFmtId="0" fontId="96" fillId="0" borderId="1" xfId="2" applyFont="1"/>
    <xf numFmtId="0" fontId="97" fillId="0" borderId="1" xfId="2" applyFont="1"/>
    <xf numFmtId="170" fontId="98" fillId="0" borderId="1" xfId="2" applyNumberFormat="1" applyFont="1" applyAlignment="1">
      <alignment horizontal="left"/>
    </xf>
    <xf numFmtId="0" fontId="98" fillId="0" borderId="1" xfId="2" applyFont="1"/>
    <xf numFmtId="0" fontId="99" fillId="0" borderId="1" xfId="2" applyFont="1"/>
    <xf numFmtId="0" fontId="86" fillId="0" borderId="1" xfId="2" applyFont="1"/>
    <xf numFmtId="0" fontId="100" fillId="0" borderId="1" xfId="2" applyFont="1"/>
    <xf numFmtId="0" fontId="101" fillId="0" borderId="1" xfId="2" applyFont="1"/>
    <xf numFmtId="0" fontId="102" fillId="0" borderId="1" xfId="2" applyFont="1"/>
    <xf numFmtId="0" fontId="104" fillId="15" borderId="1" xfId="2" applyFont="1" applyFill="1"/>
    <xf numFmtId="0" fontId="102" fillId="15" borderId="1" xfId="2" applyFont="1" applyFill="1"/>
    <xf numFmtId="0" fontId="105" fillId="15" borderId="1" xfId="2" applyFont="1" applyFill="1"/>
    <xf numFmtId="0" fontId="106" fillId="15" borderId="1" xfId="2" applyFont="1" applyFill="1" applyAlignment="1">
      <alignment horizontal="centerContinuous" vertical="center"/>
    </xf>
    <xf numFmtId="0" fontId="102" fillId="15" borderId="1" xfId="2" applyFont="1" applyFill="1" applyAlignment="1">
      <alignment horizontal="centerContinuous" vertical="center"/>
    </xf>
    <xf numFmtId="0" fontId="104" fillId="15" borderId="1" xfId="2" applyFont="1" applyFill="1" applyAlignment="1">
      <alignment horizontal="centerContinuous"/>
    </xf>
    <xf numFmtId="0" fontId="102" fillId="15" borderId="1" xfId="2" applyFont="1" applyFill="1" applyAlignment="1">
      <alignment horizontal="centerContinuous"/>
    </xf>
    <xf numFmtId="0" fontId="107" fillId="15" borderId="1" xfId="2" applyFont="1" applyFill="1" applyAlignment="1">
      <alignment horizontal="center"/>
    </xf>
    <xf numFmtId="171" fontId="102" fillId="15" borderId="1" xfId="2" applyNumberFormat="1" applyFont="1" applyFill="1"/>
    <xf numFmtId="37" fontId="102" fillId="15" borderId="1" xfId="2" applyNumberFormat="1" applyFont="1" applyFill="1"/>
    <xf numFmtId="171" fontId="104" fillId="15" borderId="1" xfId="2" applyNumberFormat="1" applyFont="1" applyFill="1"/>
    <xf numFmtId="37" fontId="104" fillId="15" borderId="1" xfId="2" applyNumberFormat="1" applyFont="1" applyFill="1"/>
    <xf numFmtId="0" fontId="108" fillId="15" borderId="1" xfId="2" applyFont="1" applyFill="1"/>
    <xf numFmtId="0" fontId="107" fillId="15" borderId="1" xfId="2" applyFont="1" applyFill="1" applyAlignment="1">
      <alignment horizontal="centerContinuous"/>
    </xf>
    <xf numFmtId="0" fontId="107" fillId="15" borderId="1" xfId="2" applyFont="1" applyFill="1" applyAlignment="1">
      <alignment horizontal="left"/>
    </xf>
    <xf numFmtId="0" fontId="109" fillId="15" borderId="1" xfId="2" applyFont="1" applyFill="1" applyProtection="1">
      <protection locked="0"/>
    </xf>
    <xf numFmtId="0" fontId="102" fillId="15" borderId="1" xfId="2" applyFont="1" applyFill="1" applyAlignment="1">
      <alignment horizontal="center"/>
    </xf>
    <xf numFmtId="0" fontId="110" fillId="15" borderId="1" xfId="2" applyFont="1" applyFill="1" applyAlignment="1">
      <alignment horizontal="centerContinuous"/>
    </xf>
    <xf numFmtId="0" fontId="104" fillId="15" borderId="1" xfId="2" applyFont="1" applyFill="1" applyAlignment="1">
      <alignment horizontal="left"/>
    </xf>
    <xf numFmtId="0" fontId="48" fillId="0" borderId="1" xfId="2" applyAlignment="1">
      <alignment horizontal="center"/>
    </xf>
    <xf numFmtId="0" fontId="111" fillId="0" borderId="1" xfId="2" applyFont="1" applyAlignment="1">
      <alignment horizontal="center"/>
    </xf>
    <xf numFmtId="0" fontId="96" fillId="12" borderId="56" xfId="2" applyFont="1" applyFill="1" applyBorder="1" applyAlignment="1">
      <alignment horizontal="center"/>
    </xf>
    <xf numFmtId="0" fontId="99" fillId="0" borderId="1" xfId="2" applyFont="1" applyAlignment="1">
      <alignment horizontal="center"/>
    </xf>
    <xf numFmtId="0" fontId="59" fillId="0" borderId="0" xfId="0" applyFont="1" applyAlignment="1">
      <alignment horizontal="center"/>
    </xf>
    <xf numFmtId="171" fontId="60" fillId="0" borderId="1" xfId="1" applyNumberFormat="1" applyFont="1" applyFill="1" applyBorder="1"/>
    <xf numFmtId="171" fontId="61" fillId="0" borderId="9" xfId="0" applyNumberFormat="1" applyFont="1" applyBorder="1"/>
    <xf numFmtId="3" fontId="60" fillId="0" borderId="22" xfId="0" applyNumberFormat="1" applyFont="1" applyBorder="1" applyAlignment="1">
      <alignment horizontal="right"/>
    </xf>
    <xf numFmtId="0" fontId="112" fillId="0" borderId="0" xfId="0" applyFont="1"/>
    <xf numFmtId="0" fontId="62" fillId="0" borderId="0" xfId="0" applyFont="1"/>
    <xf numFmtId="3" fontId="60" fillId="0" borderId="166" xfId="0" applyNumberFormat="1" applyFont="1" applyBorder="1"/>
    <xf numFmtId="3" fontId="60" fillId="0" borderId="167" xfId="0" applyNumberFormat="1" applyFont="1" applyBorder="1"/>
    <xf numFmtId="3" fontId="60" fillId="0" borderId="168" xfId="0" applyNumberFormat="1" applyFont="1" applyBorder="1"/>
    <xf numFmtId="0" fontId="113" fillId="0" borderId="0" xfId="0" applyFont="1"/>
    <xf numFmtId="0" fontId="86" fillId="0" borderId="110" xfId="0" applyFont="1" applyBorder="1"/>
    <xf numFmtId="171" fontId="69" fillId="3" borderId="59" xfId="0" applyNumberFormat="1" applyFont="1" applyFill="1" applyBorder="1"/>
    <xf numFmtId="0" fontId="47" fillId="0" borderId="1" xfId="3"/>
    <xf numFmtId="0" fontId="114" fillId="0" borderId="171" xfId="3" applyFont="1" applyBorder="1"/>
    <xf numFmtId="0" fontId="47" fillId="0" borderId="171" xfId="3" applyBorder="1"/>
    <xf numFmtId="0" fontId="47" fillId="0" borderId="171" xfId="3" applyBorder="1" applyAlignment="1">
      <alignment horizontal="left" indent="1"/>
    </xf>
    <xf numFmtId="0" fontId="114" fillId="0" borderId="187" xfId="3" applyFont="1" applyBorder="1"/>
    <xf numFmtId="0" fontId="114" fillId="16" borderId="169" xfId="3" applyFont="1" applyFill="1" applyBorder="1" applyAlignment="1">
      <alignment horizontal="center"/>
    </xf>
    <xf numFmtId="0" fontId="114" fillId="16" borderId="176" xfId="3" applyFont="1" applyFill="1" applyBorder="1" applyAlignment="1">
      <alignment horizontal="center"/>
    </xf>
    <xf numFmtId="0" fontId="114" fillId="16" borderId="177" xfId="3" applyFont="1" applyFill="1" applyBorder="1" applyAlignment="1">
      <alignment horizontal="center"/>
    </xf>
    <xf numFmtId="0" fontId="114" fillId="16" borderId="170" xfId="3" applyFont="1" applyFill="1" applyBorder="1" applyAlignment="1">
      <alignment horizontal="center"/>
    </xf>
    <xf numFmtId="0" fontId="114" fillId="17" borderId="169" xfId="3" applyFont="1" applyFill="1" applyBorder="1" applyAlignment="1">
      <alignment horizontal="center"/>
    </xf>
    <xf numFmtId="0" fontId="114" fillId="17" borderId="176" xfId="3" applyFont="1" applyFill="1" applyBorder="1" applyAlignment="1">
      <alignment horizontal="center"/>
    </xf>
    <xf numFmtId="0" fontId="114" fillId="17" borderId="177" xfId="3" applyFont="1" applyFill="1" applyBorder="1" applyAlignment="1">
      <alignment horizontal="center"/>
    </xf>
    <xf numFmtId="0" fontId="114" fillId="17" borderId="178" xfId="3" applyFont="1" applyFill="1" applyBorder="1" applyAlignment="1">
      <alignment horizontal="center"/>
    </xf>
    <xf numFmtId="0" fontId="114" fillId="17" borderId="170" xfId="3" applyFont="1" applyFill="1" applyBorder="1" applyAlignment="1">
      <alignment horizontal="center"/>
    </xf>
    <xf numFmtId="0" fontId="47" fillId="0" borderId="1" xfId="3" applyAlignment="1">
      <alignment horizontal="center"/>
    </xf>
    <xf numFmtId="0" fontId="114" fillId="11" borderId="169" xfId="3" applyFont="1" applyFill="1" applyBorder="1" applyAlignment="1">
      <alignment horizontal="center"/>
    </xf>
    <xf numFmtId="0" fontId="114" fillId="11" borderId="176" xfId="3" applyFont="1" applyFill="1" applyBorder="1" applyAlignment="1">
      <alignment horizontal="center"/>
    </xf>
    <xf numFmtId="0" fontId="114" fillId="11" borderId="177" xfId="3" applyFont="1" applyFill="1" applyBorder="1" applyAlignment="1">
      <alignment horizontal="center"/>
    </xf>
    <xf numFmtId="0" fontId="114" fillId="11" borderId="170" xfId="3" applyFont="1" applyFill="1" applyBorder="1" applyAlignment="1">
      <alignment horizontal="center"/>
    </xf>
    <xf numFmtId="37" fontId="114" fillId="0" borderId="179" xfId="3" applyNumberFormat="1" applyFont="1" applyBorder="1" applyAlignment="1">
      <alignment horizontal="center"/>
    </xf>
    <xf numFmtId="1" fontId="114" fillId="0" borderId="180" xfId="3" applyNumberFormat="1" applyFont="1" applyBorder="1" applyAlignment="1">
      <alignment horizontal="center"/>
    </xf>
    <xf numFmtId="1" fontId="114" fillId="0" borderId="172" xfId="3" applyNumberFormat="1" applyFont="1" applyBorder="1" applyAlignment="1">
      <alignment horizontal="center"/>
    </xf>
    <xf numFmtId="167" fontId="114" fillId="0" borderId="179" xfId="3" applyNumberFormat="1" applyFont="1" applyBorder="1" applyAlignment="1">
      <alignment horizontal="center"/>
    </xf>
    <xf numFmtId="167" fontId="114" fillId="0" borderId="180" xfId="3" applyNumberFormat="1" applyFont="1" applyBorder="1" applyAlignment="1">
      <alignment horizontal="center"/>
    </xf>
    <xf numFmtId="167" fontId="114" fillId="0" borderId="172" xfId="3" applyNumberFormat="1" applyFont="1" applyBorder="1" applyAlignment="1">
      <alignment horizontal="center"/>
    </xf>
    <xf numFmtId="0" fontId="47" fillId="0" borderId="174" xfId="3" applyBorder="1"/>
    <xf numFmtId="0" fontId="114" fillId="18" borderId="169" xfId="3" applyFont="1" applyFill="1" applyBorder="1" applyAlignment="1">
      <alignment horizontal="center"/>
    </xf>
    <xf numFmtId="0" fontId="114" fillId="18" borderId="176" xfId="3" applyFont="1" applyFill="1" applyBorder="1" applyAlignment="1">
      <alignment horizontal="center"/>
    </xf>
    <xf numFmtId="0" fontId="114" fillId="18" borderId="177" xfId="3" applyFont="1" applyFill="1" applyBorder="1" applyAlignment="1">
      <alignment horizontal="center"/>
    </xf>
    <xf numFmtId="0" fontId="114" fillId="18" borderId="170" xfId="3" applyFont="1" applyFill="1" applyBorder="1" applyAlignment="1">
      <alignment horizontal="center"/>
    </xf>
    <xf numFmtId="0" fontId="114" fillId="0" borderId="171" xfId="3" applyFont="1" applyBorder="1" applyAlignment="1">
      <alignment horizontal="left"/>
    </xf>
    <xf numFmtId="0" fontId="114" fillId="19" borderId="169" xfId="3" applyFont="1" applyFill="1" applyBorder="1" applyAlignment="1">
      <alignment horizontal="center"/>
    </xf>
    <xf numFmtId="0" fontId="114" fillId="19" borderId="176" xfId="3" applyFont="1" applyFill="1" applyBorder="1" applyAlignment="1">
      <alignment horizontal="center"/>
    </xf>
    <xf numFmtId="0" fontId="114" fillId="19" borderId="177" xfId="3" applyFont="1" applyFill="1" applyBorder="1" applyAlignment="1">
      <alignment horizontal="center"/>
    </xf>
    <xf numFmtId="0" fontId="114" fillId="19" borderId="170" xfId="3" applyFont="1" applyFill="1" applyBorder="1" applyAlignment="1">
      <alignment horizontal="center"/>
    </xf>
    <xf numFmtId="0" fontId="63" fillId="0" borderId="103" xfId="0" applyFont="1" applyBorder="1"/>
    <xf numFmtId="0" fontId="63" fillId="0" borderId="191" xfId="0" applyFont="1" applyBorder="1"/>
    <xf numFmtId="0" fontId="63" fillId="0" borderId="56" xfId="0" applyFont="1" applyBorder="1" applyAlignment="1">
      <alignment horizontal="right"/>
    </xf>
    <xf numFmtId="0" fontId="63" fillId="0" borderId="56" xfId="0" applyFont="1" applyBorder="1"/>
    <xf numFmtId="37" fontId="63" fillId="0" borderId="192" xfId="0" applyNumberFormat="1" applyFont="1" applyBorder="1"/>
    <xf numFmtId="0" fontId="63" fillId="0" borderId="193" xfId="0" applyFont="1" applyBorder="1"/>
    <xf numFmtId="172" fontId="63" fillId="0" borderId="56" xfId="0" applyNumberFormat="1" applyFont="1" applyBorder="1"/>
    <xf numFmtId="37" fontId="63" fillId="0" borderId="193" xfId="0" applyNumberFormat="1" applyFont="1" applyBorder="1"/>
    <xf numFmtId="37" fontId="63" fillId="0" borderId="56" xfId="0" applyNumberFormat="1" applyFont="1" applyBorder="1"/>
    <xf numFmtId="171" fontId="63" fillId="0" borderId="56" xfId="0" applyNumberFormat="1" applyFont="1" applyBorder="1"/>
    <xf numFmtId="37" fontId="63" fillId="0" borderId="194" xfId="0" applyNumberFormat="1" applyFont="1" applyBorder="1"/>
    <xf numFmtId="171" fontId="63" fillId="0" borderId="195" xfId="0" applyNumberFormat="1" applyFont="1" applyBorder="1"/>
    <xf numFmtId="0" fontId="0" fillId="12" borderId="0" xfId="0" applyFill="1"/>
    <xf numFmtId="49" fontId="45" fillId="12" borderId="1" xfId="6" applyNumberFormat="1" applyFill="1" applyAlignment="1">
      <alignment horizontal="left" vertical="center"/>
    </xf>
    <xf numFmtId="174" fontId="45" fillId="12" borderId="1" xfId="6" applyNumberFormat="1" applyFill="1" applyAlignment="1">
      <alignment horizontal="right" vertical="center"/>
    </xf>
    <xf numFmtId="0" fontId="45" fillId="12" borderId="1" xfId="6" applyFill="1"/>
    <xf numFmtId="0" fontId="86" fillId="0" borderId="109" xfId="0" applyFont="1" applyBorder="1"/>
    <xf numFmtId="0" fontId="87" fillId="0" borderId="109" xfId="0" applyFont="1" applyBorder="1"/>
    <xf numFmtId="0" fontId="86" fillId="0" borderId="0" xfId="0" applyFont="1"/>
    <xf numFmtId="0" fontId="87" fillId="20" borderId="118" xfId="0" applyFont="1" applyFill="1" applyBorder="1"/>
    <xf numFmtId="0" fontId="87" fillId="20" borderId="121" xfId="0" applyFont="1" applyFill="1" applyBorder="1"/>
    <xf numFmtId="0" fontId="87" fillId="15" borderId="110" xfId="0" applyFont="1" applyFill="1" applyBorder="1"/>
    <xf numFmtId="0" fontId="87" fillId="0" borderId="110" xfId="0" applyFont="1" applyBorder="1" applyAlignment="1">
      <alignment horizontal="left"/>
    </xf>
    <xf numFmtId="0" fontId="86" fillId="0" borderId="112" xfId="0" applyFont="1" applyBorder="1"/>
    <xf numFmtId="0" fontId="87" fillId="20" borderId="124" xfId="0" applyFont="1" applyFill="1" applyBorder="1"/>
    <xf numFmtId="0" fontId="87" fillId="20" borderId="127" xfId="0" applyFont="1" applyFill="1" applyBorder="1"/>
    <xf numFmtId="0" fontId="87" fillId="20" borderId="129" xfId="0" applyFont="1" applyFill="1" applyBorder="1"/>
    <xf numFmtId="0" fontId="86" fillId="15" borderId="112" xfId="0" applyFont="1" applyFill="1" applyBorder="1"/>
    <xf numFmtId="0" fontId="87" fillId="20" borderId="133" xfId="0" applyFont="1" applyFill="1" applyBorder="1"/>
    <xf numFmtId="0" fontId="100" fillId="0" borderId="0" xfId="0" applyFont="1"/>
    <xf numFmtId="0" fontId="98" fillId="0" borderId="0" xfId="0" applyFont="1"/>
    <xf numFmtId="0" fontId="97" fillId="0" borderId="0" xfId="0" applyFont="1"/>
    <xf numFmtId="170" fontId="98" fillId="0" borderId="0" xfId="0" applyNumberFormat="1" applyFont="1" applyAlignment="1">
      <alignment horizontal="left"/>
    </xf>
    <xf numFmtId="0" fontId="87" fillId="0" borderId="110" xfId="0" applyFont="1" applyBorder="1"/>
    <xf numFmtId="0" fontId="87" fillId="0" borderId="0" xfId="0" applyFont="1"/>
    <xf numFmtId="0" fontId="87" fillId="15" borderId="118" xfId="0" applyFont="1" applyFill="1" applyBorder="1"/>
    <xf numFmtId="0" fontId="87" fillId="15" borderId="112" xfId="0" applyFont="1" applyFill="1" applyBorder="1"/>
    <xf numFmtId="0" fontId="87" fillId="15" borderId="109" xfId="0" applyFont="1" applyFill="1" applyBorder="1"/>
    <xf numFmtId="0" fontId="86" fillId="15" borderId="110" xfId="0" applyFont="1" applyFill="1" applyBorder="1"/>
    <xf numFmtId="0" fontId="90" fillId="0" borderId="110" xfId="0" applyFont="1" applyBorder="1"/>
    <xf numFmtId="0" fontId="87" fillId="20" borderId="139" xfId="0" applyFont="1" applyFill="1" applyBorder="1"/>
    <xf numFmtId="0" fontId="87" fillId="20" borderId="140" xfId="0" applyFont="1" applyFill="1" applyBorder="1"/>
    <xf numFmtId="0" fontId="90" fillId="0" borderId="112" xfId="0" applyFont="1" applyBorder="1"/>
    <xf numFmtId="0" fontId="90" fillId="15" borderId="110" xfId="0" applyFont="1" applyFill="1" applyBorder="1"/>
    <xf numFmtId="0" fontId="90" fillId="0" borderId="109" xfId="0" applyFont="1" applyBorder="1"/>
    <xf numFmtId="0" fontId="90" fillId="0" borderId="138" xfId="0" applyFont="1" applyBorder="1"/>
    <xf numFmtId="0" fontId="87" fillId="20" borderId="143" xfId="0" applyFont="1" applyFill="1" applyBorder="1"/>
    <xf numFmtId="0" fontId="103" fillId="0" borderId="1" xfId="0" applyFont="1" applyBorder="1" applyAlignment="1">
      <alignment horizontal="centerContinuous" vertical="center"/>
    </xf>
    <xf numFmtId="0" fontId="86" fillId="0" borderId="147" xfId="0" applyFont="1" applyBorder="1"/>
    <xf numFmtId="0" fontId="90" fillId="0" borderId="147" xfId="0" applyFont="1" applyBorder="1"/>
    <xf numFmtId="0" fontId="103" fillId="20" borderId="147" xfId="0" applyFont="1" applyFill="1" applyBorder="1"/>
    <xf numFmtId="0" fontId="103" fillId="0" borderId="72" xfId="0" applyFont="1" applyBorder="1"/>
    <xf numFmtId="0" fontId="90" fillId="0" borderId="72" xfId="0" applyFont="1" applyBorder="1"/>
    <xf numFmtId="0" fontId="86" fillId="0" borderId="72" xfId="0" applyFont="1" applyBorder="1"/>
    <xf numFmtId="0" fontId="103" fillId="20" borderId="149" xfId="0" applyFont="1" applyFill="1" applyBorder="1"/>
    <xf numFmtId="0" fontId="90" fillId="15" borderId="72" xfId="0" applyFont="1" applyFill="1" applyBorder="1"/>
    <xf numFmtId="0" fontId="90" fillId="0" borderId="151" xfId="0" applyFont="1" applyBorder="1"/>
    <xf numFmtId="0" fontId="103" fillId="15" borderId="151" xfId="0" applyFont="1" applyFill="1" applyBorder="1"/>
    <xf numFmtId="0" fontId="103" fillId="20" borderId="153" xfId="0" applyFont="1" applyFill="1" applyBorder="1"/>
    <xf numFmtId="0" fontId="103" fillId="20" borderId="156" xfId="0" applyFont="1" applyFill="1" applyBorder="1"/>
    <xf numFmtId="0" fontId="102" fillId="0" borderId="160" xfId="0" applyFont="1" applyBorder="1"/>
    <xf numFmtId="0" fontId="90" fillId="0" borderId="160" xfId="0" applyFont="1" applyBorder="1"/>
    <xf numFmtId="0" fontId="86" fillId="0" borderId="160" xfId="0" applyFont="1" applyBorder="1"/>
    <xf numFmtId="0" fontId="86" fillId="0" borderId="161" xfId="0" applyFont="1" applyBorder="1"/>
    <xf numFmtId="0" fontId="103" fillId="20" borderId="162" xfId="0" applyFont="1" applyFill="1" applyBorder="1"/>
    <xf numFmtId="1" fontId="82" fillId="10" borderId="0" xfId="0" applyNumberFormat="1" applyFont="1" applyFill="1" applyAlignment="1">
      <alignment horizontal="left" vertical="top"/>
    </xf>
    <xf numFmtId="49" fontId="81" fillId="10" borderId="45" xfId="0" applyNumberFormat="1" applyFont="1" applyFill="1" applyBorder="1" applyAlignment="1">
      <alignment horizontal="left" vertical="top"/>
    </xf>
    <xf numFmtId="0" fontId="87" fillId="0" borderId="116" xfId="0" applyFont="1" applyBorder="1"/>
    <xf numFmtId="0" fontId="87" fillId="0" borderId="112" xfId="0" applyFont="1" applyBorder="1"/>
    <xf numFmtId="0" fontId="86" fillId="15" borderId="138" xfId="0" applyFont="1" applyFill="1" applyBorder="1"/>
    <xf numFmtId="49" fontId="43" fillId="12" borderId="1" xfId="8" applyNumberFormat="1" applyFill="1" applyAlignment="1">
      <alignment horizontal="left" vertical="center"/>
    </xf>
    <xf numFmtId="174" fontId="43" fillId="12" borderId="1" xfId="8" applyNumberFormat="1" applyFill="1" applyAlignment="1">
      <alignment horizontal="right" vertical="center"/>
    </xf>
    <xf numFmtId="0" fontId="43" fillId="12" borderId="1" xfId="8" applyFill="1"/>
    <xf numFmtId="0" fontId="87" fillId="0" borderId="106" xfId="0" applyFont="1" applyBorder="1" applyAlignment="1">
      <alignment horizontal="center"/>
    </xf>
    <xf numFmtId="0" fontId="87" fillId="0" borderId="146" xfId="0" applyFont="1" applyBorder="1" applyAlignment="1">
      <alignment horizontal="center"/>
    </xf>
    <xf numFmtId="49" fontId="116" fillId="12" borderId="1" xfId="9" applyNumberFormat="1" applyFont="1" applyFill="1" applyAlignment="1">
      <alignment horizontal="left" vertical="center"/>
    </xf>
    <xf numFmtId="174" fontId="116" fillId="12" borderId="1" xfId="9" applyNumberFormat="1" applyFont="1" applyFill="1" applyAlignment="1">
      <alignment horizontal="right" vertical="center"/>
    </xf>
    <xf numFmtId="49" fontId="42" fillId="12" borderId="1" xfId="9" applyNumberFormat="1" applyFill="1" applyAlignment="1">
      <alignment horizontal="left" vertical="center"/>
    </xf>
    <xf numFmtId="174" fontId="42" fillId="12" borderId="1" xfId="9" applyNumberFormat="1" applyFill="1" applyAlignment="1">
      <alignment horizontal="right" vertical="center"/>
    </xf>
    <xf numFmtId="0" fontId="42" fillId="12" borderId="1" xfId="9" applyFill="1"/>
    <xf numFmtId="49" fontId="81" fillId="0" borderId="44" xfId="0" applyNumberFormat="1" applyFont="1" applyBorder="1" applyAlignment="1">
      <alignment horizontal="left" vertical="top"/>
    </xf>
    <xf numFmtId="0" fontId="49" fillId="0" borderId="0" xfId="0" applyFont="1" applyAlignment="1">
      <alignment horizontal="center"/>
    </xf>
    <xf numFmtId="167" fontId="50" fillId="0" borderId="1" xfId="0" applyNumberFormat="1" applyFont="1" applyBorder="1" applyAlignment="1">
      <alignment horizontal="center"/>
    </xf>
    <xf numFmtId="0" fontId="117" fillId="0" borderId="0" xfId="0" applyFont="1"/>
    <xf numFmtId="0" fontId="117" fillId="0" borderId="0" xfId="0" applyFont="1" applyAlignment="1">
      <alignment horizontal="center"/>
    </xf>
    <xf numFmtId="0" fontId="82" fillId="10" borderId="48" xfId="0" quotePrefix="1" applyFont="1" applyFill="1" applyBorder="1" applyAlignment="1">
      <alignment horizontal="left" vertical="top"/>
    </xf>
    <xf numFmtId="0" fontId="118" fillId="0" borderId="0" xfId="0" applyFont="1" applyAlignment="1">
      <alignment horizontal="center"/>
    </xf>
    <xf numFmtId="0" fontId="118" fillId="0" borderId="0" xfId="0" applyFont="1"/>
    <xf numFmtId="2" fontId="61" fillId="0" borderId="15" xfId="0" applyNumberFormat="1" applyFont="1" applyBorder="1"/>
    <xf numFmtId="167" fontId="41" fillId="0" borderId="179" xfId="3" applyNumberFormat="1" applyFont="1" applyBorder="1" applyAlignment="1">
      <alignment horizontal="center"/>
    </xf>
    <xf numFmtId="167" fontId="41" fillId="0" borderId="180" xfId="3" applyNumberFormat="1" applyFont="1" applyBorder="1" applyAlignment="1">
      <alignment horizontal="center"/>
    </xf>
    <xf numFmtId="167" fontId="41" fillId="0" borderId="172" xfId="3" applyNumberFormat="1" applyFont="1" applyBorder="1" applyAlignment="1">
      <alignment horizontal="center"/>
    </xf>
    <xf numFmtId="9" fontId="41" fillId="0" borderId="180" xfId="4" applyFont="1" applyBorder="1" applyAlignment="1">
      <alignment horizontal="center"/>
    </xf>
    <xf numFmtId="9" fontId="41" fillId="0" borderId="181" xfId="4" applyFont="1" applyBorder="1" applyAlignment="1">
      <alignment horizontal="center"/>
    </xf>
    <xf numFmtId="9" fontId="41" fillId="0" borderId="179" xfId="4" applyFont="1" applyFill="1" applyBorder="1" applyAlignment="1">
      <alignment horizontal="center"/>
    </xf>
    <xf numFmtId="9" fontId="41" fillId="0" borderId="172" xfId="4" applyFont="1" applyBorder="1" applyAlignment="1">
      <alignment horizontal="center"/>
    </xf>
    <xf numFmtId="0" fontId="41" fillId="0" borderId="188" xfId="3" applyFont="1" applyBorder="1"/>
    <xf numFmtId="167" fontId="41" fillId="0" borderId="189" xfId="3" applyNumberFormat="1" applyFont="1" applyBorder="1" applyAlignment="1">
      <alignment horizontal="center"/>
    </xf>
    <xf numFmtId="167" fontId="41" fillId="0" borderId="190" xfId="3" applyNumberFormat="1" applyFont="1" applyBorder="1" applyAlignment="1">
      <alignment horizontal="center"/>
    </xf>
    <xf numFmtId="9" fontId="41" fillId="0" borderId="189" xfId="4" applyFont="1" applyBorder="1" applyAlignment="1">
      <alignment horizontal="center"/>
    </xf>
    <xf numFmtId="167" fontId="41" fillId="0" borderId="185" xfId="3" applyNumberFormat="1" applyFont="1" applyBorder="1" applyAlignment="1">
      <alignment horizontal="center"/>
    </xf>
    <xf numFmtId="167" fontId="41" fillId="0" borderId="175" xfId="3" applyNumberFormat="1" applyFont="1" applyBorder="1" applyAlignment="1">
      <alignment horizontal="center"/>
    </xf>
    <xf numFmtId="9" fontId="41" fillId="0" borderId="185" xfId="4" applyFont="1" applyBorder="1" applyAlignment="1">
      <alignment horizontal="center"/>
    </xf>
    <xf numFmtId="0" fontId="41" fillId="0" borderId="1" xfId="3" applyFont="1"/>
    <xf numFmtId="167" fontId="41" fillId="0" borderId="179" xfId="4" applyNumberFormat="1" applyFont="1" applyFill="1" applyBorder="1" applyAlignment="1">
      <alignment horizontal="center"/>
    </xf>
    <xf numFmtId="167" fontId="41" fillId="0" borderId="184" xfId="3" applyNumberFormat="1" applyFont="1" applyBorder="1" applyAlignment="1">
      <alignment horizontal="center"/>
    </xf>
    <xf numFmtId="0" fontId="41" fillId="0" borderId="171" xfId="3" applyFont="1" applyBorder="1" applyAlignment="1">
      <alignment horizontal="left" indent="1"/>
    </xf>
    <xf numFmtId="0" fontId="41" fillId="0" borderId="171" xfId="3" applyFont="1" applyBorder="1" applyAlignment="1">
      <alignment horizontal="left"/>
    </xf>
    <xf numFmtId="9" fontId="41" fillId="0" borderId="179" xfId="1" applyFont="1" applyBorder="1" applyAlignment="1">
      <alignment horizontal="center"/>
    </xf>
    <xf numFmtId="0" fontId="41" fillId="0" borderId="174" xfId="3" applyFont="1" applyBorder="1" applyAlignment="1">
      <alignment horizontal="left"/>
    </xf>
    <xf numFmtId="0" fontId="114" fillId="21" borderId="169" xfId="3" applyFont="1" applyFill="1" applyBorder="1" applyAlignment="1">
      <alignment horizontal="center"/>
    </xf>
    <xf numFmtId="0" fontId="114" fillId="21" borderId="176" xfId="3" applyFont="1" applyFill="1" applyBorder="1" applyAlignment="1">
      <alignment horizontal="center"/>
    </xf>
    <xf numFmtId="0" fontId="114" fillId="21" borderId="177" xfId="3" applyFont="1" applyFill="1" applyBorder="1" applyAlignment="1">
      <alignment horizontal="center"/>
    </xf>
    <xf numFmtId="0" fontId="114" fillId="21" borderId="170" xfId="3" applyFont="1" applyFill="1" applyBorder="1" applyAlignment="1">
      <alignment horizontal="center"/>
    </xf>
    <xf numFmtId="0" fontId="47" fillId="0" borderId="171" xfId="3" applyBorder="1" applyAlignment="1">
      <alignment horizontal="left"/>
    </xf>
    <xf numFmtId="167" fontId="41" fillId="0" borderId="179" xfId="1" applyNumberFormat="1" applyFont="1" applyBorder="1" applyAlignment="1">
      <alignment horizontal="center"/>
    </xf>
    <xf numFmtId="167" fontId="47" fillId="0" borderId="183" xfId="3" applyNumberFormat="1" applyBorder="1" applyAlignment="1">
      <alignment horizontal="center"/>
    </xf>
    <xf numFmtId="167" fontId="47" fillId="0" borderId="198" xfId="3" applyNumberFormat="1" applyBorder="1" applyAlignment="1">
      <alignment horizontal="center"/>
    </xf>
    <xf numFmtId="167" fontId="47" fillId="0" borderId="180" xfId="3" applyNumberFormat="1" applyBorder="1" applyAlignment="1">
      <alignment horizontal="center"/>
    </xf>
    <xf numFmtId="167" fontId="47" fillId="0" borderId="172" xfId="3" applyNumberFormat="1" applyBorder="1" applyAlignment="1">
      <alignment horizontal="center"/>
    </xf>
    <xf numFmtId="171" fontId="41" fillId="0" borderId="179" xfId="1" applyNumberFormat="1" applyFont="1" applyBorder="1" applyAlignment="1">
      <alignment horizontal="center"/>
    </xf>
    <xf numFmtId="0" fontId="47" fillId="0" borderId="174" xfId="3" applyBorder="1" applyAlignment="1">
      <alignment horizontal="left"/>
    </xf>
    <xf numFmtId="171" fontId="41" fillId="0" borderId="184" xfId="1" applyNumberFormat="1" applyFont="1" applyBorder="1" applyAlignment="1">
      <alignment horizontal="center"/>
    </xf>
    <xf numFmtId="0" fontId="114" fillId="0" borderId="1" xfId="3" applyFont="1"/>
    <xf numFmtId="49" fontId="39" fillId="12" borderId="1" xfId="12" applyNumberFormat="1" applyFill="1" applyAlignment="1">
      <alignment horizontal="left" vertical="center"/>
    </xf>
    <xf numFmtId="0" fontId="39" fillId="12" borderId="1" xfId="12" applyFill="1"/>
    <xf numFmtId="2" fontId="39" fillId="12" borderId="1" xfId="12" applyNumberFormat="1" applyFill="1" applyAlignment="1">
      <alignment horizontal="right" vertical="center"/>
    </xf>
    <xf numFmtId="10" fontId="68" fillId="0" borderId="0" xfId="0" applyNumberFormat="1" applyFont="1"/>
    <xf numFmtId="1" fontId="68" fillId="0" borderId="0" xfId="0" applyNumberFormat="1" applyFont="1"/>
    <xf numFmtId="9" fontId="41" fillId="0" borderId="179" xfId="1" applyFont="1" applyFill="1" applyBorder="1" applyAlignment="1">
      <alignment horizontal="center"/>
    </xf>
    <xf numFmtId="171" fontId="41" fillId="0" borderId="180" xfId="4" applyNumberFormat="1" applyFont="1" applyBorder="1" applyAlignment="1">
      <alignment horizontal="center"/>
    </xf>
    <xf numFmtId="171" fontId="41" fillId="0" borderId="181" xfId="4" applyNumberFormat="1" applyFont="1" applyBorder="1" applyAlignment="1">
      <alignment horizontal="center"/>
    </xf>
    <xf numFmtId="171" fontId="41" fillId="0" borderId="185" xfId="4" applyNumberFormat="1" applyFont="1" applyBorder="1" applyAlignment="1">
      <alignment horizontal="center"/>
    </xf>
    <xf numFmtId="171" fontId="41" fillId="0" borderId="186" xfId="4" applyNumberFormat="1" applyFont="1" applyBorder="1" applyAlignment="1">
      <alignment horizontal="center"/>
    </xf>
    <xf numFmtId="175" fontId="41" fillId="0" borderId="180" xfId="3" applyNumberFormat="1" applyFont="1" applyBorder="1" applyAlignment="1">
      <alignment horizontal="center"/>
    </xf>
    <xf numFmtId="175" fontId="41" fillId="0" borderId="172" xfId="3" applyNumberFormat="1" applyFont="1" applyBorder="1" applyAlignment="1">
      <alignment horizontal="center"/>
    </xf>
    <xf numFmtId="0" fontId="41" fillId="22" borderId="171" xfId="3" applyFont="1" applyFill="1" applyBorder="1" applyAlignment="1">
      <alignment horizontal="left"/>
    </xf>
    <xf numFmtId="175" fontId="41" fillId="22" borderId="179" xfId="3" applyNumberFormat="1" applyFont="1" applyFill="1" applyBorder="1" applyAlignment="1">
      <alignment horizontal="center"/>
    </xf>
    <xf numFmtId="0" fontId="47" fillId="22" borderId="171" xfId="3" applyFill="1" applyBorder="1" applyAlignment="1">
      <alignment horizontal="left" indent="1"/>
    </xf>
    <xf numFmtId="37" fontId="37" fillId="22" borderId="171" xfId="3" applyNumberFormat="1" applyFont="1" applyFill="1" applyBorder="1" applyAlignment="1">
      <alignment horizontal="center"/>
    </xf>
    <xf numFmtId="1" fontId="41" fillId="0" borderId="180" xfId="3" applyNumberFormat="1" applyFont="1" applyBorder="1" applyAlignment="1">
      <alignment horizontal="center"/>
    </xf>
    <xf numFmtId="1" fontId="41" fillId="0" borderId="172" xfId="3" applyNumberFormat="1" applyFont="1" applyBorder="1" applyAlignment="1">
      <alignment horizontal="center"/>
    </xf>
    <xf numFmtId="0" fontId="114" fillId="0" borderId="173" xfId="3" applyFont="1" applyBorder="1"/>
    <xf numFmtId="37" fontId="114" fillId="0" borderId="182" xfId="3" applyNumberFormat="1" applyFont="1" applyBorder="1" applyAlignment="1">
      <alignment horizontal="center"/>
    </xf>
    <xf numFmtId="1" fontId="114" fillId="0" borderId="183" xfId="3" applyNumberFormat="1" applyFont="1" applyBorder="1" applyAlignment="1">
      <alignment horizontal="center"/>
    </xf>
    <xf numFmtId="1" fontId="114" fillId="0" borderId="198" xfId="3" applyNumberFormat="1" applyFont="1" applyBorder="1" applyAlignment="1">
      <alignment horizontal="center"/>
    </xf>
    <xf numFmtId="0" fontId="36" fillId="22" borderId="174" xfId="3" applyFont="1" applyFill="1" applyBorder="1" applyAlignment="1">
      <alignment horizontal="left" indent="1"/>
    </xf>
    <xf numFmtId="167" fontId="41" fillId="22" borderId="184" xfId="3" applyNumberFormat="1" applyFont="1" applyFill="1" applyBorder="1" applyAlignment="1">
      <alignment horizontal="center"/>
    </xf>
    <xf numFmtId="1" fontId="82" fillId="10" borderId="44" xfId="0" applyNumberFormat="1" applyFont="1" applyFill="1" applyBorder="1" applyAlignment="1">
      <alignment horizontal="left" vertical="top"/>
    </xf>
    <xf numFmtId="0" fontId="82" fillId="0" borderId="48" xfId="0" quotePrefix="1" applyFont="1" applyBorder="1" applyAlignment="1">
      <alignment horizontal="left" vertical="top"/>
    </xf>
    <xf numFmtId="49" fontId="82" fillId="0" borderId="0" xfId="0" applyNumberFormat="1" applyFont="1" applyAlignment="1">
      <alignment horizontal="left" vertical="top"/>
    </xf>
    <xf numFmtId="0" fontId="82" fillId="10" borderId="44" xfId="0" applyFont="1" applyFill="1" applyBorder="1" applyAlignment="1">
      <alignment horizontal="left" vertical="top"/>
    </xf>
    <xf numFmtId="1" fontId="82" fillId="10" borderId="46" xfId="0" applyNumberFormat="1" applyFont="1" applyFill="1" applyBorder="1" applyAlignment="1">
      <alignment horizontal="left" vertical="top"/>
    </xf>
    <xf numFmtId="0" fontId="81" fillId="10" borderId="48" xfId="0" applyFont="1" applyFill="1" applyBorder="1" applyAlignment="1">
      <alignment horizontal="left" vertical="top"/>
    </xf>
    <xf numFmtId="49" fontId="81" fillId="10" borderId="47" xfId="0" applyNumberFormat="1" applyFont="1" applyFill="1" applyBorder="1" applyAlignment="1">
      <alignment horizontal="left" vertical="top"/>
    </xf>
    <xf numFmtId="49" fontId="81" fillId="10" borderId="44" xfId="0" applyNumberFormat="1" applyFont="1" applyFill="1" applyBorder="1" applyAlignment="1">
      <alignment horizontal="left" vertical="top"/>
    </xf>
    <xf numFmtId="49" fontId="81" fillId="0" borderId="1" xfId="0" applyNumberFormat="1" applyFont="1" applyBorder="1" applyAlignment="1">
      <alignment horizontal="left" vertical="top"/>
    </xf>
    <xf numFmtId="39" fontId="81" fillId="0" borderId="0" xfId="0" applyNumberFormat="1" applyFont="1" applyAlignment="1">
      <alignment horizontal="left" vertical="top"/>
    </xf>
    <xf numFmtId="3" fontId="119" fillId="0" borderId="0" xfId="0" applyNumberFormat="1" applyFont="1"/>
    <xf numFmtId="3" fontId="58" fillId="0" borderId="0" xfId="0" applyNumberFormat="1" applyFont="1"/>
    <xf numFmtId="0" fontId="85" fillId="0" borderId="0" xfId="0" applyFont="1"/>
    <xf numFmtId="3" fontId="68" fillId="0" borderId="0" xfId="0" applyNumberFormat="1" applyFont="1"/>
    <xf numFmtId="10" fontId="60" fillId="0" borderId="0" xfId="0" applyNumberFormat="1" applyFont="1"/>
    <xf numFmtId="9" fontId="41" fillId="0" borderId="180" xfId="4" applyFont="1" applyFill="1" applyBorder="1" applyAlignment="1">
      <alignment horizontal="center"/>
    </xf>
    <xf numFmtId="9" fontId="41" fillId="23" borderId="180" xfId="4" applyFont="1" applyFill="1" applyBorder="1" applyAlignment="1">
      <alignment horizontal="center"/>
    </xf>
    <xf numFmtId="0" fontId="47" fillId="0" borderId="172" xfId="3" applyBorder="1"/>
    <xf numFmtId="9" fontId="41" fillId="0" borderId="189" xfId="4" applyFont="1" applyFill="1" applyBorder="1" applyAlignment="1">
      <alignment horizontal="center"/>
    </xf>
    <xf numFmtId="9" fontId="41" fillId="0" borderId="185" xfId="4" applyFont="1" applyFill="1" applyBorder="1" applyAlignment="1">
      <alignment horizontal="center"/>
    </xf>
    <xf numFmtId="171" fontId="69" fillId="3" borderId="95" xfId="0" applyNumberFormat="1" applyFont="1" applyFill="1" applyBorder="1"/>
    <xf numFmtId="0" fontId="60" fillId="0" borderId="54" xfId="0" applyFont="1" applyBorder="1"/>
    <xf numFmtId="0" fontId="60" fillId="0" borderId="55" xfId="0" applyFont="1" applyBorder="1"/>
    <xf numFmtId="37" fontId="60" fillId="0" borderId="65" xfId="0" applyNumberFormat="1" applyFont="1" applyBorder="1"/>
    <xf numFmtId="1" fontId="50" fillId="0" borderId="48" xfId="0" applyNumberFormat="1" applyFont="1" applyBorder="1" applyAlignment="1">
      <alignment horizontal="left" vertical="top"/>
    </xf>
    <xf numFmtId="0" fontId="82" fillId="10" borderId="0" xfId="0" applyFont="1" applyFill="1" applyAlignment="1">
      <alignment horizontal="left" vertical="top"/>
    </xf>
    <xf numFmtId="1" fontId="50" fillId="0" borderId="49" xfId="0" applyNumberFormat="1" applyFont="1" applyBorder="1" applyAlignment="1">
      <alignment horizontal="left" vertical="top"/>
    </xf>
    <xf numFmtId="1" fontId="82" fillId="13" borderId="49" xfId="0" applyNumberFormat="1" applyFont="1" applyFill="1" applyBorder="1" applyAlignment="1">
      <alignment horizontal="left" vertical="top"/>
    </xf>
    <xf numFmtId="49" fontId="81" fillId="0" borderId="0" xfId="0" applyNumberFormat="1" applyFont="1" applyAlignment="1">
      <alignment horizontal="left" vertical="top"/>
    </xf>
    <xf numFmtId="49" fontId="50" fillId="0" borderId="48" xfId="0" applyNumberFormat="1" applyFont="1" applyBorder="1" applyAlignment="1">
      <alignment horizontal="left" vertical="top"/>
    </xf>
    <xf numFmtId="39" fontId="81" fillId="10" borderId="0" xfId="0" applyNumberFormat="1" applyFont="1" applyFill="1" applyAlignment="1">
      <alignment horizontal="left" vertical="top"/>
    </xf>
    <xf numFmtId="49" fontId="81" fillId="0" borderId="45" xfId="0" applyNumberFormat="1" applyFont="1" applyBorder="1" applyAlignment="1">
      <alignment horizontal="left" vertical="top"/>
    </xf>
    <xf numFmtId="49" fontId="50" fillId="0" borderId="49" xfId="0" applyNumberFormat="1" applyFont="1" applyBorder="1" applyAlignment="1">
      <alignment horizontal="left" vertical="top"/>
    </xf>
    <xf numFmtId="49" fontId="81" fillId="10" borderId="0" xfId="0" applyNumberFormat="1" applyFont="1" applyFill="1" applyAlignment="1">
      <alignment horizontal="left" vertical="top"/>
    </xf>
    <xf numFmtId="0" fontId="81" fillId="10" borderId="44" xfId="0" applyFont="1" applyFill="1" applyBorder="1" applyAlignment="1">
      <alignment horizontal="left" vertical="top"/>
    </xf>
    <xf numFmtId="1" fontId="82" fillId="0" borderId="1" xfId="0" applyNumberFormat="1" applyFont="1" applyBorder="1" applyAlignment="1">
      <alignment horizontal="left" vertical="top"/>
    </xf>
    <xf numFmtId="0" fontId="81" fillId="10" borderId="50" xfId="0" applyFont="1" applyFill="1" applyBorder="1" applyAlignment="1">
      <alignment horizontal="left" vertical="top"/>
    </xf>
    <xf numFmtId="0" fontId="68" fillId="23" borderId="0" xfId="0" applyFont="1" applyFill="1"/>
    <xf numFmtId="0" fontId="33" fillId="0" borderId="1" xfId="3" applyFont="1"/>
    <xf numFmtId="49" fontId="116" fillId="0" borderId="1" xfId="20" applyNumberFormat="1" applyFont="1" applyAlignment="1">
      <alignment horizontal="center" vertical="center"/>
    </xf>
    <xf numFmtId="2" fontId="116" fillId="0" borderId="1" xfId="20" applyNumberFormat="1" applyFont="1" applyAlignment="1">
      <alignment horizontal="center" vertical="center"/>
    </xf>
    <xf numFmtId="176" fontId="116" fillId="0" borderId="1" xfId="20" applyNumberFormat="1" applyFont="1" applyAlignment="1">
      <alignment horizontal="center" vertical="center"/>
    </xf>
    <xf numFmtId="0" fontId="0" fillId="0" borderId="1" xfId="20" applyFont="1"/>
    <xf numFmtId="0" fontId="122" fillId="0" borderId="1" xfId="20" applyFont="1" applyAlignment="1">
      <alignment horizontal="center"/>
    </xf>
    <xf numFmtId="49" fontId="121" fillId="0" borderId="1" xfId="20" applyNumberFormat="1" applyAlignment="1">
      <alignment horizontal="center" vertical="center"/>
    </xf>
    <xf numFmtId="176" fontId="121" fillId="0" borderId="1" xfId="20" applyNumberFormat="1" applyAlignment="1">
      <alignment horizontal="center" vertical="center"/>
    </xf>
    <xf numFmtId="3" fontId="121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0" fillId="0" borderId="0" xfId="0" quotePrefix="1" applyFont="1"/>
    <xf numFmtId="9" fontId="114" fillId="23" borderId="183" xfId="4" applyFont="1" applyFill="1" applyBorder="1" applyAlignment="1">
      <alignment horizontal="center"/>
    </xf>
    <xf numFmtId="9" fontId="114" fillId="23" borderId="180" xfId="4" applyFont="1" applyFill="1" applyBorder="1" applyAlignment="1">
      <alignment horizontal="center"/>
    </xf>
    <xf numFmtId="0" fontId="85" fillId="12" borderId="0" xfId="0" quotePrefix="1" applyFont="1" applyFill="1"/>
    <xf numFmtId="0" fontId="87" fillId="25" borderId="106" xfId="0" applyFont="1" applyFill="1" applyBorder="1"/>
    <xf numFmtId="0" fontId="87" fillId="25" borderId="107" xfId="0" applyFont="1" applyFill="1" applyBorder="1"/>
    <xf numFmtId="0" fontId="87" fillId="25" borderId="108" xfId="0" applyFont="1" applyFill="1" applyBorder="1"/>
    <xf numFmtId="3" fontId="86" fillId="25" borderId="110" xfId="0" applyNumberFormat="1" applyFont="1" applyFill="1" applyBorder="1" applyAlignment="1">
      <alignment horizontal="center"/>
    </xf>
    <xf numFmtId="3" fontId="86" fillId="25" borderId="0" xfId="0" applyNumberFormat="1" applyFont="1" applyFill="1" applyAlignment="1">
      <alignment horizontal="center"/>
    </xf>
    <xf numFmtId="3" fontId="86" fillId="25" borderId="111" xfId="0" applyNumberFormat="1" applyFont="1" applyFill="1" applyBorder="1" applyAlignment="1">
      <alignment horizontal="center"/>
    </xf>
    <xf numFmtId="3" fontId="86" fillId="25" borderId="112" xfId="0" applyNumberFormat="1" applyFont="1" applyFill="1" applyBorder="1" applyAlignment="1">
      <alignment horizontal="center"/>
    </xf>
    <xf numFmtId="3" fontId="86" fillId="25" borderId="105" xfId="0" applyNumberFormat="1" applyFont="1" applyFill="1" applyBorder="1" applyAlignment="1">
      <alignment horizontal="center"/>
    </xf>
    <xf numFmtId="3" fontId="86" fillId="25" borderId="113" xfId="0" applyNumberFormat="1" applyFont="1" applyFill="1" applyBorder="1" applyAlignment="1" applyProtection="1">
      <alignment horizontal="right"/>
      <protection locked="0"/>
    </xf>
    <xf numFmtId="3" fontId="86" fillId="25" borderId="110" xfId="0" applyNumberFormat="1" applyFont="1" applyFill="1" applyBorder="1" applyProtection="1">
      <protection locked="0"/>
    </xf>
    <xf numFmtId="3" fontId="86" fillId="25" borderId="0" xfId="0" applyNumberFormat="1" applyFont="1" applyFill="1"/>
    <xf numFmtId="3" fontId="86" fillId="25" borderId="111" xfId="0" applyNumberFormat="1" applyFont="1" applyFill="1" applyBorder="1" applyProtection="1">
      <protection locked="0"/>
    </xf>
    <xf numFmtId="3" fontId="86" fillId="25" borderId="110" xfId="0" applyNumberFormat="1" applyFont="1" applyFill="1" applyBorder="1"/>
    <xf numFmtId="3" fontId="86" fillId="25" borderId="111" xfId="0" applyNumberFormat="1" applyFont="1" applyFill="1" applyBorder="1"/>
    <xf numFmtId="3" fontId="87" fillId="25" borderId="109" xfId="0" applyNumberFormat="1" applyFont="1" applyFill="1" applyBorder="1"/>
    <xf numFmtId="3" fontId="87" fillId="25" borderId="114" xfId="0" applyNumberFormat="1" applyFont="1" applyFill="1" applyBorder="1"/>
    <xf numFmtId="3" fontId="87" fillId="25" borderId="115" xfId="0" applyNumberFormat="1" applyFont="1" applyFill="1" applyBorder="1"/>
    <xf numFmtId="0" fontId="86" fillId="25" borderId="110" xfId="0" applyFont="1" applyFill="1" applyBorder="1"/>
    <xf numFmtId="0" fontId="86" fillId="25" borderId="111" xfId="0" applyFont="1" applyFill="1" applyBorder="1"/>
    <xf numFmtId="3" fontId="86" fillId="25" borderId="116" xfId="0" applyNumberFormat="1" applyFont="1" applyFill="1" applyBorder="1" applyProtection="1">
      <protection locked="0"/>
    </xf>
    <xf numFmtId="3" fontId="86" fillId="25" borderId="55" xfId="0" applyNumberFormat="1" applyFont="1" applyFill="1" applyBorder="1"/>
    <xf numFmtId="3" fontId="86" fillId="25" borderId="117" xfId="0" applyNumberFormat="1" applyFont="1" applyFill="1" applyBorder="1" applyProtection="1">
      <protection locked="0"/>
    </xf>
    <xf numFmtId="3" fontId="86" fillId="25" borderId="109" xfId="0" applyNumberFormat="1" applyFont="1" applyFill="1" applyBorder="1"/>
    <xf numFmtId="3" fontId="86" fillId="25" borderId="114" xfId="0" applyNumberFormat="1" applyFont="1" applyFill="1" applyBorder="1"/>
    <xf numFmtId="3" fontId="86" fillId="25" borderId="115" xfId="0" applyNumberFormat="1" applyFont="1" applyFill="1" applyBorder="1"/>
    <xf numFmtId="0" fontId="86" fillId="25" borderId="0" xfId="0" applyFont="1" applyFill="1"/>
    <xf numFmtId="37" fontId="86" fillId="25" borderId="111" xfId="0" applyNumberFormat="1" applyFont="1" applyFill="1" applyBorder="1"/>
    <xf numFmtId="37" fontId="87" fillId="26" borderId="118" xfId="0" applyNumberFormat="1" applyFont="1" applyFill="1" applyBorder="1"/>
    <xf numFmtId="172" fontId="87" fillId="26" borderId="119" xfId="0" applyNumberFormat="1" applyFont="1" applyFill="1" applyBorder="1"/>
    <xf numFmtId="37" fontId="87" fillId="26" borderId="120" xfId="0" applyNumberFormat="1" applyFont="1" applyFill="1" applyBorder="1"/>
    <xf numFmtId="0" fontId="87" fillId="26" borderId="121" xfId="0" applyFont="1" applyFill="1" applyBorder="1"/>
    <xf numFmtId="0" fontId="87" fillId="26" borderId="122" xfId="0" applyFont="1" applyFill="1" applyBorder="1"/>
    <xf numFmtId="0" fontId="87" fillId="26" borderId="123" xfId="0" applyFont="1" applyFill="1" applyBorder="1"/>
    <xf numFmtId="0" fontId="87" fillId="27" borderId="110" xfId="0" applyFont="1" applyFill="1" applyBorder="1"/>
    <xf numFmtId="0" fontId="87" fillId="27" borderId="0" xfId="0" applyFont="1" applyFill="1"/>
    <xf numFmtId="0" fontId="87" fillId="27" borderId="111" xfId="0" applyFont="1" applyFill="1" applyBorder="1"/>
    <xf numFmtId="0" fontId="86" fillId="25" borderId="0" xfId="0" applyFont="1" applyFill="1" applyAlignment="1">
      <alignment horizontal="center"/>
    </xf>
    <xf numFmtId="9" fontId="86" fillId="25" borderId="110" xfId="1" applyFont="1" applyFill="1" applyBorder="1"/>
    <xf numFmtId="37" fontId="86" fillId="25" borderId="0" xfId="0" applyNumberFormat="1" applyFont="1" applyFill="1"/>
    <xf numFmtId="37" fontId="86" fillId="25" borderId="111" xfId="0" applyNumberFormat="1" applyFont="1" applyFill="1" applyBorder="1" applyProtection="1">
      <protection locked="0"/>
    </xf>
    <xf numFmtId="9" fontId="86" fillId="25" borderId="112" xfId="1" applyFont="1" applyFill="1" applyBorder="1"/>
    <xf numFmtId="37" fontId="86" fillId="25" borderId="105" xfId="0" applyNumberFormat="1" applyFont="1" applyFill="1" applyBorder="1"/>
    <xf numFmtId="37" fontId="86" fillId="25" borderId="113" xfId="0" applyNumberFormat="1" applyFont="1" applyFill="1" applyBorder="1" applyProtection="1">
      <protection locked="0"/>
    </xf>
    <xf numFmtId="0" fontId="86" fillId="25" borderId="112" xfId="0" applyFont="1" applyFill="1" applyBorder="1"/>
    <xf numFmtId="0" fontId="87" fillId="26" borderId="124" xfId="0" applyFont="1" applyFill="1" applyBorder="1" applyAlignment="1">
      <alignment horizontal="center"/>
    </xf>
    <xf numFmtId="171" fontId="87" fillId="26" borderId="125" xfId="0" applyNumberFormat="1" applyFont="1" applyFill="1" applyBorder="1"/>
    <xf numFmtId="37" fontId="87" fillId="26" borderId="126" xfId="0" applyNumberFormat="1" applyFont="1" applyFill="1" applyBorder="1"/>
    <xf numFmtId="0" fontId="86" fillId="25" borderId="109" xfId="0" applyFont="1" applyFill="1" applyBorder="1"/>
    <xf numFmtId="0" fontId="86" fillId="25" borderId="114" xfId="0" applyFont="1" applyFill="1" applyBorder="1"/>
    <xf numFmtId="37" fontId="86" fillId="25" borderId="115" xfId="0" applyNumberFormat="1" applyFont="1" applyFill="1" applyBorder="1" applyProtection="1">
      <protection locked="0"/>
    </xf>
    <xf numFmtId="0" fontId="86" fillId="25" borderId="105" xfId="0" applyFont="1" applyFill="1" applyBorder="1"/>
    <xf numFmtId="37" fontId="86" fillId="25" borderId="113" xfId="0" applyNumberFormat="1" applyFont="1" applyFill="1" applyBorder="1"/>
    <xf numFmtId="0" fontId="86" fillId="25" borderId="116" xfId="0" applyFont="1" applyFill="1" applyBorder="1"/>
    <xf numFmtId="0" fontId="86" fillId="25" borderId="55" xfId="0" applyFont="1" applyFill="1" applyBorder="1"/>
    <xf numFmtId="37" fontId="86" fillId="25" borderId="117" xfId="0" applyNumberFormat="1" applyFont="1" applyFill="1" applyBorder="1" applyProtection="1">
      <protection locked="0"/>
    </xf>
    <xf numFmtId="37" fontId="87" fillId="26" borderId="128" xfId="0" applyNumberFormat="1" applyFont="1" applyFill="1" applyBorder="1"/>
    <xf numFmtId="0" fontId="87" fillId="26" borderId="130" xfId="0" applyFont="1" applyFill="1" applyBorder="1" applyAlignment="1">
      <alignment horizontal="center"/>
    </xf>
    <xf numFmtId="171" fontId="87" fillId="26" borderId="131" xfId="0" applyNumberFormat="1" applyFont="1" applyFill="1" applyBorder="1"/>
    <xf numFmtId="37" fontId="87" fillId="26" borderId="132" xfId="0" applyNumberFormat="1" applyFont="1" applyFill="1" applyBorder="1"/>
    <xf numFmtId="0" fontId="86" fillId="27" borderId="112" xfId="0" applyFont="1" applyFill="1" applyBorder="1"/>
    <xf numFmtId="0" fontId="86" fillId="27" borderId="105" xfId="0" applyFont="1" applyFill="1" applyBorder="1"/>
    <xf numFmtId="37" fontId="87" fillId="27" borderId="111" xfId="0" applyNumberFormat="1" applyFont="1" applyFill="1" applyBorder="1"/>
    <xf numFmtId="0" fontId="86" fillId="26" borderId="133" xfId="0" applyFont="1" applyFill="1" applyBorder="1"/>
    <xf numFmtId="0" fontId="86" fillId="26" borderId="134" xfId="0" applyFont="1" applyFill="1" applyBorder="1"/>
    <xf numFmtId="37" fontId="87" fillId="26" borderId="135" xfId="0" applyNumberFormat="1" applyFont="1" applyFill="1" applyBorder="1"/>
    <xf numFmtId="0" fontId="100" fillId="25" borderId="0" xfId="0" applyFont="1" applyFill="1"/>
    <xf numFmtId="37" fontId="100" fillId="25" borderId="0" xfId="0" applyNumberFormat="1" applyFont="1" applyFill="1"/>
    <xf numFmtId="0" fontId="98" fillId="25" borderId="0" xfId="0" applyFont="1" applyFill="1"/>
    <xf numFmtId="0" fontId="96" fillId="25" borderId="0" xfId="0" applyFont="1" applyFill="1"/>
    <xf numFmtId="0" fontId="86" fillId="25" borderId="110" xfId="0" applyFont="1" applyFill="1" applyBorder="1" applyAlignment="1">
      <alignment horizontal="center"/>
    </xf>
    <xf numFmtId="0" fontId="86" fillId="25" borderId="111" xfId="0" applyFont="1" applyFill="1" applyBorder="1" applyAlignment="1">
      <alignment horizontal="center"/>
    </xf>
    <xf numFmtId="3" fontId="86" fillId="25" borderId="113" xfId="0" applyNumberFormat="1" applyFont="1" applyFill="1" applyBorder="1" applyAlignment="1" applyProtection="1">
      <alignment horizontal="center"/>
      <protection locked="0"/>
    </xf>
    <xf numFmtId="3" fontId="86" fillId="25" borderId="112" xfId="0" applyNumberFormat="1" applyFont="1" applyFill="1" applyBorder="1"/>
    <xf numFmtId="3" fontId="86" fillId="25" borderId="105" xfId="0" applyNumberFormat="1" applyFont="1" applyFill="1" applyBorder="1"/>
    <xf numFmtId="3" fontId="86" fillId="25" borderId="113" xfId="0" applyNumberFormat="1" applyFont="1" applyFill="1" applyBorder="1"/>
    <xf numFmtId="0" fontId="87" fillId="25" borderId="110" xfId="0" applyFont="1" applyFill="1" applyBorder="1"/>
    <xf numFmtId="0" fontId="87" fillId="25" borderId="0" xfId="0" applyFont="1" applyFill="1"/>
    <xf numFmtId="0" fontId="87" fillId="25" borderId="111" xfId="0" applyFont="1" applyFill="1" applyBorder="1"/>
    <xf numFmtId="9" fontId="86" fillId="25" borderId="110" xfId="0" applyNumberFormat="1" applyFont="1" applyFill="1" applyBorder="1"/>
    <xf numFmtId="0" fontId="86" fillId="25" borderId="110" xfId="0" applyFont="1" applyFill="1" applyBorder="1" applyAlignment="1">
      <alignment horizontal="right"/>
    </xf>
    <xf numFmtId="171" fontId="86" fillId="25" borderId="0" xfId="0" applyNumberFormat="1" applyFont="1" applyFill="1"/>
    <xf numFmtId="0" fontId="87" fillId="26" borderId="127" xfId="0" applyFont="1" applyFill="1" applyBorder="1" applyAlignment="1">
      <alignment horizontal="center"/>
    </xf>
    <xf numFmtId="171" fontId="87" fillId="26" borderId="136" xfId="0" applyNumberFormat="1" applyFont="1" applyFill="1" applyBorder="1"/>
    <xf numFmtId="0" fontId="87" fillId="26" borderId="133" xfId="0" applyFont="1" applyFill="1" applyBorder="1"/>
    <xf numFmtId="0" fontId="87" fillId="26" borderId="134" xfId="0" applyFont="1" applyFill="1" applyBorder="1"/>
    <xf numFmtId="37" fontId="98" fillId="25" borderId="0" xfId="0" applyNumberFormat="1" applyFont="1" applyFill="1"/>
    <xf numFmtId="37" fontId="86" fillId="25" borderId="110" xfId="0" applyNumberFormat="1" applyFont="1" applyFill="1" applyBorder="1" applyProtection="1">
      <protection locked="0"/>
    </xf>
    <xf numFmtId="37" fontId="86" fillId="25" borderId="0" xfId="0" applyNumberFormat="1" applyFont="1" applyFill="1" applyProtection="1">
      <protection locked="0"/>
    </xf>
    <xf numFmtId="37" fontId="86" fillId="25" borderId="110" xfId="0" applyNumberFormat="1" applyFont="1" applyFill="1" applyBorder="1"/>
    <xf numFmtId="171" fontId="86" fillId="25" borderId="111" xfId="0" applyNumberFormat="1" applyFont="1" applyFill="1" applyBorder="1"/>
    <xf numFmtId="37" fontId="86" fillId="25" borderId="112" xfId="0" applyNumberFormat="1" applyFont="1" applyFill="1" applyBorder="1"/>
    <xf numFmtId="2" fontId="86" fillId="25" borderId="105" xfId="0" applyNumberFormat="1" applyFont="1" applyFill="1" applyBorder="1"/>
    <xf numFmtId="171" fontId="86" fillId="25" borderId="113" xfId="0" applyNumberFormat="1" applyFont="1" applyFill="1" applyBorder="1"/>
    <xf numFmtId="37" fontId="86" fillId="25" borderId="109" xfId="0" applyNumberFormat="1" applyFont="1" applyFill="1" applyBorder="1" applyProtection="1">
      <protection locked="0"/>
    </xf>
    <xf numFmtId="37" fontId="86" fillId="25" borderId="114" xfId="0" applyNumberFormat="1" applyFont="1" applyFill="1" applyBorder="1" applyProtection="1">
      <protection locked="0"/>
    </xf>
    <xf numFmtId="172" fontId="86" fillId="25" borderId="0" xfId="0" applyNumberFormat="1" applyFont="1" applyFill="1"/>
    <xf numFmtId="173" fontId="86" fillId="25" borderId="0" xfId="0" applyNumberFormat="1" applyFont="1" applyFill="1"/>
    <xf numFmtId="37" fontId="87" fillId="25" borderId="110" xfId="0" applyNumberFormat="1" applyFont="1" applyFill="1" applyBorder="1"/>
    <xf numFmtId="172" fontId="87" fillId="25" borderId="0" xfId="0" applyNumberFormat="1" applyFont="1" applyFill="1"/>
    <xf numFmtId="37" fontId="87" fillId="25" borderId="112" xfId="0" applyNumberFormat="1" applyFont="1" applyFill="1" applyBorder="1"/>
    <xf numFmtId="173" fontId="86" fillId="25" borderId="105" xfId="0" applyNumberFormat="1" applyFont="1" applyFill="1" applyBorder="1"/>
    <xf numFmtId="37" fontId="87" fillId="27" borderId="118" xfId="0" applyNumberFormat="1" applyFont="1" applyFill="1" applyBorder="1"/>
    <xf numFmtId="37" fontId="87" fillId="27" borderId="119" xfId="0" applyNumberFormat="1" applyFont="1" applyFill="1" applyBorder="1"/>
    <xf numFmtId="37" fontId="87" fillId="27" borderId="120" xfId="0" applyNumberFormat="1" applyFont="1" applyFill="1" applyBorder="1"/>
    <xf numFmtId="37" fontId="87" fillId="27" borderId="112" xfId="0" applyNumberFormat="1" applyFont="1" applyFill="1" applyBorder="1"/>
    <xf numFmtId="39" fontId="87" fillId="27" borderId="105" xfId="0" applyNumberFormat="1" applyFont="1" applyFill="1" applyBorder="1"/>
    <xf numFmtId="171" fontId="87" fillId="25" borderId="111" xfId="0" applyNumberFormat="1" applyFont="1" applyFill="1" applyBorder="1"/>
    <xf numFmtId="37" fontId="86" fillId="25" borderId="137" xfId="0" applyNumberFormat="1" applyFont="1" applyFill="1" applyBorder="1"/>
    <xf numFmtId="172" fontId="86" fillId="25" borderId="0" xfId="0" applyNumberFormat="1" applyFont="1" applyFill="1" applyProtection="1">
      <protection locked="0"/>
    </xf>
    <xf numFmtId="172" fontId="86" fillId="25" borderId="114" xfId="0" applyNumberFormat="1" applyFont="1" applyFill="1" applyBorder="1" applyProtection="1">
      <protection locked="0"/>
    </xf>
    <xf numFmtId="172" fontId="86" fillId="25" borderId="105" xfId="0" applyNumberFormat="1" applyFont="1" applyFill="1" applyBorder="1"/>
    <xf numFmtId="37" fontId="87" fillId="27" borderId="109" xfId="0" applyNumberFormat="1" applyFont="1" applyFill="1" applyBorder="1"/>
    <xf numFmtId="172" fontId="87" fillId="27" borderId="114" xfId="0" applyNumberFormat="1" applyFont="1" applyFill="1" applyBorder="1"/>
    <xf numFmtId="37" fontId="87" fillId="27" borderId="115" xfId="0" applyNumberFormat="1" applyFont="1" applyFill="1" applyBorder="1"/>
    <xf numFmtId="37" fontId="87" fillId="26" borderId="119" xfId="0" applyNumberFormat="1" applyFont="1" applyFill="1" applyBorder="1"/>
    <xf numFmtId="171" fontId="87" fillId="26" borderId="123" xfId="0" applyNumberFormat="1" applyFont="1" applyFill="1" applyBorder="1"/>
    <xf numFmtId="171" fontId="87" fillId="27" borderId="111" xfId="0" applyNumberFormat="1" applyFont="1" applyFill="1" applyBorder="1"/>
    <xf numFmtId="0" fontId="86" fillId="25" borderId="1" xfId="0" applyFont="1" applyFill="1" applyBorder="1"/>
    <xf numFmtId="37" fontId="87" fillId="25" borderId="109" xfId="0" applyNumberFormat="1" applyFont="1" applyFill="1" applyBorder="1"/>
    <xf numFmtId="171" fontId="87" fillId="25" borderId="114" xfId="0" applyNumberFormat="1" applyFont="1" applyFill="1" applyBorder="1"/>
    <xf numFmtId="37" fontId="87" fillId="25" borderId="115" xfId="0" applyNumberFormat="1" applyFont="1" applyFill="1" applyBorder="1"/>
    <xf numFmtId="0" fontId="86" fillId="25" borderId="113" xfId="0" applyFont="1" applyFill="1" applyBorder="1"/>
    <xf numFmtId="171" fontId="86" fillId="25" borderId="0" xfId="1" applyNumberFormat="1" applyFont="1" applyFill="1"/>
    <xf numFmtId="37" fontId="86" fillId="25" borderId="116" xfId="0" applyNumberFormat="1" applyFont="1" applyFill="1" applyBorder="1" applyProtection="1">
      <protection locked="0"/>
    </xf>
    <xf numFmtId="171" fontId="86" fillId="25" borderId="55" xfId="0" applyNumberFormat="1" applyFont="1" applyFill="1" applyBorder="1"/>
    <xf numFmtId="171" fontId="87" fillId="26" borderId="119" xfId="0" applyNumberFormat="1" applyFont="1" applyFill="1" applyBorder="1"/>
    <xf numFmtId="37" fontId="87" fillId="26" borderId="140" xfId="0" applyNumberFormat="1" applyFont="1" applyFill="1" applyBorder="1"/>
    <xf numFmtId="172" fontId="87" fillId="26" borderId="141" xfId="0" applyNumberFormat="1" applyFont="1" applyFill="1" applyBorder="1"/>
    <xf numFmtId="37" fontId="87" fillId="26" borderId="142" xfId="0" applyNumberFormat="1" applyFont="1" applyFill="1" applyBorder="1"/>
    <xf numFmtId="37" fontId="87" fillId="27" borderId="110" xfId="0" applyNumberFormat="1" applyFont="1" applyFill="1" applyBorder="1"/>
    <xf numFmtId="172" fontId="87" fillId="27" borderId="0" xfId="0" applyNumberFormat="1" applyFont="1" applyFill="1"/>
    <xf numFmtId="37" fontId="87" fillId="25" borderId="0" xfId="0" applyNumberFormat="1" applyFont="1" applyFill="1"/>
    <xf numFmtId="0" fontId="86" fillId="26" borderId="143" xfId="0" applyFont="1" applyFill="1" applyBorder="1"/>
    <xf numFmtId="0" fontId="86" fillId="26" borderId="144" xfId="0" applyFont="1" applyFill="1" applyBorder="1"/>
    <xf numFmtId="37" fontId="87" fillId="26" borderId="145" xfId="0" applyNumberFormat="1" applyFont="1" applyFill="1" applyBorder="1"/>
    <xf numFmtId="37" fontId="96" fillId="25" borderId="0" xfId="0" applyNumberFormat="1" applyFont="1" applyFill="1"/>
    <xf numFmtId="0" fontId="98" fillId="25" borderId="122" xfId="0" applyFont="1" applyFill="1" applyBorder="1" applyAlignment="1">
      <alignment horizontal="center"/>
    </xf>
    <xf numFmtId="37" fontId="98" fillId="25" borderId="122" xfId="0" applyNumberFormat="1" applyFont="1" applyFill="1" applyBorder="1" applyAlignment="1">
      <alignment horizontal="center"/>
    </xf>
    <xf numFmtId="0" fontId="87" fillId="25" borderId="196" xfId="0" applyFont="1" applyFill="1" applyBorder="1"/>
    <xf numFmtId="0" fontId="87" fillId="25" borderId="197" xfId="0" applyFont="1" applyFill="1" applyBorder="1"/>
    <xf numFmtId="0" fontId="86" fillId="25" borderId="147" xfId="0" applyFont="1" applyFill="1" applyBorder="1" applyAlignment="1">
      <alignment horizontal="center"/>
    </xf>
    <xf numFmtId="0" fontId="86" fillId="25" borderId="105" xfId="0" applyFont="1" applyFill="1" applyBorder="1" applyAlignment="1">
      <alignment horizontal="center"/>
    </xf>
    <xf numFmtId="0" fontId="86" fillId="25" borderId="148" xfId="0" applyFont="1" applyFill="1" applyBorder="1" applyAlignment="1">
      <alignment horizontal="center"/>
    </xf>
    <xf numFmtId="37" fontId="90" fillId="25" borderId="147" xfId="0" applyNumberFormat="1" applyFont="1" applyFill="1" applyBorder="1"/>
    <xf numFmtId="37" fontId="90" fillId="25" borderId="105" xfId="0" applyNumberFormat="1" applyFont="1" applyFill="1" applyBorder="1"/>
    <xf numFmtId="37" fontId="90" fillId="25" borderId="148" xfId="0" applyNumberFormat="1" applyFont="1" applyFill="1" applyBorder="1"/>
    <xf numFmtId="37" fontId="103" fillId="26" borderId="147" xfId="0" applyNumberFormat="1" applyFont="1" applyFill="1" applyBorder="1"/>
    <xf numFmtId="37" fontId="103" fillId="26" borderId="105" xfId="0" applyNumberFormat="1" applyFont="1" applyFill="1" applyBorder="1"/>
    <xf numFmtId="37" fontId="103" fillId="26" borderId="148" xfId="0" applyNumberFormat="1" applyFont="1" applyFill="1" applyBorder="1"/>
    <xf numFmtId="37" fontId="90" fillId="25" borderId="72" xfId="0" applyNumberFormat="1" applyFont="1" applyFill="1" applyBorder="1"/>
    <xf numFmtId="0" fontId="90" fillId="25" borderId="0" xfId="0" applyFont="1" applyFill="1"/>
    <xf numFmtId="37" fontId="90" fillId="25" borderId="57" xfId="0" applyNumberFormat="1" applyFont="1" applyFill="1" applyBorder="1"/>
    <xf numFmtId="0" fontId="90" fillId="25" borderId="72" xfId="0" applyFont="1" applyFill="1" applyBorder="1"/>
    <xf numFmtId="172" fontId="90" fillId="25" borderId="0" xfId="0" applyNumberFormat="1" applyFont="1" applyFill="1"/>
    <xf numFmtId="0" fontId="90" fillId="25" borderId="147" xfId="0" applyFont="1" applyFill="1" applyBorder="1"/>
    <xf numFmtId="172" fontId="90" fillId="25" borderId="105" xfId="0" applyNumberFormat="1" applyFont="1" applyFill="1" applyBorder="1"/>
    <xf numFmtId="171" fontId="103" fillId="26" borderId="149" xfId="0" applyNumberFormat="1" applyFont="1" applyFill="1" applyBorder="1"/>
    <xf numFmtId="0" fontId="103" fillId="26" borderId="125" xfId="0" applyFont="1" applyFill="1" applyBorder="1"/>
    <xf numFmtId="37" fontId="103" fillId="26" borderId="150" xfId="0" applyNumberFormat="1" applyFont="1" applyFill="1" applyBorder="1"/>
    <xf numFmtId="37" fontId="90" fillId="25" borderId="57" xfId="0" applyNumberFormat="1" applyFont="1" applyFill="1" applyBorder="1" applyProtection="1">
      <protection locked="0"/>
    </xf>
    <xf numFmtId="9" fontId="90" fillId="25" borderId="105" xfId="1" applyFont="1" applyFill="1" applyBorder="1"/>
    <xf numFmtId="9" fontId="90" fillId="25" borderId="0" xfId="1" applyFont="1" applyFill="1"/>
    <xf numFmtId="172" fontId="103" fillId="26" borderId="125" xfId="0" applyNumberFormat="1" applyFont="1" applyFill="1" applyBorder="1"/>
    <xf numFmtId="0" fontId="90" fillId="25" borderId="151" xfId="0" applyFont="1" applyFill="1" applyBorder="1"/>
    <xf numFmtId="172" fontId="90" fillId="25" borderId="114" xfId="0" applyNumberFormat="1" applyFont="1" applyFill="1" applyBorder="1"/>
    <xf numFmtId="37" fontId="90" fillId="25" borderId="152" xfId="0" applyNumberFormat="1" applyFont="1" applyFill="1" applyBorder="1"/>
    <xf numFmtId="0" fontId="90" fillId="25" borderId="103" xfId="0" applyFont="1" applyFill="1" applyBorder="1"/>
    <xf numFmtId="172" fontId="90" fillId="25" borderId="55" xfId="0" applyNumberFormat="1" applyFont="1" applyFill="1" applyBorder="1"/>
    <xf numFmtId="37" fontId="90" fillId="25" borderId="65" xfId="0" applyNumberFormat="1" applyFont="1" applyFill="1" applyBorder="1"/>
    <xf numFmtId="172" fontId="90" fillId="25" borderId="1" xfId="0" applyNumberFormat="1" applyFont="1" applyFill="1" applyBorder="1"/>
    <xf numFmtId="37" fontId="90" fillId="25" borderId="148" xfId="0" applyNumberFormat="1" applyFont="1" applyFill="1" applyBorder="1" applyProtection="1">
      <protection locked="0"/>
    </xf>
    <xf numFmtId="0" fontId="123" fillId="25" borderId="72" xfId="0" applyFont="1" applyFill="1" applyBorder="1"/>
    <xf numFmtId="0" fontId="123" fillId="25" borderId="0" xfId="0" applyFont="1" applyFill="1"/>
    <xf numFmtId="37" fontId="123" fillId="25" borderId="57" xfId="0" applyNumberFormat="1" applyFont="1" applyFill="1" applyBorder="1"/>
    <xf numFmtId="171" fontId="103" fillId="25" borderId="151" xfId="0" applyNumberFormat="1" applyFont="1" applyFill="1" applyBorder="1"/>
    <xf numFmtId="0" fontId="103" fillId="25" borderId="114" xfId="0" applyFont="1" applyFill="1" applyBorder="1"/>
    <xf numFmtId="37" fontId="90" fillId="27" borderId="152" xfId="0" applyNumberFormat="1" applyFont="1" applyFill="1" applyBorder="1"/>
    <xf numFmtId="171" fontId="103" fillId="25" borderId="72" xfId="0" applyNumberFormat="1" applyFont="1" applyFill="1" applyBorder="1"/>
    <xf numFmtId="0" fontId="103" fillId="25" borderId="0" xfId="0" applyFont="1" applyFill="1"/>
    <xf numFmtId="171" fontId="103" fillId="25" borderId="147" xfId="0" applyNumberFormat="1" applyFont="1" applyFill="1" applyBorder="1"/>
    <xf numFmtId="0" fontId="90" fillId="26" borderId="125" xfId="0" applyFont="1" applyFill="1" applyBorder="1"/>
    <xf numFmtId="0" fontId="124" fillId="27" borderId="151" xfId="0" applyFont="1" applyFill="1" applyBorder="1"/>
    <xf numFmtId="0" fontId="123" fillId="27" borderId="114" xfId="0" applyFont="1" applyFill="1" applyBorder="1"/>
    <xf numFmtId="37" fontId="123" fillId="27" borderId="152" xfId="0" applyNumberFormat="1" applyFont="1" applyFill="1" applyBorder="1"/>
    <xf numFmtId="0" fontId="103" fillId="26" borderId="154" xfId="0" applyFont="1" applyFill="1" applyBorder="1" applyAlignment="1">
      <alignment horizontal="center"/>
    </xf>
    <xf numFmtId="171" fontId="103" fillId="26" borderId="144" xfId="0" applyNumberFormat="1" applyFont="1" applyFill="1" applyBorder="1"/>
    <xf numFmtId="37" fontId="103" fillId="26" borderId="155" xfId="0" applyNumberFormat="1" applyFont="1" applyFill="1" applyBorder="1"/>
    <xf numFmtId="39" fontId="90" fillId="25" borderId="0" xfId="0" applyNumberFormat="1" applyFont="1" applyFill="1"/>
    <xf numFmtId="0" fontId="103" fillId="26" borderId="158" xfId="0" applyFont="1" applyFill="1" applyBorder="1" applyAlignment="1">
      <alignment horizontal="center"/>
    </xf>
    <xf numFmtId="171" fontId="103" fillId="26" borderId="157" xfId="0" applyNumberFormat="1" applyFont="1" applyFill="1" applyBorder="1"/>
    <xf numFmtId="37" fontId="103" fillId="26" borderId="159" xfId="0" applyNumberFormat="1" applyFont="1" applyFill="1" applyBorder="1"/>
    <xf numFmtId="0" fontId="102" fillId="25" borderId="72" xfId="0" applyFont="1" applyFill="1" applyBorder="1"/>
    <xf numFmtId="0" fontId="102" fillId="25" borderId="0" xfId="0" applyFont="1" applyFill="1"/>
    <xf numFmtId="0" fontId="102" fillId="25" borderId="57" xfId="0" applyFont="1" applyFill="1" applyBorder="1"/>
    <xf numFmtId="0" fontId="98" fillId="25" borderId="72" xfId="0" applyFont="1" applyFill="1" applyBorder="1"/>
    <xf numFmtId="0" fontId="86" fillId="25" borderId="72" xfId="0" applyFont="1" applyFill="1" applyBorder="1"/>
    <xf numFmtId="0" fontId="87" fillId="25" borderId="72" xfId="0" applyFont="1" applyFill="1" applyBorder="1"/>
    <xf numFmtId="0" fontId="103" fillId="26" borderId="164" xfId="0" applyFont="1" applyFill="1" applyBorder="1" applyAlignment="1">
      <alignment horizontal="center"/>
    </xf>
    <xf numFmtId="171" fontId="103" fillId="26" borderId="163" xfId="0" applyNumberFormat="1" applyFont="1" applyFill="1" applyBorder="1"/>
    <xf numFmtId="37" fontId="103" fillId="26" borderId="165" xfId="0" applyNumberFormat="1" applyFont="1" applyFill="1" applyBorder="1"/>
    <xf numFmtId="39" fontId="58" fillId="0" borderId="0" xfId="0" applyNumberFormat="1" applyFont="1"/>
    <xf numFmtId="0" fontId="125" fillId="0" borderId="1" xfId="22" applyFont="1"/>
    <xf numFmtId="0" fontId="31" fillId="0" borderId="1" xfId="22"/>
    <xf numFmtId="0" fontId="126" fillId="0" borderId="1" xfId="22" applyFont="1"/>
    <xf numFmtId="0" fontId="127" fillId="0" borderId="1" xfId="22" applyFont="1" applyAlignment="1">
      <alignment horizontal="center"/>
    </xf>
    <xf numFmtId="0" fontId="31" fillId="0" borderId="1" xfId="22" applyAlignment="1">
      <alignment horizontal="center"/>
    </xf>
    <xf numFmtId="0" fontId="114" fillId="0" borderId="1" xfId="22" applyFont="1" applyAlignment="1">
      <alignment horizontal="center"/>
    </xf>
    <xf numFmtId="0" fontId="114" fillId="18" borderId="200" xfId="22" applyFont="1" applyFill="1" applyBorder="1" applyAlignment="1">
      <alignment horizontal="center" vertical="center" wrapText="1"/>
    </xf>
    <xf numFmtId="0" fontId="114" fillId="18" borderId="201" xfId="22" applyFont="1" applyFill="1" applyBorder="1" applyAlignment="1">
      <alignment horizontal="center" vertical="center" wrapText="1"/>
    </xf>
    <xf numFmtId="0" fontId="114" fillId="18" borderId="202" xfId="22" applyFont="1" applyFill="1" applyBorder="1" applyAlignment="1">
      <alignment horizontal="center" vertical="center" wrapText="1"/>
    </xf>
    <xf numFmtId="0" fontId="114" fillId="18" borderId="199" xfId="22" applyFont="1" applyFill="1" applyBorder="1" applyAlignment="1">
      <alignment horizontal="center" vertical="center" wrapText="1"/>
    </xf>
    <xf numFmtId="0" fontId="114" fillId="0" borderId="1" xfId="22" applyFont="1"/>
    <xf numFmtId="167" fontId="115" fillId="11" borderId="204" xfId="22" applyNumberFormat="1" applyFont="1" applyFill="1" applyBorder="1" applyAlignment="1">
      <alignment horizontal="center" vertical="center"/>
    </xf>
    <xf numFmtId="167" fontId="115" fillId="11" borderId="206" xfId="22" applyNumberFormat="1" applyFont="1" applyFill="1" applyBorder="1" applyAlignment="1">
      <alignment horizontal="center" vertical="center"/>
    </xf>
    <xf numFmtId="0" fontId="115" fillId="11" borderId="205" xfId="22" applyFont="1" applyFill="1" applyBorder="1" applyAlignment="1">
      <alignment horizontal="center" vertical="center"/>
    </xf>
    <xf numFmtId="3" fontId="114" fillId="11" borderId="204" xfId="22" applyNumberFormat="1" applyFont="1" applyFill="1" applyBorder="1" applyAlignment="1">
      <alignment horizontal="center" vertical="center"/>
    </xf>
    <xf numFmtId="3" fontId="114" fillId="11" borderId="206" xfId="22" applyNumberFormat="1" applyFont="1" applyFill="1" applyBorder="1" applyAlignment="1">
      <alignment horizontal="center" vertical="center"/>
    </xf>
    <xf numFmtId="0" fontId="31" fillId="11" borderId="207" xfId="22" applyFill="1" applyBorder="1" applyAlignment="1">
      <alignment wrapText="1"/>
    </xf>
    <xf numFmtId="0" fontId="31" fillId="0" borderId="199" xfId="22" applyBorder="1" applyAlignment="1" applyProtection="1">
      <alignment horizontal="center" vertical="center" wrapText="1"/>
      <protection locked="0"/>
    </xf>
    <xf numFmtId="0" fontId="31" fillId="0" borderId="199" xfId="22" applyBorder="1" applyAlignment="1">
      <alignment horizontal="center" vertical="center"/>
    </xf>
    <xf numFmtId="0" fontId="31" fillId="0" borderId="202" xfId="22" applyBorder="1" applyAlignment="1" applyProtection="1">
      <alignment horizontal="center" vertical="center" wrapText="1"/>
      <protection locked="0"/>
    </xf>
    <xf numFmtId="0" fontId="31" fillId="0" borderId="167" xfId="22" applyBorder="1" applyAlignment="1" applyProtection="1">
      <alignment horizontal="center" vertical="center" wrapText="1"/>
      <protection locked="0"/>
    </xf>
    <xf numFmtId="37" fontId="31" fillId="0" borderId="1" xfId="22" applyNumberFormat="1" applyAlignment="1" applyProtection="1">
      <alignment horizontal="center" vertical="center"/>
      <protection locked="0"/>
    </xf>
    <xf numFmtId="37" fontId="31" fillId="0" borderId="208" xfId="22" applyNumberFormat="1" applyBorder="1" applyAlignment="1" applyProtection="1">
      <alignment horizontal="center" vertical="center"/>
      <protection locked="0"/>
    </xf>
    <xf numFmtId="0" fontId="31" fillId="0" borderId="209" xfId="22" applyBorder="1" applyAlignment="1" applyProtection="1">
      <alignment horizontal="center" vertical="center" wrapText="1"/>
      <protection locked="0"/>
    </xf>
    <xf numFmtId="0" fontId="31" fillId="0" borderId="209" xfId="22" applyBorder="1" applyAlignment="1">
      <alignment horizontal="center" vertical="center"/>
    </xf>
    <xf numFmtId="0" fontId="31" fillId="0" borderId="208" xfId="22" applyBorder="1" applyAlignment="1" applyProtection="1">
      <alignment horizontal="center" vertical="center" wrapText="1"/>
      <protection locked="0"/>
    </xf>
    <xf numFmtId="0" fontId="31" fillId="0" borderId="203" xfId="22" applyBorder="1" applyAlignment="1" applyProtection="1">
      <alignment horizontal="center" vertical="center" wrapText="1"/>
      <protection locked="0"/>
    </xf>
    <xf numFmtId="0" fontId="31" fillId="0" borderId="203" xfId="22" applyBorder="1" applyAlignment="1">
      <alignment horizontal="center" vertical="center"/>
    </xf>
    <xf numFmtId="0" fontId="31" fillId="0" borderId="210" xfId="22" applyBorder="1" applyAlignment="1" applyProtection="1">
      <alignment horizontal="center" vertical="center" wrapText="1"/>
      <protection locked="0"/>
    </xf>
    <xf numFmtId="0" fontId="31" fillId="0" borderId="211" xfId="22" applyBorder="1" applyAlignment="1" applyProtection="1">
      <alignment horizontal="center" vertical="center" wrapText="1"/>
      <protection locked="0"/>
    </xf>
    <xf numFmtId="37" fontId="31" fillId="0" borderId="210" xfId="22" applyNumberFormat="1" applyBorder="1" applyAlignment="1" applyProtection="1">
      <alignment horizontal="center" vertical="center"/>
      <protection locked="0"/>
    </xf>
    <xf numFmtId="37" fontId="31" fillId="0" borderId="212" xfId="22" applyNumberFormat="1" applyBorder="1" applyAlignment="1" applyProtection="1">
      <alignment horizontal="center" vertical="center"/>
      <protection locked="0"/>
    </xf>
    <xf numFmtId="0" fontId="31" fillId="0" borderId="1" xfId="22" applyAlignment="1">
      <alignment horizontal="center" wrapText="1"/>
    </xf>
    <xf numFmtId="0" fontId="31" fillId="0" borderId="1" xfId="22" applyAlignment="1">
      <alignment wrapText="1"/>
    </xf>
    <xf numFmtId="167" fontId="41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68" fillId="0" borderId="0" xfId="0" applyNumberFormat="1" applyFont="1" applyAlignment="1">
      <alignment horizontal="center"/>
    </xf>
    <xf numFmtId="177" fontId="68" fillId="0" borderId="0" xfId="0" applyNumberFormat="1" applyFont="1"/>
    <xf numFmtId="1" fontId="70" fillId="0" borderId="0" xfId="0" applyNumberFormat="1" applyFont="1"/>
    <xf numFmtId="10" fontId="70" fillId="0" borderId="0" xfId="0" applyNumberFormat="1" applyFont="1"/>
    <xf numFmtId="177" fontId="70" fillId="0" borderId="0" xfId="0" applyNumberFormat="1" applyFont="1"/>
    <xf numFmtId="0" fontId="29" fillId="0" borderId="209" xfId="22" applyFont="1" applyBorder="1" applyAlignment="1" applyProtection="1">
      <alignment horizontal="center" vertical="center" wrapText="1"/>
      <protection locked="0"/>
    </xf>
    <xf numFmtId="10" fontId="60" fillId="0" borderId="15" xfId="0" applyNumberFormat="1" applyFont="1" applyBorder="1"/>
    <xf numFmtId="49" fontId="27" fillId="12" borderId="1" xfId="12" applyNumberFormat="1" applyFont="1" applyFill="1" applyAlignment="1">
      <alignment horizontal="left" vertical="center"/>
    </xf>
    <xf numFmtId="0" fontId="125" fillId="0" borderId="1" xfId="32" applyFont="1"/>
    <xf numFmtId="0" fontId="25" fillId="0" borderId="1" xfId="32"/>
    <xf numFmtId="0" fontId="126" fillId="0" borderId="1" xfId="32" applyFont="1"/>
    <xf numFmtId="0" fontId="127" fillId="0" borderId="1" xfId="32" applyFont="1" applyAlignment="1">
      <alignment horizontal="center"/>
    </xf>
    <xf numFmtId="0" fontId="25" fillId="0" borderId="1" xfId="32" applyAlignment="1">
      <alignment horizontal="center"/>
    </xf>
    <xf numFmtId="0" fontId="114" fillId="0" borderId="1" xfId="32" applyFont="1" applyAlignment="1">
      <alignment horizontal="center"/>
    </xf>
    <xf numFmtId="0" fontId="128" fillId="18" borderId="200" xfId="32" applyFont="1" applyFill="1" applyBorder="1" applyAlignment="1">
      <alignment horizontal="center" vertical="center" wrapText="1"/>
    </xf>
    <xf numFmtId="0" fontId="128" fillId="18" borderId="201" xfId="32" applyFont="1" applyFill="1" applyBorder="1" applyAlignment="1">
      <alignment horizontal="center" vertical="center" wrapText="1"/>
    </xf>
    <xf numFmtId="0" fontId="128" fillId="18" borderId="202" xfId="32" applyFont="1" applyFill="1" applyBorder="1" applyAlignment="1">
      <alignment horizontal="center" vertical="center" wrapText="1"/>
    </xf>
    <xf numFmtId="0" fontId="128" fillId="18" borderId="199" xfId="32" applyFont="1" applyFill="1" applyBorder="1" applyAlignment="1">
      <alignment horizontal="center" vertical="center" wrapText="1"/>
    </xf>
    <xf numFmtId="0" fontId="114" fillId="0" borderId="1" xfId="32" applyFont="1"/>
    <xf numFmtId="167" fontId="128" fillId="11" borderId="204" xfId="32" applyNumberFormat="1" applyFont="1" applyFill="1" applyBorder="1" applyAlignment="1">
      <alignment horizontal="center" vertical="center"/>
    </xf>
    <xf numFmtId="167" fontId="128" fillId="11" borderId="206" xfId="32" applyNumberFormat="1" applyFont="1" applyFill="1" applyBorder="1" applyAlignment="1">
      <alignment horizontal="center" vertical="center"/>
    </xf>
    <xf numFmtId="0" fontId="128" fillId="11" borderId="205" xfId="32" applyFont="1" applyFill="1" applyBorder="1" applyAlignment="1">
      <alignment horizontal="center" vertical="center"/>
    </xf>
    <xf numFmtId="3" fontId="128" fillId="11" borderId="204" xfId="32" applyNumberFormat="1" applyFont="1" applyFill="1" applyBorder="1" applyAlignment="1">
      <alignment horizontal="center" vertical="center"/>
    </xf>
    <xf numFmtId="3" fontId="128" fillId="11" borderId="206" xfId="32" applyNumberFormat="1" applyFont="1" applyFill="1" applyBorder="1" applyAlignment="1">
      <alignment horizontal="center" vertical="center"/>
    </xf>
    <xf numFmtId="0" fontId="128" fillId="11" borderId="207" xfId="32" applyFont="1" applyFill="1" applyBorder="1" applyAlignment="1">
      <alignment wrapText="1"/>
    </xf>
    <xf numFmtId="0" fontId="25" fillId="0" borderId="1" xfId="32" applyAlignment="1" applyProtection="1">
      <alignment horizontal="center" vertical="center" wrapText="1"/>
      <protection locked="0"/>
    </xf>
    <xf numFmtId="0" fontId="128" fillId="0" borderId="221" xfId="32" applyFont="1" applyBorder="1" applyAlignment="1">
      <alignment horizontal="center" vertical="center"/>
    </xf>
    <xf numFmtId="0" fontId="128" fillId="0" borderId="213" xfId="32" applyFont="1" applyBorder="1" applyAlignment="1" applyProtection="1">
      <alignment horizontal="center" vertical="center" wrapText="1"/>
      <protection locked="0"/>
    </xf>
    <xf numFmtId="0" fontId="128" fillId="0" borderId="215" xfId="32" applyFont="1" applyBorder="1" applyAlignment="1" applyProtection="1">
      <alignment horizontal="center" vertical="center" wrapText="1"/>
      <protection locked="0"/>
    </xf>
    <xf numFmtId="37" fontId="128" fillId="0" borderId="213" xfId="32" applyNumberFormat="1" applyFont="1" applyBorder="1" applyAlignment="1" applyProtection="1">
      <alignment horizontal="center" vertical="center"/>
      <protection locked="0"/>
    </xf>
    <xf numFmtId="37" fontId="128" fillId="0" borderId="214" xfId="32" applyNumberFormat="1" applyFont="1" applyBorder="1" applyAlignment="1" applyProtection="1">
      <alignment horizontal="center" vertical="center"/>
      <protection locked="0"/>
    </xf>
    <xf numFmtId="37" fontId="128" fillId="0" borderId="215" xfId="32" applyNumberFormat="1" applyFont="1" applyBorder="1" applyAlignment="1" applyProtection="1">
      <alignment horizontal="center" vertical="center"/>
      <protection locked="0"/>
    </xf>
    <xf numFmtId="0" fontId="128" fillId="0" borderId="221" xfId="32" applyFont="1" applyBorder="1" applyAlignment="1" applyProtection="1">
      <alignment horizontal="center" vertical="center" wrapText="1"/>
      <protection locked="0"/>
    </xf>
    <xf numFmtId="0" fontId="128" fillId="0" borderId="222" xfId="32" applyFont="1" applyBorder="1" applyAlignment="1">
      <alignment horizontal="center" vertical="center"/>
    </xf>
    <xf numFmtId="0" fontId="128" fillId="0" borderId="216" xfId="32" applyFont="1" applyBorder="1" applyAlignment="1" applyProtection="1">
      <alignment horizontal="center" vertical="center" wrapText="1"/>
      <protection locked="0"/>
    </xf>
    <xf numFmtId="0" fontId="128" fillId="0" borderId="217" xfId="32" applyFont="1" applyBorder="1" applyAlignment="1" applyProtection="1">
      <alignment horizontal="center" vertical="center" wrapText="1"/>
      <protection locked="0"/>
    </xf>
    <xf numFmtId="37" fontId="128" fillId="0" borderId="216" xfId="32" applyNumberFormat="1" applyFont="1" applyBorder="1" applyAlignment="1" applyProtection="1">
      <alignment horizontal="center" vertical="center"/>
      <protection locked="0"/>
    </xf>
    <xf numFmtId="37" fontId="128" fillId="0" borderId="131" xfId="32" applyNumberFormat="1" applyFont="1" applyBorder="1" applyAlignment="1" applyProtection="1">
      <alignment horizontal="center" vertical="center"/>
      <protection locked="0"/>
    </xf>
    <xf numFmtId="37" fontId="128" fillId="0" borderId="217" xfId="32" applyNumberFormat="1" applyFont="1" applyBorder="1" applyAlignment="1" applyProtection="1">
      <alignment horizontal="center" vertical="center"/>
      <protection locked="0"/>
    </xf>
    <xf numFmtId="0" fontId="128" fillId="0" borderId="222" xfId="32" applyFont="1" applyBorder="1" applyAlignment="1" applyProtection="1">
      <alignment horizontal="center" vertical="center" wrapText="1"/>
      <protection locked="0"/>
    </xf>
    <xf numFmtId="0" fontId="128" fillId="0" borderId="223" xfId="32" applyFont="1" applyBorder="1" applyAlignment="1">
      <alignment horizontal="center" vertical="center"/>
    </xf>
    <xf numFmtId="0" fontId="128" fillId="0" borderId="218" xfId="32" applyFont="1" applyBorder="1" applyAlignment="1" applyProtection="1">
      <alignment horizontal="center" vertical="center" wrapText="1"/>
      <protection locked="0"/>
    </xf>
    <xf numFmtId="0" fontId="128" fillId="0" borderId="220" xfId="32" applyFont="1" applyBorder="1" applyAlignment="1" applyProtection="1">
      <alignment horizontal="center" vertical="center" wrapText="1"/>
      <protection locked="0"/>
    </xf>
    <xf numFmtId="37" fontId="128" fillId="0" borderId="218" xfId="32" applyNumberFormat="1" applyFont="1" applyBorder="1" applyAlignment="1" applyProtection="1">
      <alignment horizontal="center" vertical="center"/>
      <protection locked="0"/>
    </xf>
    <xf numFmtId="37" fontId="128" fillId="0" borderId="219" xfId="32" applyNumberFormat="1" applyFont="1" applyBorder="1" applyAlignment="1" applyProtection="1">
      <alignment horizontal="center" vertical="center"/>
      <protection locked="0"/>
    </xf>
    <xf numFmtId="37" fontId="128" fillId="0" borderId="220" xfId="32" applyNumberFormat="1" applyFont="1" applyBorder="1" applyAlignment="1" applyProtection="1">
      <alignment horizontal="center" vertical="center"/>
      <protection locked="0"/>
    </xf>
    <xf numFmtId="0" fontId="128" fillId="0" borderId="223" xfId="32" applyFont="1" applyBorder="1" applyAlignment="1" applyProtection="1">
      <alignment horizontal="center" vertical="center" wrapText="1"/>
      <protection locked="0"/>
    </xf>
    <xf numFmtId="0" fontId="25" fillId="0" borderId="209" xfId="32" applyBorder="1" applyAlignment="1">
      <alignment horizontal="center" vertical="center"/>
    </xf>
    <xf numFmtId="0" fontId="25" fillId="0" borderId="208" xfId="32" applyBorder="1" applyAlignment="1" applyProtection="1">
      <alignment horizontal="center" vertical="center" wrapText="1"/>
      <protection locked="0"/>
    </xf>
    <xf numFmtId="0" fontId="25" fillId="0" borderId="167" xfId="32" applyBorder="1" applyAlignment="1" applyProtection="1">
      <alignment horizontal="center" vertical="center" wrapText="1"/>
      <protection locked="0"/>
    </xf>
    <xf numFmtId="37" fontId="25" fillId="0" borderId="208" xfId="32" applyNumberFormat="1" applyBorder="1" applyAlignment="1" applyProtection="1">
      <alignment horizontal="center" vertical="center"/>
      <protection locked="0"/>
    </xf>
    <xf numFmtId="37" fontId="25" fillId="0" borderId="1" xfId="32" applyNumberFormat="1" applyAlignment="1" applyProtection="1">
      <alignment horizontal="center" vertical="center"/>
      <protection locked="0"/>
    </xf>
    <xf numFmtId="0" fontId="25" fillId="0" borderId="209" xfId="32" applyBorder="1" applyAlignment="1" applyProtection="1">
      <alignment horizontal="center" vertical="center" wrapText="1"/>
      <protection locked="0"/>
    </xf>
    <xf numFmtId="0" fontId="25" fillId="0" borderId="203" xfId="32" applyBorder="1" applyAlignment="1">
      <alignment horizontal="center" vertical="center"/>
    </xf>
    <xf numFmtId="0" fontId="25" fillId="0" borderId="210" xfId="32" applyBorder="1" applyAlignment="1" applyProtection="1">
      <alignment horizontal="center" vertical="center" wrapText="1"/>
      <protection locked="0"/>
    </xf>
    <xf numFmtId="0" fontId="25" fillId="0" borderId="211" xfId="32" applyBorder="1" applyAlignment="1" applyProtection="1">
      <alignment horizontal="center" vertical="center" wrapText="1"/>
      <protection locked="0"/>
    </xf>
    <xf numFmtId="37" fontId="25" fillId="0" borderId="210" xfId="32" applyNumberFormat="1" applyBorder="1" applyAlignment="1" applyProtection="1">
      <alignment horizontal="center" vertical="center"/>
      <protection locked="0"/>
    </xf>
    <xf numFmtId="37" fontId="25" fillId="0" borderId="212" xfId="32" applyNumberFormat="1" applyBorder="1" applyAlignment="1" applyProtection="1">
      <alignment horizontal="center" vertical="center"/>
      <protection locked="0"/>
    </xf>
    <xf numFmtId="0" fontId="25" fillId="0" borderId="203" xfId="32" applyBorder="1" applyAlignment="1" applyProtection="1">
      <alignment horizontal="center" vertical="center" wrapText="1"/>
      <protection locked="0"/>
    </xf>
    <xf numFmtId="0" fontId="25" fillId="0" borderId="1" xfId="32" applyAlignment="1">
      <alignment horizontal="center" wrapText="1"/>
    </xf>
    <xf numFmtId="0" fontId="25" fillId="0" borderId="1" xfId="32" applyAlignment="1">
      <alignment wrapText="1"/>
    </xf>
    <xf numFmtId="0" fontId="24" fillId="0" borderId="208" xfId="22" applyFont="1" applyBorder="1" applyAlignment="1" applyProtection="1">
      <alignment horizontal="center" vertical="center" wrapText="1"/>
      <protection locked="0"/>
    </xf>
    <xf numFmtId="2" fontId="121" fillId="0" borderId="1" xfId="20" applyNumberFormat="1" applyAlignment="1">
      <alignment horizontal="center" vertical="center"/>
    </xf>
    <xf numFmtId="0" fontId="81" fillId="24" borderId="0" xfId="0" applyFont="1" applyFill="1" applyAlignment="1">
      <alignment horizontal="left" vertical="top"/>
    </xf>
    <xf numFmtId="0" fontId="85" fillId="0" borderId="1" xfId="10"/>
    <xf numFmtId="0" fontId="85" fillId="0" borderId="1" xfId="10" applyAlignment="1">
      <alignment horizontal="center"/>
    </xf>
    <xf numFmtId="0" fontId="59" fillId="0" borderId="0" xfId="0" quotePrefix="1" applyFont="1"/>
    <xf numFmtId="10" fontId="69" fillId="0" borderId="0" xfId="0" applyNumberFormat="1" applyFont="1"/>
    <xf numFmtId="0" fontId="68" fillId="0" borderId="0" xfId="0" quotePrefix="1" applyFont="1"/>
    <xf numFmtId="0" fontId="60" fillId="3" borderId="227" xfId="0" applyFont="1" applyFill="1" applyBorder="1"/>
    <xf numFmtId="37" fontId="61" fillId="3" borderId="228" xfId="0" applyNumberFormat="1" applyFont="1" applyFill="1" applyBorder="1"/>
    <xf numFmtId="1" fontId="68" fillId="0" borderId="0" xfId="0" quotePrefix="1" applyNumberFormat="1" applyFont="1"/>
    <xf numFmtId="0" fontId="19" fillId="0" borderId="208" xfId="22" applyFont="1" applyBorder="1" applyAlignment="1" applyProtection="1">
      <alignment horizontal="center" vertical="center" wrapText="1"/>
      <protection locked="0"/>
    </xf>
    <xf numFmtId="49" fontId="17" fillId="12" borderId="1" xfId="12" applyNumberFormat="1" applyFont="1" applyFill="1" applyAlignment="1">
      <alignment horizontal="left" vertical="center"/>
    </xf>
    <xf numFmtId="0" fontId="15" fillId="0" borderId="167" xfId="22" applyFont="1" applyBorder="1" applyAlignment="1" applyProtection="1">
      <alignment horizontal="center" vertical="center" wrapText="1"/>
      <protection locked="0"/>
    </xf>
    <xf numFmtId="0" fontId="15" fillId="0" borderId="208" xfId="22" applyFont="1" applyBorder="1" applyAlignment="1" applyProtection="1">
      <alignment horizontal="center" vertical="center" wrapText="1"/>
      <protection locked="0"/>
    </xf>
    <xf numFmtId="9" fontId="114" fillId="23" borderId="229" xfId="4" applyFont="1" applyFill="1" applyBorder="1" applyAlignment="1">
      <alignment horizontal="center"/>
    </xf>
    <xf numFmtId="9" fontId="41" fillId="0" borderId="230" xfId="4" applyFont="1" applyFill="1" applyBorder="1" applyAlignment="1">
      <alignment horizontal="center"/>
    </xf>
    <xf numFmtId="9" fontId="41" fillId="23" borderId="230" xfId="4" applyFont="1" applyFill="1" applyBorder="1" applyAlignment="1">
      <alignment horizontal="center"/>
    </xf>
    <xf numFmtId="9" fontId="41" fillId="0" borderId="231" xfId="4" applyFont="1" applyFill="1" applyBorder="1" applyAlignment="1">
      <alignment horizontal="center"/>
    </xf>
    <xf numFmtId="9" fontId="41" fillId="0" borderId="230" xfId="4" applyFont="1" applyBorder="1" applyAlignment="1">
      <alignment horizontal="center"/>
    </xf>
    <xf numFmtId="9" fontId="41" fillId="0" borderId="232" xfId="4" applyFont="1" applyBorder="1" applyAlignment="1">
      <alignment horizontal="center"/>
    </xf>
    <xf numFmtId="0" fontId="114" fillId="17" borderId="173" xfId="3" applyFont="1" applyFill="1" applyBorder="1" applyAlignment="1">
      <alignment horizontal="center"/>
    </xf>
    <xf numFmtId="9" fontId="41" fillId="0" borderId="231" xfId="4" applyFont="1" applyBorder="1" applyAlignment="1">
      <alignment horizontal="center"/>
    </xf>
    <xf numFmtId="0" fontId="114" fillId="16" borderId="173" xfId="3" applyFont="1" applyFill="1" applyBorder="1" applyAlignment="1">
      <alignment horizontal="center"/>
    </xf>
    <xf numFmtId="9" fontId="114" fillId="23" borderId="230" xfId="4" applyFont="1" applyFill="1" applyBorder="1" applyAlignment="1">
      <alignment horizontal="center"/>
    </xf>
    <xf numFmtId="0" fontId="114" fillId="11" borderId="173" xfId="3" applyFont="1" applyFill="1" applyBorder="1" applyAlignment="1">
      <alignment horizontal="center"/>
    </xf>
    <xf numFmtId="9" fontId="41" fillId="0" borderId="232" xfId="4" applyFont="1" applyFill="1" applyBorder="1" applyAlignment="1">
      <alignment horizontal="center"/>
    </xf>
    <xf numFmtId="0" fontId="114" fillId="18" borderId="173" xfId="3" applyFont="1" applyFill="1" applyBorder="1" applyAlignment="1">
      <alignment horizontal="center"/>
    </xf>
    <xf numFmtId="0" fontId="114" fillId="21" borderId="173" xfId="3" applyFont="1" applyFill="1" applyBorder="1" applyAlignment="1">
      <alignment horizontal="center"/>
    </xf>
    <xf numFmtId="0" fontId="14" fillId="0" borderId="1" xfId="55"/>
    <xf numFmtId="2" fontId="131" fillId="0" borderId="1" xfId="55" applyNumberFormat="1" applyFont="1" applyAlignment="1">
      <alignment horizontal="center"/>
    </xf>
    <xf numFmtId="0" fontId="131" fillId="0" borderId="1" xfId="55" applyFont="1"/>
    <xf numFmtId="2" fontId="14" fillId="0" borderId="1" xfId="55" applyNumberFormat="1" applyAlignment="1">
      <alignment horizontal="center"/>
    </xf>
    <xf numFmtId="0" fontId="132" fillId="0" borderId="1" xfId="55" applyFont="1"/>
    <xf numFmtId="2" fontId="114" fillId="21" borderId="129" xfId="55" applyNumberFormat="1" applyFont="1" applyFill="1" applyBorder="1" applyAlignment="1">
      <alignment horizontal="center"/>
    </xf>
    <xf numFmtId="2" fontId="114" fillId="21" borderId="170" xfId="55" applyNumberFormat="1" applyFont="1" applyFill="1" applyBorder="1" applyAlignment="1">
      <alignment horizontal="center"/>
    </xf>
    <xf numFmtId="0" fontId="14" fillId="0" borderId="55" xfId="55" applyBorder="1"/>
    <xf numFmtId="0" fontId="14" fillId="0" borderId="172" xfId="55" applyBorder="1"/>
    <xf numFmtId="0" fontId="114" fillId="0" borderId="173" xfId="56" applyFont="1" applyBorder="1"/>
    <xf numFmtId="0" fontId="14" fillId="25" borderId="171" xfId="55" applyFill="1" applyBorder="1"/>
    <xf numFmtId="37" fontId="114" fillId="0" borderId="129" xfId="55" applyNumberFormat="1" applyFont="1" applyBorder="1" applyAlignment="1">
      <alignment horizontal="center"/>
    </xf>
    <xf numFmtId="37" fontId="114" fillId="0" borderId="170" xfId="55" applyNumberFormat="1" applyFont="1" applyBorder="1" applyAlignment="1">
      <alignment horizontal="center"/>
    </xf>
    <xf numFmtId="171" fontId="114" fillId="0" borderId="170" xfId="57" applyNumberFormat="1" applyFont="1" applyBorder="1" applyAlignment="1">
      <alignment horizontal="center"/>
    </xf>
    <xf numFmtId="0" fontId="130" fillId="0" borderId="1" xfId="55" applyFont="1"/>
    <xf numFmtId="0" fontId="14" fillId="0" borderId="173" xfId="55" applyBorder="1"/>
    <xf numFmtId="0" fontId="14" fillId="0" borderId="171" xfId="55" applyBorder="1"/>
    <xf numFmtId="37" fontId="0" fillId="0" borderId="225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24" xfId="58" applyNumberFormat="1" applyFont="1" applyBorder="1" applyAlignment="1">
      <alignment horizontal="center"/>
    </xf>
    <xf numFmtId="171" fontId="0" fillId="0" borderId="233" xfId="57" applyNumberFormat="1" applyFont="1" applyBorder="1" applyAlignment="1">
      <alignment horizontal="center" vertical="center"/>
    </xf>
    <xf numFmtId="37" fontId="0" fillId="0" borderId="234" xfId="58" applyNumberFormat="1" applyFont="1" applyBorder="1" applyAlignment="1">
      <alignment horizontal="center"/>
    </xf>
    <xf numFmtId="0" fontId="14" fillId="0" borderId="171" xfId="55" applyBorder="1" applyAlignment="1">
      <alignment horizontal="left"/>
    </xf>
    <xf numFmtId="37" fontId="14" fillId="0" borderId="225" xfId="55" applyNumberFormat="1" applyBorder="1" applyAlignment="1">
      <alignment horizontal="center"/>
    </xf>
    <xf numFmtId="37" fontId="14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14" fillId="0" borderId="171" xfId="55" applyFont="1" applyBorder="1"/>
    <xf numFmtId="37" fontId="114" fillId="0" borderId="225" xfId="58" applyNumberFormat="1" applyFont="1" applyBorder="1" applyAlignment="1">
      <alignment horizontal="center"/>
    </xf>
    <xf numFmtId="37" fontId="114" fillId="0" borderId="172" xfId="58" applyNumberFormat="1" applyFont="1" applyBorder="1" applyAlignment="1">
      <alignment horizontal="center"/>
    </xf>
    <xf numFmtId="171" fontId="0" fillId="0" borderId="225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14" fillId="0" borderId="173" xfId="55" applyBorder="1" applyAlignment="1">
      <alignment horizontal="left"/>
    </xf>
    <xf numFmtId="37" fontId="0" fillId="0" borderId="233" xfId="58" applyNumberFormat="1" applyFont="1" applyFill="1" applyBorder="1" applyAlignment="1">
      <alignment horizontal="center"/>
    </xf>
    <xf numFmtId="0" fontId="130" fillId="0" borderId="225" xfId="55" applyFont="1" applyBorder="1"/>
    <xf numFmtId="171" fontId="0" fillId="0" borderId="226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33" xfId="58" applyNumberFormat="1" applyFont="1" applyBorder="1" applyAlignment="1">
      <alignment horizontal="center"/>
    </xf>
    <xf numFmtId="0" fontId="14" fillId="0" borderId="174" xfId="55" applyBorder="1" applyAlignment="1">
      <alignment horizontal="left"/>
    </xf>
    <xf numFmtId="0" fontId="14" fillId="0" borderId="225" xfId="55" applyBorder="1"/>
    <xf numFmtId="171" fontId="0" fillId="0" borderId="175" xfId="57" applyNumberFormat="1" applyFont="1" applyBorder="1" applyAlignment="1">
      <alignment horizontal="center"/>
    </xf>
    <xf numFmtId="2" fontId="14" fillId="0" borderId="175" xfId="55" applyNumberFormat="1" applyBorder="1" applyAlignment="1">
      <alignment horizontal="center"/>
    </xf>
    <xf numFmtId="0" fontId="14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14" fillId="0" borderId="226" xfId="58" applyNumberFormat="1" applyFont="1" applyBorder="1" applyAlignment="1">
      <alignment horizontal="center"/>
    </xf>
    <xf numFmtId="37" fontId="133" fillId="0" borderId="234" xfId="58" applyNumberFormat="1" applyFont="1" applyBorder="1" applyAlignment="1">
      <alignment horizontal="center"/>
    </xf>
    <xf numFmtId="0" fontId="114" fillId="0" borderId="174" xfId="55" applyFont="1" applyBorder="1"/>
    <xf numFmtId="37" fontId="114" fillId="0" borderId="175" xfId="58" applyNumberFormat="1" applyFont="1" applyBorder="1" applyAlignment="1">
      <alignment horizontal="center"/>
    </xf>
    <xf numFmtId="0" fontId="129" fillId="0" borderId="1" xfId="55" applyFont="1"/>
    <xf numFmtId="0" fontId="14" fillId="25" borderId="169" xfId="55" applyFill="1" applyBorder="1"/>
    <xf numFmtId="0" fontId="114" fillId="0" borderId="1" xfId="55" applyFont="1"/>
    <xf numFmtId="0" fontId="14" fillId="0" borderId="1" xfId="55" applyAlignment="1">
      <alignment horizontal="center"/>
    </xf>
    <xf numFmtId="2" fontId="129" fillId="0" borderId="1" xfId="55" applyNumberFormat="1" applyFont="1" applyAlignment="1">
      <alignment horizontal="center"/>
    </xf>
    <xf numFmtId="2" fontId="14" fillId="0" borderId="1" xfId="55" applyNumberFormat="1"/>
    <xf numFmtId="1" fontId="50" fillId="12" borderId="174" xfId="55" applyNumberFormat="1" applyFont="1" applyFill="1" applyBorder="1" applyAlignment="1">
      <alignment horizontal="left" vertical="top"/>
    </xf>
    <xf numFmtId="178" fontId="14" fillId="24" borderId="1" xfId="55" applyNumberFormat="1" applyFill="1" applyAlignment="1">
      <alignment horizontal="center"/>
    </xf>
    <xf numFmtId="0" fontId="114" fillId="0" borderId="1" xfId="55" applyFont="1" applyAlignment="1">
      <alignment horizontal="center" vertical="center"/>
    </xf>
    <xf numFmtId="0" fontId="114" fillId="0" borderId="173" xfId="55" applyFont="1" applyBorder="1" applyAlignment="1">
      <alignment horizontal="center" vertical="center"/>
    </xf>
    <xf numFmtId="0" fontId="114" fillId="0" borderId="169" xfId="55" applyFont="1" applyBorder="1" applyAlignment="1">
      <alignment horizontal="center" vertical="center"/>
    </xf>
    <xf numFmtId="0" fontId="114" fillId="0" borderId="169" xfId="55" applyFont="1" applyBorder="1" applyAlignment="1">
      <alignment horizontal="center" wrapText="1"/>
    </xf>
    <xf numFmtId="0" fontId="14" fillId="0" borderId="1" xfId="55" applyAlignment="1">
      <alignment horizontal="center" vertical="center"/>
    </xf>
    <xf numFmtId="0" fontId="114" fillId="0" borderId="173" xfId="55" applyFont="1" applyBorder="1" applyAlignment="1">
      <alignment horizontal="center"/>
    </xf>
    <xf numFmtId="3" fontId="14" fillId="12" borderId="171" xfId="55" applyNumberFormat="1" applyFill="1" applyBorder="1" applyAlignment="1">
      <alignment horizontal="center"/>
    </xf>
    <xf numFmtId="2" fontId="114" fillId="0" borderId="171" xfId="55" applyNumberFormat="1" applyFont="1" applyBorder="1" applyAlignment="1">
      <alignment horizontal="center"/>
    </xf>
    <xf numFmtId="0" fontId="114" fillId="0" borderId="171" xfId="55" applyFont="1" applyBorder="1" applyAlignment="1">
      <alignment horizontal="center"/>
    </xf>
    <xf numFmtId="0" fontId="114" fillId="0" borderId="174" xfId="55" applyFont="1" applyBorder="1" applyAlignment="1">
      <alignment horizontal="center"/>
    </xf>
    <xf numFmtId="3" fontId="14" fillId="12" borderId="174" xfId="55" applyNumberFormat="1" applyFill="1" applyBorder="1" applyAlignment="1">
      <alignment horizontal="center"/>
    </xf>
    <xf numFmtId="3" fontId="59" fillId="0" borderId="0" xfId="0" applyNumberFormat="1" applyFont="1"/>
    <xf numFmtId="3" fontId="60" fillId="0" borderId="0" xfId="0" applyNumberFormat="1" applyFont="1"/>
    <xf numFmtId="10" fontId="68" fillId="0" borderId="0" xfId="0" quotePrefix="1" applyNumberFormat="1" applyFont="1"/>
    <xf numFmtId="37" fontId="37" fillId="22" borderId="225" xfId="3" applyNumberFormat="1" applyFont="1" applyFill="1" applyBorder="1" applyAlignment="1">
      <alignment horizontal="center"/>
    </xf>
    <xf numFmtId="0" fontId="98" fillId="0" borderId="0" xfId="0" applyFont="1" applyAlignment="1">
      <alignment horizontal="center"/>
    </xf>
    <xf numFmtId="0" fontId="10" fillId="0" borderId="208" xfId="22" applyFont="1" applyBorder="1" applyAlignment="1" applyProtection="1">
      <alignment horizontal="center" vertical="center" wrapText="1"/>
      <protection locked="0"/>
    </xf>
    <xf numFmtId="0" fontId="9" fillId="0" borderId="1" xfId="62"/>
    <xf numFmtId="49" fontId="78" fillId="0" borderId="225" xfId="62" applyNumberFormat="1" applyFont="1" applyBorder="1" applyAlignment="1">
      <alignment horizontal="center" vertical="center"/>
    </xf>
    <xf numFmtId="49" fontId="78" fillId="0" borderId="1" xfId="62" applyNumberFormat="1" applyFont="1" applyAlignment="1">
      <alignment horizontal="center" vertical="center"/>
    </xf>
    <xf numFmtId="3" fontId="78" fillId="0" borderId="1" xfId="62" applyNumberFormat="1" applyFont="1" applyAlignment="1">
      <alignment horizontal="center" vertical="center"/>
    </xf>
    <xf numFmtId="49" fontId="78" fillId="0" borderId="172" xfId="62" applyNumberFormat="1" applyFont="1" applyBorder="1" applyAlignment="1">
      <alignment horizontal="center" vertical="center"/>
    </xf>
    <xf numFmtId="0" fontId="9" fillId="0" borderId="225" xfId="62" applyBorder="1" applyAlignment="1">
      <alignment horizontal="center"/>
    </xf>
    <xf numFmtId="0" fontId="9" fillId="0" borderId="1" xfId="62" applyAlignment="1">
      <alignment horizontal="center"/>
    </xf>
    <xf numFmtId="3" fontId="9" fillId="0" borderId="1" xfId="62" applyNumberFormat="1" applyAlignment="1">
      <alignment horizontal="center"/>
    </xf>
    <xf numFmtId="0" fontId="9" fillId="0" borderId="172" xfId="62" applyBorder="1" applyAlignment="1">
      <alignment horizontal="center"/>
    </xf>
    <xf numFmtId="0" fontId="135" fillId="0" borderId="238" xfId="0" applyFont="1" applyBorder="1" applyAlignment="1">
      <alignment horizontal="center"/>
    </xf>
    <xf numFmtId="17" fontId="135" fillId="0" borderId="173" xfId="0" quotePrefix="1" applyNumberFormat="1" applyFont="1" applyBorder="1" applyAlignment="1">
      <alignment horizontal="center"/>
    </xf>
    <xf numFmtId="17" fontId="135" fillId="0" borderId="56" xfId="0" quotePrefix="1" applyNumberFormat="1" applyFont="1" applyBorder="1" applyAlignment="1">
      <alignment horizontal="center"/>
    </xf>
    <xf numFmtId="17" fontId="135" fillId="0" borderId="233" xfId="0" quotePrefix="1" applyNumberFormat="1" applyFont="1" applyBorder="1" applyAlignment="1">
      <alignment horizontal="center"/>
    </xf>
    <xf numFmtId="0" fontId="85" fillId="0" borderId="225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85" fillId="0" borderId="226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6" fillId="0" borderId="1" xfId="62" applyFont="1" applyAlignment="1">
      <alignment horizontal="center"/>
    </xf>
    <xf numFmtId="0" fontId="5" fillId="0" borderId="1" xfId="62" applyFont="1" applyAlignment="1">
      <alignment horizontal="center"/>
    </xf>
    <xf numFmtId="0" fontId="5" fillId="0" borderId="172" xfId="62" applyFont="1" applyBorder="1" applyAlignment="1">
      <alignment horizontal="center"/>
    </xf>
    <xf numFmtId="0" fontId="4" fillId="0" borderId="1" xfId="62" applyFont="1" applyAlignment="1">
      <alignment horizontal="center"/>
    </xf>
    <xf numFmtId="0" fontId="96" fillId="0" borderId="55" xfId="2" applyFont="1" applyBorder="1" applyAlignment="1">
      <alignment horizontal="center"/>
    </xf>
    <xf numFmtId="0" fontId="96" fillId="0" borderId="0" xfId="0" applyFont="1" applyAlignment="1">
      <alignment horizontal="center"/>
    </xf>
    <xf numFmtId="0" fontId="114" fillId="18" borderId="199" xfId="22" applyFont="1" applyFill="1" applyBorder="1" applyAlignment="1">
      <alignment horizontal="center" vertical="center" wrapText="1"/>
    </xf>
    <xf numFmtId="0" fontId="114" fillId="18" borderId="203" xfId="22" applyFont="1" applyFill="1" applyBorder="1" applyAlignment="1">
      <alignment horizontal="center" vertical="center" wrapText="1"/>
    </xf>
    <xf numFmtId="0" fontId="115" fillId="11" borderId="204" xfId="22" applyFont="1" applyFill="1" applyBorder="1" applyAlignment="1">
      <alignment horizontal="center" vertical="center" wrapText="1"/>
    </xf>
    <xf numFmtId="0" fontId="115" fillId="11" borderId="205" xfId="22" applyFont="1" applyFill="1" applyBorder="1" applyAlignment="1">
      <alignment horizontal="center" vertical="center" wrapText="1"/>
    </xf>
    <xf numFmtId="0" fontId="131" fillId="0" borderId="235" xfId="62" applyFont="1" applyBorder="1" applyAlignment="1">
      <alignment horizontal="center" wrapText="1"/>
    </xf>
    <xf numFmtId="0" fontId="131" fillId="0" borderId="236" xfId="62" applyFont="1" applyBorder="1" applyAlignment="1">
      <alignment horizontal="center" wrapText="1"/>
    </xf>
    <xf numFmtId="0" fontId="131" fillId="0" borderId="237" xfId="62" applyFont="1" applyBorder="1" applyAlignment="1">
      <alignment horizontal="center" wrapText="1"/>
    </xf>
    <xf numFmtId="0" fontId="114" fillId="0" borderId="129" xfId="55" applyFont="1" applyBorder="1" applyAlignment="1">
      <alignment horizontal="center"/>
    </xf>
    <xf numFmtId="0" fontId="114" fillId="0" borderId="170" xfId="55" applyFont="1" applyBorder="1" applyAlignment="1">
      <alignment horizontal="center"/>
    </xf>
    <xf numFmtId="0" fontId="131" fillId="0" borderId="1" xfId="55" applyFont="1" applyAlignment="1">
      <alignment horizontal="left" vertical="center"/>
    </xf>
    <xf numFmtId="2" fontId="114" fillId="21" borderId="129" xfId="55" applyNumberFormat="1" applyFont="1" applyFill="1" applyBorder="1" applyAlignment="1">
      <alignment horizontal="center"/>
    </xf>
    <xf numFmtId="2" fontId="114" fillId="21" borderId="131" xfId="55" applyNumberFormat="1" applyFont="1" applyFill="1" applyBorder="1" applyAlignment="1">
      <alignment horizontal="center"/>
    </xf>
    <xf numFmtId="2" fontId="114" fillId="21" borderId="170" xfId="55" applyNumberFormat="1" applyFont="1" applyFill="1" applyBorder="1" applyAlignment="1">
      <alignment horizontal="center"/>
    </xf>
    <xf numFmtId="2" fontId="114" fillId="21" borderId="129" xfId="55" applyNumberFormat="1" applyFont="1" applyFill="1" applyBorder="1" applyAlignment="1">
      <alignment horizontal="center" wrapText="1"/>
    </xf>
    <xf numFmtId="2" fontId="114" fillId="21" borderId="131" xfId="55" applyNumberFormat="1" applyFont="1" applyFill="1" applyBorder="1" applyAlignment="1">
      <alignment horizontal="center" wrapText="1"/>
    </xf>
    <xf numFmtId="2" fontId="114" fillId="21" borderId="170" xfId="55" applyNumberFormat="1" applyFont="1" applyFill="1" applyBorder="1" applyAlignment="1">
      <alignment horizontal="center" wrapText="1"/>
    </xf>
    <xf numFmtId="0" fontId="114" fillId="0" borderId="1" xfId="55" applyFont="1" applyAlignment="1">
      <alignment horizontal="center"/>
    </xf>
    <xf numFmtId="0" fontId="61" fillId="0" borderId="92" xfId="0" applyFont="1" applyBorder="1" applyAlignment="1">
      <alignment horizontal="center" vertical="center"/>
    </xf>
    <xf numFmtId="0" fontId="62" fillId="0" borderId="90" xfId="0" applyFont="1" applyBorder="1"/>
    <xf numFmtId="0" fontId="62" fillId="0" borderId="93" xfId="0" applyFont="1" applyBorder="1"/>
    <xf numFmtId="0" fontId="61" fillId="0" borderId="68" xfId="0" applyFont="1" applyBorder="1" applyAlignment="1">
      <alignment horizontal="center"/>
    </xf>
    <xf numFmtId="0" fontId="62" fillId="0" borderId="68" xfId="0" applyFont="1" applyBorder="1"/>
    <xf numFmtId="0" fontId="62" fillId="0" borderId="69" xfId="0" applyFont="1" applyBorder="1"/>
    <xf numFmtId="0" fontId="61" fillId="0" borderId="71" xfId="0" applyFont="1" applyBorder="1" applyAlignment="1">
      <alignment horizontal="center"/>
    </xf>
    <xf numFmtId="0" fontId="61" fillId="0" borderId="26" xfId="0" applyFont="1" applyBorder="1" applyAlignment="1">
      <alignment horizontal="center"/>
    </xf>
    <xf numFmtId="0" fontId="62" fillId="0" borderId="27" xfId="0" applyFont="1" applyBorder="1"/>
    <xf numFmtId="0" fontId="62" fillId="0" borderId="64" xfId="0" applyFont="1" applyBorder="1"/>
    <xf numFmtId="0" fontId="61" fillId="0" borderId="90" xfId="0" applyFont="1" applyBorder="1" applyAlignment="1">
      <alignment horizontal="center" vertical="center"/>
    </xf>
    <xf numFmtId="0" fontId="62" fillId="0" borderId="91" xfId="0" applyFont="1" applyBorder="1"/>
    <xf numFmtId="0" fontId="50" fillId="28" borderId="173" xfId="0" applyFont="1" applyFill="1" applyBorder="1" applyAlignment="1">
      <alignment vertical="center" wrapText="1"/>
    </xf>
    <xf numFmtId="0" fontId="50" fillId="28" borderId="171" xfId="0" applyFont="1" applyFill="1" applyBorder="1" applyAlignment="1">
      <alignment vertical="center" wrapText="1"/>
    </xf>
    <xf numFmtId="0" fontId="50" fillId="28" borderId="174" xfId="0" applyFont="1" applyFill="1" applyBorder="1" applyAlignment="1">
      <alignment vertical="center" wrapText="1"/>
    </xf>
    <xf numFmtId="0" fontId="50" fillId="28" borderId="173" xfId="0" quotePrefix="1" applyFont="1" applyFill="1" applyBorder="1" applyAlignment="1">
      <alignment vertical="center" wrapText="1"/>
    </xf>
    <xf numFmtId="0" fontId="115" fillId="0" borderId="55" xfId="3" applyFont="1" applyBorder="1" applyAlignment="1">
      <alignment horizontal="center"/>
    </xf>
    <xf numFmtId="0" fontId="114" fillId="0" borderId="1" xfId="32" applyFont="1" applyAlignment="1">
      <alignment horizontal="center" vertical="center" wrapText="1"/>
    </xf>
    <xf numFmtId="0" fontId="128" fillId="18" borderId="199" xfId="32" applyFont="1" applyFill="1" applyBorder="1" applyAlignment="1">
      <alignment horizontal="center" vertical="center" wrapText="1"/>
    </xf>
    <xf numFmtId="0" fontId="128" fillId="18" borderId="203" xfId="32" applyFont="1" applyFill="1" applyBorder="1" applyAlignment="1">
      <alignment horizontal="center" vertical="center" wrapText="1"/>
    </xf>
    <xf numFmtId="0" fontId="128" fillId="11" borderId="204" xfId="32" applyFont="1" applyFill="1" applyBorder="1" applyAlignment="1">
      <alignment horizontal="center" vertical="center" wrapText="1"/>
    </xf>
    <xf numFmtId="0" fontId="128" fillId="11" borderId="205" xfId="32" applyFont="1" applyFill="1" applyBorder="1" applyAlignment="1">
      <alignment horizontal="center" vertical="center" wrapText="1"/>
    </xf>
  </cellXfs>
  <cellStyles count="68"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19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18"/>
      <tableStyleElement type="firstRowStripe" dxfId="217"/>
      <tableStyleElement type="secondRowStripe" dxfId="216"/>
    </tableStyle>
    <tableStyle name="Data_Validation ex-style" pivot="0" count="3" xr9:uid="{00000000-0011-0000-FFFF-FFFF01000000}">
      <tableStyleElement type="headerRow" dxfId="215"/>
      <tableStyleElement type="firstRowStripe" dxfId="214"/>
      <tableStyleElement type="secondRowStripe" dxfId="213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12"/>
    <tableColumn id="7" xr3:uid="{00000000-0010-0000-0000-000007000000}" name="Comptes de ventes" dataDxfId="211"/>
    <tableColumn id="6" xr3:uid="{00000000-0010-0000-0000-000006000000}" name="Type de compte" dataDxfId="21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J29" sqref="J29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1069</v>
      </c>
    </row>
    <row r="2" spans="1:14">
      <c r="A2" s="1"/>
      <c r="G2" s="2" t="s">
        <v>1</v>
      </c>
      <c r="M2" s="155" t="s">
        <v>294</v>
      </c>
      <c r="N2" s="155" t="s">
        <v>305</v>
      </c>
    </row>
    <row r="3" spans="1:14">
      <c r="A3" s="1" t="s">
        <v>2</v>
      </c>
      <c r="B3" s="3" t="s">
        <v>298</v>
      </c>
      <c r="C3" s="155">
        <f>+VLOOKUP(B3,$K$3:$L$14,2,0)</f>
        <v>4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297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298</v>
      </c>
      <c r="L6" s="155">
        <v>4</v>
      </c>
      <c r="M6" s="155" t="str">
        <f t="shared" si="0"/>
        <v>X</v>
      </c>
      <c r="N6" s="155" t="str">
        <f t="shared" si="1"/>
        <v>X</v>
      </c>
    </row>
    <row r="7" spans="1:1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1915</v>
      </c>
      <c r="I10" s="2"/>
      <c r="K10" t="s">
        <v>301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1916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1917</v>
      </c>
      <c r="I12" s="2"/>
      <c r="K12" t="s">
        <v>302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topLeftCell="A43" workbookViewId="0">
      <selection activeCell="A79" sqref="A79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Avril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1759141.73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1759141.73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639296.47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241757.65000000002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168068.73</v>
      </c>
      <c r="C10" s="465"/>
      <c r="D10" s="10" t="s">
        <v>16</v>
      </c>
      <c r="E10" s="492">
        <f>-SUMIFS(BV_Data_An_Cour!$P:$P,BV_Data_An_Cour!$U:$U,$A$1,BV_Data_An_Cour!$V:$V,$D10)</f>
        <v>138190.68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51022.5</v>
      </c>
      <c r="C11" s="465"/>
      <c r="D11" s="10" t="s">
        <v>18</v>
      </c>
      <c r="E11" s="492">
        <f>-SUMIFS(BV_Data_An_Cour!$P:$P,BV_Data_An_Cour!$U:$U,$A$1,BV_Data_An_Cour!$V:$V,$D11)</f>
        <v>115064.41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19244.169999999998</v>
      </c>
      <c r="C12" s="465"/>
      <c r="D12" s="10" t="s">
        <v>20</v>
      </c>
      <c r="E12" s="492">
        <f>-SUMIFS(BV_Data_An_Cour!$P:$P,BV_Data_An_Cour!$U:$U,$A$1,BV_Data_An_Cour!$V:$V,$D12)</f>
        <v>661471.24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129495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46543.41</v>
      </c>
      <c r="C14" s="465"/>
      <c r="D14" s="10" t="s">
        <v>24</v>
      </c>
      <c r="E14" s="492">
        <f>-SUMIFS(BV_Data_An_Cour!$P:$P,BV_Data_An_Cour!$U:$U,$A$1,BV_Data_An_Cour!$V:$V,$D14)</f>
        <v>216511.65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100935.53</v>
      </c>
      <c r="C15" s="465"/>
      <c r="D15" s="10" t="s">
        <v>26</v>
      </c>
      <c r="E15" s="492">
        <f>-SUMIFS(BV_Data_An_Cour!$P:$P,BV_Data_An_Cour!$U:$U,$A$1,BV_Data_An_Cour!$V:$V,$D15)</f>
        <v>238484.30000000002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1266868.46</v>
      </c>
      <c r="C16" s="466"/>
      <c r="D16" s="9" t="s">
        <v>28</v>
      </c>
      <c r="E16" s="498">
        <f>+SUM(E10:E15)</f>
        <v>1499217.28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5978607.9800000004</v>
      </c>
      <c r="C18" s="465"/>
      <c r="D18" s="10" t="s">
        <v>30</v>
      </c>
      <c r="E18" s="492">
        <f>-SUMIFS(BV_Data_An_Cour!$P:$P,BV_Data_An_Cour!$U:$U,$A$1,BV_Data_An_Cour!$V:$V,$D18)</f>
        <v>6985235.9199999999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2055013.9000000001</v>
      </c>
      <c r="C19" s="465"/>
      <c r="D19" s="10" t="s">
        <v>32</v>
      </c>
      <c r="E19" s="492">
        <f>-SUMIFS(BV_Data_An_Cour!$P:$P,BV_Data_An_Cour!$U:$U,$A$1,BV_Data_An_Cour!$V:$V,$D19)</f>
        <v>1381777.16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426727.86</v>
      </c>
      <c r="C20" s="465"/>
      <c r="D20" s="9" t="s">
        <v>34</v>
      </c>
      <c r="E20" s="498">
        <f>+SUM(E18:E19)</f>
        <v>8367013.0800000001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8460349.7400000002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272466.73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-7108.3400000000038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4075.1</v>
      </c>
      <c r="C24" s="465"/>
      <c r="D24" s="10" t="s">
        <v>40</v>
      </c>
      <c r="E24" s="492">
        <f>-SUMIFS(BV_Data_An_Cour!$P:$P,BV_Data_An_Cour!$U:$U,$A$1,BV_Data_An_Cour!$V:$V,$D24)</f>
        <v>184234.13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2761.92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-3785.8199999999997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449592.51999999996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3051.2000000000007</v>
      </c>
      <c r="C30" s="466"/>
      <c r="D30" s="12" t="s">
        <v>46</v>
      </c>
      <c r="E30" s="493">
        <f>+E5+E7+E16+E20+E28</f>
        <v>10315822.879999999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11489411.129999999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727525.40999999992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249198.73999999993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121568.58000000002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13180.559999999998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20003.32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1131476.6100000001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11417553.879999999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1750000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3417609.5700000008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7736437.9199999999</v>
      </c>
      <c r="C53" s="467"/>
      <c r="D53" s="12" t="s">
        <v>72</v>
      </c>
      <c r="E53" s="493">
        <f>SUM(E48:E51)</f>
        <v>7808295.1699999999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19225849.049999997</v>
      </c>
      <c r="C56" s="467"/>
      <c r="D56" s="12" t="s">
        <v>74</v>
      </c>
      <c r="E56" s="493">
        <f>+E53+E45</f>
        <v>19225849.049999997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88" activePane="bottomRight" state="frozen"/>
      <selection sqref="A1:XFD1048576"/>
      <selection pane="topRight" sqref="A1:XFD1048576"/>
      <selection pane="bottomLeft" sqref="A1:XFD1048576"/>
      <selection pane="bottomRight" activeCell="N94" sqref="N94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21" t="str">
        <f>"Budget 2023 Mensuel"&amp;" "&amp;Parametres!$B$1</f>
        <v>Budget 2023 Mensuel BMW Sherbrooke</v>
      </c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21"/>
      <c r="W1" s="1221"/>
      <c r="X1" s="1221"/>
      <c r="Y1" s="1221"/>
      <c r="Z1" s="1221"/>
      <c r="AA1" s="1221"/>
      <c r="AB1" s="1221"/>
      <c r="AC1" s="1221"/>
      <c r="AD1" s="1221"/>
      <c r="AE1" s="1221"/>
      <c r="AF1" s="1221"/>
      <c r="AG1" s="1221"/>
      <c r="AH1" s="1221"/>
      <c r="AI1" s="1221"/>
      <c r="AJ1" s="1221"/>
      <c r="AK1" s="1221"/>
      <c r="AL1" s="1221"/>
      <c r="AM1" s="1221"/>
      <c r="AN1" s="1221"/>
      <c r="AO1" s="1221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>X</v>
      </c>
      <c r="P2" s="545" t="str">
        <f>+IF(Parametres!$B$3=O$6,"O","")</f>
        <v>O</v>
      </c>
      <c r="Q2" s="545" t="str">
        <f>+IF(Parametres!$B$3=O$6,"U","")</f>
        <v>U</v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2824</v>
      </c>
      <c r="C4" s="1222" t="s">
        <v>75</v>
      </c>
      <c r="D4" s="1222"/>
      <c r="E4" s="1222"/>
      <c r="F4" s="1222"/>
      <c r="G4" s="1222"/>
      <c r="H4" s="1222"/>
      <c r="I4" s="1222"/>
      <c r="J4" s="1222"/>
      <c r="K4" s="1222"/>
      <c r="L4" s="1222"/>
      <c r="M4" s="1222"/>
      <c r="N4" s="1222"/>
      <c r="O4" s="1222"/>
      <c r="P4" s="1222"/>
      <c r="Q4" s="1222"/>
      <c r="R4" s="1222"/>
      <c r="S4" s="1222"/>
      <c r="T4" s="1222"/>
      <c r="U4" s="1222"/>
      <c r="V4" s="1222"/>
      <c r="W4" s="1222"/>
      <c r="X4" s="1222"/>
      <c r="Y4" s="1222"/>
      <c r="Z4" s="1222"/>
      <c r="AA4" s="1222"/>
      <c r="AB4" s="1222"/>
      <c r="AC4" s="1222"/>
      <c r="AD4" s="1222"/>
      <c r="AE4" s="1222"/>
      <c r="AF4" s="1222"/>
      <c r="AG4" s="1222"/>
      <c r="AH4" s="1222"/>
      <c r="AI4" s="1222"/>
      <c r="AJ4" s="1222"/>
      <c r="AK4" s="1222"/>
      <c r="AL4" s="1222"/>
      <c r="AM4" s="1222"/>
      <c r="AN4" s="1222"/>
      <c r="AO4" s="122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2024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23738855.999999996</v>
      </c>
      <c r="F8" s="802"/>
      <c r="G8" s="803"/>
      <c r="H8" s="804">
        <v>908508.73970625817</v>
      </c>
      <c r="I8" s="802"/>
      <c r="J8" s="803"/>
      <c r="K8" s="804">
        <v>1154769.2858375036</v>
      </c>
      <c r="L8" s="802"/>
      <c r="M8" s="803"/>
      <c r="N8" s="804">
        <v>2794294.0982818455</v>
      </c>
      <c r="O8" s="802"/>
      <c r="P8" s="803"/>
      <c r="Q8" s="804">
        <v>3032403.5950516532</v>
      </c>
      <c r="R8" s="802"/>
      <c r="S8" s="803"/>
      <c r="T8" s="804">
        <v>2803316.5103153354</v>
      </c>
      <c r="U8" s="802"/>
      <c r="V8" s="803"/>
      <c r="W8" s="804">
        <v>2000167.2774093123</v>
      </c>
      <c r="X8" s="802"/>
      <c r="Y8" s="803"/>
      <c r="Z8" s="804">
        <v>1608193.5771327838</v>
      </c>
      <c r="AA8" s="802"/>
      <c r="AB8" s="803"/>
      <c r="AC8" s="804">
        <v>2002452.1157754594</v>
      </c>
      <c r="AD8" s="802"/>
      <c r="AE8" s="803"/>
      <c r="AF8" s="804">
        <v>2407689.1525901831</v>
      </c>
      <c r="AG8" s="802"/>
      <c r="AH8" s="803"/>
      <c r="AI8" s="804">
        <v>1708172.4229668381</v>
      </c>
      <c r="AJ8" s="802"/>
      <c r="AK8" s="803"/>
      <c r="AL8" s="804">
        <v>1856596.9875368576</v>
      </c>
      <c r="AM8" s="802"/>
      <c r="AN8" s="803"/>
      <c r="AO8" s="804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81</v>
      </c>
      <c r="D9" s="806">
        <v>5144.9382716049386</v>
      </c>
      <c r="E9" s="807">
        <v>416740</v>
      </c>
      <c r="F9" s="805">
        <v>3</v>
      </c>
      <c r="G9" s="806">
        <v>5144.9382716049386</v>
      </c>
      <c r="H9" s="807">
        <v>15434.814814814816</v>
      </c>
      <c r="I9" s="805">
        <v>4</v>
      </c>
      <c r="J9" s="806">
        <v>5144.9382716049386</v>
      </c>
      <c r="K9" s="807">
        <v>20579.753086419754</v>
      </c>
      <c r="L9" s="805">
        <v>9</v>
      </c>
      <c r="M9" s="806">
        <v>5144.9382716049386</v>
      </c>
      <c r="N9" s="807">
        <v>46304.444444444445</v>
      </c>
      <c r="O9" s="805">
        <v>10</v>
      </c>
      <c r="P9" s="806">
        <v>5144.9382716049386</v>
      </c>
      <c r="Q9" s="807">
        <v>51449.382716049382</v>
      </c>
      <c r="R9" s="805">
        <v>9</v>
      </c>
      <c r="S9" s="806">
        <v>5144.9382716049386</v>
      </c>
      <c r="T9" s="807">
        <v>46304.444444444445</v>
      </c>
      <c r="U9" s="805">
        <v>7</v>
      </c>
      <c r="V9" s="806">
        <v>5144.9382716049386</v>
      </c>
      <c r="W9" s="807">
        <v>36014.567901234572</v>
      </c>
      <c r="X9" s="805">
        <v>6</v>
      </c>
      <c r="Y9" s="806">
        <v>5144.9382716049386</v>
      </c>
      <c r="Z9" s="807">
        <v>30869.629629629631</v>
      </c>
      <c r="AA9" s="805">
        <v>7</v>
      </c>
      <c r="AB9" s="806">
        <v>5144.9382716049386</v>
      </c>
      <c r="AC9" s="807">
        <v>36014.567901234572</v>
      </c>
      <c r="AD9" s="805">
        <v>9</v>
      </c>
      <c r="AE9" s="806">
        <v>5144.9382716049386</v>
      </c>
      <c r="AF9" s="807">
        <v>46304.444444444445</v>
      </c>
      <c r="AG9" s="805">
        <v>6</v>
      </c>
      <c r="AH9" s="806">
        <v>5144.9382716049386</v>
      </c>
      <c r="AI9" s="807">
        <v>30869.629629629631</v>
      </c>
      <c r="AJ9" s="805">
        <v>6</v>
      </c>
      <c r="AK9" s="806">
        <v>5144.9382716049386</v>
      </c>
      <c r="AL9" s="807">
        <v>30869.629629629631</v>
      </c>
      <c r="AM9" s="805">
        <v>5</v>
      </c>
      <c r="AN9" s="806">
        <v>5144.9382716049386</v>
      </c>
      <c r="AO9" s="807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151</v>
      </c>
      <c r="D10" s="806">
        <v>5386.4238410596026</v>
      </c>
      <c r="E10" s="807">
        <v>813350</v>
      </c>
      <c r="F10" s="805">
        <v>6</v>
      </c>
      <c r="G10" s="806">
        <v>5386.4238410596026</v>
      </c>
      <c r="H10" s="807">
        <v>32318.543046357616</v>
      </c>
      <c r="I10" s="805">
        <v>7</v>
      </c>
      <c r="J10" s="806">
        <v>5386.4238410596026</v>
      </c>
      <c r="K10" s="807">
        <v>37704.96688741722</v>
      </c>
      <c r="L10" s="805">
        <v>18</v>
      </c>
      <c r="M10" s="806">
        <v>5386.4238410596026</v>
      </c>
      <c r="N10" s="807">
        <v>96955.629139072844</v>
      </c>
      <c r="O10" s="805">
        <v>19</v>
      </c>
      <c r="P10" s="806">
        <v>5386.4238410596026</v>
      </c>
      <c r="Q10" s="807">
        <v>102342.05298013244</v>
      </c>
      <c r="R10" s="805">
        <v>17</v>
      </c>
      <c r="S10" s="806">
        <v>5386.4238410596026</v>
      </c>
      <c r="T10" s="807">
        <v>91569.205298013243</v>
      </c>
      <c r="U10" s="805">
        <v>13</v>
      </c>
      <c r="V10" s="806">
        <v>5386.4238410596026</v>
      </c>
      <c r="W10" s="807">
        <v>70023.50993377484</v>
      </c>
      <c r="X10" s="805">
        <v>10</v>
      </c>
      <c r="Y10" s="806">
        <v>5386.4238410596026</v>
      </c>
      <c r="Z10" s="807">
        <v>53864.238410596023</v>
      </c>
      <c r="AA10" s="805">
        <v>13</v>
      </c>
      <c r="AB10" s="806">
        <v>5386.4238410596026</v>
      </c>
      <c r="AC10" s="807">
        <v>70023.50993377484</v>
      </c>
      <c r="AD10" s="805">
        <v>15</v>
      </c>
      <c r="AE10" s="806">
        <v>5386.4238410596026</v>
      </c>
      <c r="AF10" s="807">
        <v>80796.357615894041</v>
      </c>
      <c r="AG10" s="805">
        <v>11</v>
      </c>
      <c r="AH10" s="806">
        <v>5386.4238410596026</v>
      </c>
      <c r="AI10" s="807">
        <v>59250.662251655631</v>
      </c>
      <c r="AJ10" s="805">
        <v>12</v>
      </c>
      <c r="AK10" s="806">
        <v>5386.4238410596026</v>
      </c>
      <c r="AL10" s="807">
        <v>64637.086092715232</v>
      </c>
      <c r="AM10" s="805">
        <v>10</v>
      </c>
      <c r="AN10" s="806">
        <v>5386.4238410596026</v>
      </c>
      <c r="AO10" s="807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232</v>
      </c>
      <c r="D16" s="811">
        <v>5302.1120689655172</v>
      </c>
      <c r="E16" s="812">
        <v>1230090</v>
      </c>
      <c r="F16" s="810">
        <v>9</v>
      </c>
      <c r="G16" s="811">
        <v>5305.928651241381</v>
      </c>
      <c r="H16" s="812">
        <v>47753.35786117243</v>
      </c>
      <c r="I16" s="810">
        <v>11</v>
      </c>
      <c r="J16" s="811">
        <v>5298.6109067124526</v>
      </c>
      <c r="K16" s="812">
        <v>58284.719973836975</v>
      </c>
      <c r="L16" s="810">
        <v>27</v>
      </c>
      <c r="M16" s="811">
        <v>5305.928651241381</v>
      </c>
      <c r="N16" s="812">
        <v>143260.07358351728</v>
      </c>
      <c r="O16" s="810">
        <v>29</v>
      </c>
      <c r="P16" s="811">
        <v>5303.1529550407531</v>
      </c>
      <c r="Q16" s="812">
        <v>153791.43569618184</v>
      </c>
      <c r="R16" s="810">
        <v>26</v>
      </c>
      <c r="S16" s="811">
        <v>5302.8326824022188</v>
      </c>
      <c r="T16" s="812">
        <v>137873.6497424577</v>
      </c>
      <c r="U16" s="810">
        <v>20</v>
      </c>
      <c r="V16" s="811">
        <v>5301.9038917504704</v>
      </c>
      <c r="W16" s="812">
        <v>106038.0778350094</v>
      </c>
      <c r="X16" s="810">
        <v>16</v>
      </c>
      <c r="Y16" s="811">
        <v>5295.8667525141036</v>
      </c>
      <c r="Z16" s="812">
        <v>84733.868040225658</v>
      </c>
      <c r="AA16" s="810">
        <v>20</v>
      </c>
      <c r="AB16" s="811">
        <v>5301.9038917504704</v>
      </c>
      <c r="AC16" s="812">
        <v>106038.0778350094</v>
      </c>
      <c r="AD16" s="810">
        <v>24</v>
      </c>
      <c r="AE16" s="811">
        <v>5295.8667525141036</v>
      </c>
      <c r="AF16" s="812">
        <v>127100.80206033849</v>
      </c>
      <c r="AG16" s="810">
        <v>17</v>
      </c>
      <c r="AH16" s="811">
        <v>5301.1936400756031</v>
      </c>
      <c r="AI16" s="812">
        <v>90120.291881285259</v>
      </c>
      <c r="AJ16" s="810">
        <v>18</v>
      </c>
      <c r="AK16" s="811">
        <v>5305.928651241381</v>
      </c>
      <c r="AL16" s="812">
        <v>95506.715722344859</v>
      </c>
      <c r="AM16" s="810">
        <v>15</v>
      </c>
      <c r="AN16" s="811">
        <v>5305.928651241381</v>
      </c>
      <c r="AO16" s="812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24</v>
      </c>
      <c r="D18" s="816">
        <v>2500</v>
      </c>
      <c r="E18" s="817">
        <v>60000</v>
      </c>
      <c r="F18" s="815">
        <v>1</v>
      </c>
      <c r="G18" s="816">
        <v>2500</v>
      </c>
      <c r="H18" s="817">
        <v>2500</v>
      </c>
      <c r="I18" s="815">
        <v>1</v>
      </c>
      <c r="J18" s="816">
        <v>2500</v>
      </c>
      <c r="K18" s="817">
        <v>2500</v>
      </c>
      <c r="L18" s="815">
        <v>3</v>
      </c>
      <c r="M18" s="816">
        <v>2500</v>
      </c>
      <c r="N18" s="817">
        <v>7500</v>
      </c>
      <c r="O18" s="815">
        <v>3</v>
      </c>
      <c r="P18" s="816">
        <v>2500</v>
      </c>
      <c r="Q18" s="817">
        <v>7500</v>
      </c>
      <c r="R18" s="815">
        <v>3</v>
      </c>
      <c r="S18" s="816">
        <v>2500</v>
      </c>
      <c r="T18" s="817">
        <v>7500</v>
      </c>
      <c r="U18" s="815">
        <v>2</v>
      </c>
      <c r="V18" s="816">
        <v>2500</v>
      </c>
      <c r="W18" s="817">
        <v>5000</v>
      </c>
      <c r="X18" s="815">
        <v>2</v>
      </c>
      <c r="Y18" s="816">
        <v>2500</v>
      </c>
      <c r="Z18" s="817">
        <v>5000</v>
      </c>
      <c r="AA18" s="815">
        <v>2</v>
      </c>
      <c r="AB18" s="816">
        <v>2500</v>
      </c>
      <c r="AC18" s="817">
        <v>5000</v>
      </c>
      <c r="AD18" s="815">
        <v>2</v>
      </c>
      <c r="AE18" s="816">
        <v>2500</v>
      </c>
      <c r="AF18" s="817">
        <v>5000</v>
      </c>
      <c r="AG18" s="815">
        <v>2</v>
      </c>
      <c r="AH18" s="816">
        <v>2500</v>
      </c>
      <c r="AI18" s="817">
        <v>5000</v>
      </c>
      <c r="AJ18" s="815">
        <v>2</v>
      </c>
      <c r="AK18" s="816">
        <v>2500</v>
      </c>
      <c r="AL18" s="817">
        <v>5000</v>
      </c>
      <c r="AM18" s="815">
        <v>1</v>
      </c>
      <c r="AN18" s="816">
        <v>2500</v>
      </c>
      <c r="AO18" s="817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2500</v>
      </c>
      <c r="E20" s="807">
        <v>10000</v>
      </c>
      <c r="F20" s="805">
        <v>0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1</v>
      </c>
      <c r="M20" s="806">
        <v>2500</v>
      </c>
      <c r="N20" s="807">
        <v>2500</v>
      </c>
      <c r="O20" s="805">
        <v>1</v>
      </c>
      <c r="P20" s="806">
        <v>2500</v>
      </c>
      <c r="Q20" s="807">
        <v>2500</v>
      </c>
      <c r="R20" s="805">
        <v>1</v>
      </c>
      <c r="S20" s="806">
        <v>2500</v>
      </c>
      <c r="T20" s="807">
        <v>2500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1</v>
      </c>
      <c r="AE20" s="806">
        <v>2500</v>
      </c>
      <c r="AF20" s="807">
        <v>2500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38961</v>
      </c>
      <c r="F22" s="808"/>
      <c r="G22" s="806"/>
      <c r="H22" s="807">
        <v>1386.4053389422693</v>
      </c>
      <c r="I22" s="808"/>
      <c r="J22" s="806"/>
      <c r="K22" s="807">
        <v>3512.1375951504933</v>
      </c>
      <c r="L22" s="808"/>
      <c r="M22" s="806"/>
      <c r="N22" s="807">
        <v>3667.8254496725194</v>
      </c>
      <c r="O22" s="808"/>
      <c r="P22" s="806"/>
      <c r="Q22" s="807">
        <v>5546.8032115753886</v>
      </c>
      <c r="R22" s="808"/>
      <c r="S22" s="806"/>
      <c r="T22" s="807">
        <v>6629.0563613401637</v>
      </c>
      <c r="U22" s="808"/>
      <c r="V22" s="806"/>
      <c r="W22" s="807">
        <v>2988.0084678407848</v>
      </c>
      <c r="X22" s="808"/>
      <c r="Y22" s="806"/>
      <c r="Z22" s="807">
        <v>1827.3374218148349</v>
      </c>
      <c r="AA22" s="808"/>
      <c r="AB22" s="806"/>
      <c r="AC22" s="807">
        <v>3057.176756561425</v>
      </c>
      <c r="AD22" s="808"/>
      <c r="AE22" s="806"/>
      <c r="AF22" s="807">
        <v>2093.1330449682027</v>
      </c>
      <c r="AG22" s="808"/>
      <c r="AH22" s="806"/>
      <c r="AI22" s="807">
        <v>2165.8718619555571</v>
      </c>
      <c r="AJ22" s="808"/>
      <c r="AK22" s="806"/>
      <c r="AL22" s="807">
        <v>3970.9903329214162</v>
      </c>
      <c r="AM22" s="808"/>
      <c r="AN22" s="806"/>
      <c r="AO22" s="807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85</v>
      </c>
      <c r="E24" s="807">
        <v>21760</v>
      </c>
      <c r="F24" s="805"/>
      <c r="G24" s="806">
        <v>85</v>
      </c>
      <c r="H24" s="807">
        <v>850</v>
      </c>
      <c r="I24" s="805"/>
      <c r="J24" s="806">
        <v>85</v>
      </c>
      <c r="K24" s="807">
        <v>1020</v>
      </c>
      <c r="L24" s="805"/>
      <c r="M24" s="806">
        <v>85</v>
      </c>
      <c r="N24" s="807">
        <v>2550</v>
      </c>
      <c r="O24" s="805"/>
      <c r="P24" s="806">
        <v>85</v>
      </c>
      <c r="Q24" s="807">
        <v>2720</v>
      </c>
      <c r="R24" s="805"/>
      <c r="S24" s="806">
        <v>85</v>
      </c>
      <c r="T24" s="807">
        <v>2465</v>
      </c>
      <c r="U24" s="805"/>
      <c r="V24" s="806">
        <v>85</v>
      </c>
      <c r="W24" s="807">
        <v>1870</v>
      </c>
      <c r="X24" s="805"/>
      <c r="Y24" s="806">
        <v>85</v>
      </c>
      <c r="Z24" s="807">
        <v>1530</v>
      </c>
      <c r="AA24" s="805"/>
      <c r="AB24" s="806">
        <v>85</v>
      </c>
      <c r="AC24" s="807">
        <v>1870</v>
      </c>
      <c r="AD24" s="805"/>
      <c r="AE24" s="806">
        <v>85</v>
      </c>
      <c r="AF24" s="807">
        <v>2210</v>
      </c>
      <c r="AG24" s="805"/>
      <c r="AH24" s="806">
        <v>85</v>
      </c>
      <c r="AI24" s="807">
        <v>1615</v>
      </c>
      <c r="AJ24" s="805"/>
      <c r="AK24" s="806">
        <v>85</v>
      </c>
      <c r="AL24" s="807">
        <v>1700</v>
      </c>
      <c r="AM24" s="805"/>
      <c r="AN24" s="806">
        <v>85</v>
      </c>
      <c r="AO24" s="807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1020</v>
      </c>
      <c r="E25" s="807">
        <v>261120</v>
      </c>
      <c r="F25" s="805"/>
      <c r="G25" s="806">
        <v>1020</v>
      </c>
      <c r="H25" s="807">
        <v>10200</v>
      </c>
      <c r="I25" s="805"/>
      <c r="J25" s="806">
        <v>1020</v>
      </c>
      <c r="K25" s="807">
        <v>12240</v>
      </c>
      <c r="L25" s="805"/>
      <c r="M25" s="806">
        <v>1020</v>
      </c>
      <c r="N25" s="807">
        <v>30600</v>
      </c>
      <c r="O25" s="805"/>
      <c r="P25" s="806">
        <v>1020</v>
      </c>
      <c r="Q25" s="807">
        <v>32640</v>
      </c>
      <c r="R25" s="805"/>
      <c r="S25" s="806">
        <v>1020</v>
      </c>
      <c r="T25" s="807">
        <v>29580</v>
      </c>
      <c r="U25" s="805"/>
      <c r="V25" s="806">
        <v>1020</v>
      </c>
      <c r="W25" s="807">
        <v>22440</v>
      </c>
      <c r="X25" s="805"/>
      <c r="Y25" s="806">
        <v>1020</v>
      </c>
      <c r="Z25" s="807">
        <v>18360</v>
      </c>
      <c r="AA25" s="805"/>
      <c r="AB25" s="806">
        <v>1020</v>
      </c>
      <c r="AC25" s="807">
        <v>22440</v>
      </c>
      <c r="AD25" s="805"/>
      <c r="AE25" s="806">
        <v>1020</v>
      </c>
      <c r="AF25" s="807">
        <v>26520</v>
      </c>
      <c r="AG25" s="805"/>
      <c r="AH25" s="806">
        <v>1020</v>
      </c>
      <c r="AI25" s="807">
        <v>19380</v>
      </c>
      <c r="AJ25" s="805"/>
      <c r="AK25" s="806">
        <v>1020</v>
      </c>
      <c r="AL25" s="807">
        <v>20400</v>
      </c>
      <c r="AM25" s="805"/>
      <c r="AN25" s="806">
        <v>1020</v>
      </c>
      <c r="AO25" s="807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495</v>
      </c>
      <c r="E26" s="807">
        <v>126720</v>
      </c>
      <c r="F26" s="805"/>
      <c r="G26" s="806">
        <v>495</v>
      </c>
      <c r="H26" s="807">
        <v>4950</v>
      </c>
      <c r="I26" s="805"/>
      <c r="J26" s="806">
        <v>495</v>
      </c>
      <c r="K26" s="807">
        <v>5940</v>
      </c>
      <c r="L26" s="805"/>
      <c r="M26" s="806">
        <v>495</v>
      </c>
      <c r="N26" s="807">
        <v>14850</v>
      </c>
      <c r="O26" s="805"/>
      <c r="P26" s="806">
        <v>495</v>
      </c>
      <c r="Q26" s="807">
        <v>15840</v>
      </c>
      <c r="R26" s="805"/>
      <c r="S26" s="806">
        <v>495</v>
      </c>
      <c r="T26" s="807">
        <v>14355</v>
      </c>
      <c r="U26" s="805"/>
      <c r="V26" s="806">
        <v>495</v>
      </c>
      <c r="W26" s="807">
        <v>10890</v>
      </c>
      <c r="X26" s="805"/>
      <c r="Y26" s="806">
        <v>495</v>
      </c>
      <c r="Z26" s="807">
        <v>8910</v>
      </c>
      <c r="AA26" s="805"/>
      <c r="AB26" s="806">
        <v>495</v>
      </c>
      <c r="AC26" s="807">
        <v>10890</v>
      </c>
      <c r="AD26" s="805"/>
      <c r="AE26" s="806">
        <v>495</v>
      </c>
      <c r="AF26" s="807">
        <v>12870</v>
      </c>
      <c r="AG26" s="805"/>
      <c r="AH26" s="806">
        <v>495</v>
      </c>
      <c r="AI26" s="807">
        <v>9405</v>
      </c>
      <c r="AJ26" s="805"/>
      <c r="AK26" s="806">
        <v>495</v>
      </c>
      <c r="AL26" s="807">
        <v>9900</v>
      </c>
      <c r="AM26" s="805"/>
      <c r="AN26" s="806">
        <v>495</v>
      </c>
      <c r="AO26" s="807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256</v>
      </c>
      <c r="D27" s="811">
        <v>1600</v>
      </c>
      <c r="E27" s="812">
        <v>409600</v>
      </c>
      <c r="F27" s="810">
        <v>10</v>
      </c>
      <c r="G27" s="811">
        <v>1600</v>
      </c>
      <c r="H27" s="812">
        <v>16000</v>
      </c>
      <c r="I27" s="810">
        <v>12</v>
      </c>
      <c r="J27" s="811">
        <v>1600</v>
      </c>
      <c r="K27" s="812">
        <v>19200</v>
      </c>
      <c r="L27" s="810">
        <v>30</v>
      </c>
      <c r="M27" s="811">
        <v>1600</v>
      </c>
      <c r="N27" s="812">
        <v>48000</v>
      </c>
      <c r="O27" s="810">
        <v>32</v>
      </c>
      <c r="P27" s="811">
        <v>1600</v>
      </c>
      <c r="Q27" s="812">
        <v>51200</v>
      </c>
      <c r="R27" s="810">
        <v>29</v>
      </c>
      <c r="S27" s="811">
        <v>1600</v>
      </c>
      <c r="T27" s="812">
        <v>46400</v>
      </c>
      <c r="U27" s="810">
        <v>22</v>
      </c>
      <c r="V27" s="811">
        <v>1600</v>
      </c>
      <c r="W27" s="812">
        <v>35200</v>
      </c>
      <c r="X27" s="810">
        <v>18</v>
      </c>
      <c r="Y27" s="811">
        <v>1600</v>
      </c>
      <c r="Z27" s="812">
        <v>28800</v>
      </c>
      <c r="AA27" s="810">
        <v>22</v>
      </c>
      <c r="AB27" s="811">
        <v>1600</v>
      </c>
      <c r="AC27" s="812">
        <v>35200</v>
      </c>
      <c r="AD27" s="810">
        <v>26</v>
      </c>
      <c r="AE27" s="811">
        <v>1600</v>
      </c>
      <c r="AF27" s="812">
        <v>41600</v>
      </c>
      <c r="AG27" s="810">
        <v>19</v>
      </c>
      <c r="AH27" s="811">
        <v>1600</v>
      </c>
      <c r="AI27" s="812">
        <v>30400</v>
      </c>
      <c r="AJ27" s="810">
        <v>20</v>
      </c>
      <c r="AK27" s="811">
        <v>1600</v>
      </c>
      <c r="AL27" s="812">
        <v>32000</v>
      </c>
      <c r="AM27" s="810">
        <v>16</v>
      </c>
      <c r="AN27" s="811">
        <v>1600</v>
      </c>
      <c r="AO27" s="812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260</v>
      </c>
      <c r="D30" s="824">
        <v>6725.580769230769</v>
      </c>
      <c r="E30" s="825">
        <v>1748651</v>
      </c>
      <c r="F30" s="823">
        <v>10</v>
      </c>
      <c r="G30" s="824">
        <v>6763.9763200114703</v>
      </c>
      <c r="H30" s="825">
        <v>67639.763200114699</v>
      </c>
      <c r="I30" s="823">
        <v>12</v>
      </c>
      <c r="J30" s="824">
        <v>6958.071464082288</v>
      </c>
      <c r="K30" s="825">
        <v>83496.857568987456</v>
      </c>
      <c r="L30" s="823">
        <v>31</v>
      </c>
      <c r="M30" s="824">
        <v>6610.5773881674131</v>
      </c>
      <c r="N30" s="825">
        <v>204927.89903318981</v>
      </c>
      <c r="O30" s="823">
        <v>33</v>
      </c>
      <c r="P30" s="824">
        <v>6682.9769365987031</v>
      </c>
      <c r="Q30" s="825">
        <v>220538.23890775722</v>
      </c>
      <c r="R30" s="823">
        <v>30</v>
      </c>
      <c r="S30" s="824">
        <v>6696.7568701265955</v>
      </c>
      <c r="T30" s="825">
        <v>200902.70610379786</v>
      </c>
      <c r="U30" s="823">
        <v>22</v>
      </c>
      <c r="V30" s="824">
        <v>6783.0039228568266</v>
      </c>
      <c r="W30" s="825">
        <v>149226.08630285019</v>
      </c>
      <c r="X30" s="823">
        <v>18</v>
      </c>
      <c r="Y30" s="824">
        <v>6686.7336367800272</v>
      </c>
      <c r="Z30" s="825">
        <v>120361.2054620405</v>
      </c>
      <c r="AA30" s="823">
        <v>22</v>
      </c>
      <c r="AB30" s="824">
        <v>6786.1479359804916</v>
      </c>
      <c r="AC30" s="825">
        <v>149295.25459157082</v>
      </c>
      <c r="AD30" s="823">
        <v>27</v>
      </c>
      <c r="AE30" s="824">
        <v>6603.4790779743225</v>
      </c>
      <c r="AF30" s="825">
        <v>178293.93510530671</v>
      </c>
      <c r="AG30" s="823">
        <v>19</v>
      </c>
      <c r="AH30" s="824">
        <v>6720.3244075389903</v>
      </c>
      <c r="AI30" s="825">
        <v>127686.16374324082</v>
      </c>
      <c r="AJ30" s="823">
        <v>20</v>
      </c>
      <c r="AK30" s="824">
        <v>6823.885302763314</v>
      </c>
      <c r="AL30" s="825">
        <v>136477.70605526629</v>
      </c>
      <c r="AM30" s="823">
        <v>16</v>
      </c>
      <c r="AN30" s="824">
        <v>6862.8239953673537</v>
      </c>
      <c r="AO30" s="825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0.2957651404165601</v>
      </c>
      <c r="D34" s="834">
        <v>1490.4830078125001</v>
      </c>
      <c r="E34" s="835">
        <v>381563.65</v>
      </c>
      <c r="F34" s="833">
        <v>0.32594140269012745</v>
      </c>
      <c r="G34" s="834">
        <v>1637.9649951159486</v>
      </c>
      <c r="H34" s="835">
        <v>16379.649951159485</v>
      </c>
      <c r="I34" s="833">
        <v>0.31901474425933263</v>
      </c>
      <c r="J34" s="834">
        <v>1615.9351581107292</v>
      </c>
      <c r="K34" s="835">
        <v>19391.221897328749</v>
      </c>
      <c r="L34" s="833">
        <v>0.28836372101790458</v>
      </c>
      <c r="M34" s="834">
        <v>1449.1245266492047</v>
      </c>
      <c r="N34" s="835">
        <v>43473.735799476141</v>
      </c>
      <c r="O34" s="833">
        <v>0.29022397761408575</v>
      </c>
      <c r="P34" s="834">
        <v>1462.8325632135134</v>
      </c>
      <c r="Q34" s="835">
        <v>46810.642022832428</v>
      </c>
      <c r="R34" s="833">
        <v>0.29628195118027412</v>
      </c>
      <c r="S34" s="834">
        <v>1485.2271929618316</v>
      </c>
      <c r="T34" s="835">
        <v>43071.588595893118</v>
      </c>
      <c r="U34" s="833">
        <v>0.28996408847836608</v>
      </c>
      <c r="V34" s="834">
        <v>1463.502501173562</v>
      </c>
      <c r="W34" s="835">
        <v>32197.055025818365</v>
      </c>
      <c r="X34" s="833">
        <v>0.29815738697943889</v>
      </c>
      <c r="Y34" s="834">
        <v>1486.3786454684148</v>
      </c>
      <c r="Z34" s="835">
        <v>26754.815618431465</v>
      </c>
      <c r="AA34" s="833">
        <v>0.2924434842381235</v>
      </c>
      <c r="AB34" s="834">
        <v>1476.0164711442774</v>
      </c>
      <c r="AC34" s="835">
        <v>32472.3623651741</v>
      </c>
      <c r="AD34" s="833">
        <v>0.28939000752480071</v>
      </c>
      <c r="AE34" s="834">
        <v>1470.3327731643681</v>
      </c>
      <c r="AF34" s="835">
        <v>38228.652102273569</v>
      </c>
      <c r="AG34" s="833">
        <v>0.29688638321660044</v>
      </c>
      <c r="AH34" s="834">
        <v>1486.3115487969549</v>
      </c>
      <c r="AI34" s="835">
        <v>28239.919427142144</v>
      </c>
      <c r="AJ34" s="833">
        <v>0.29683244310559892</v>
      </c>
      <c r="AK34" s="834">
        <v>1491.6826988191767</v>
      </c>
      <c r="AL34" s="835">
        <v>29833.653976383535</v>
      </c>
      <c r="AM34" s="833">
        <v>0.30101931268609</v>
      </c>
      <c r="AN34" s="834">
        <v>1544.3970761304327</v>
      </c>
      <c r="AO34" s="835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0.25</v>
      </c>
      <c r="D35" s="837">
        <v>400</v>
      </c>
      <c r="E35" s="838">
        <v>102400</v>
      </c>
      <c r="F35" s="836">
        <v>0.25</v>
      </c>
      <c r="G35" s="837">
        <v>400</v>
      </c>
      <c r="H35" s="838">
        <v>4000</v>
      </c>
      <c r="I35" s="836">
        <v>0.25</v>
      </c>
      <c r="J35" s="837">
        <v>400</v>
      </c>
      <c r="K35" s="838">
        <v>4800</v>
      </c>
      <c r="L35" s="836">
        <v>0.25</v>
      </c>
      <c r="M35" s="837">
        <v>400</v>
      </c>
      <c r="N35" s="838">
        <v>12000</v>
      </c>
      <c r="O35" s="836">
        <v>0.25</v>
      </c>
      <c r="P35" s="837">
        <v>400</v>
      </c>
      <c r="Q35" s="838">
        <v>12800</v>
      </c>
      <c r="R35" s="836">
        <v>0.25</v>
      </c>
      <c r="S35" s="837">
        <v>400</v>
      </c>
      <c r="T35" s="838">
        <v>11600</v>
      </c>
      <c r="U35" s="836">
        <v>0.25</v>
      </c>
      <c r="V35" s="837">
        <v>400</v>
      </c>
      <c r="W35" s="838">
        <v>8800</v>
      </c>
      <c r="X35" s="836">
        <v>0.25</v>
      </c>
      <c r="Y35" s="837">
        <v>400</v>
      </c>
      <c r="Z35" s="838">
        <v>7200</v>
      </c>
      <c r="AA35" s="836">
        <v>0.25</v>
      </c>
      <c r="AB35" s="837">
        <v>400</v>
      </c>
      <c r="AC35" s="838">
        <v>8800</v>
      </c>
      <c r="AD35" s="836">
        <v>0.25</v>
      </c>
      <c r="AE35" s="837">
        <v>400</v>
      </c>
      <c r="AF35" s="838">
        <v>10400</v>
      </c>
      <c r="AG35" s="836">
        <v>0.25</v>
      </c>
      <c r="AH35" s="837">
        <v>400</v>
      </c>
      <c r="AI35" s="838">
        <v>7600</v>
      </c>
      <c r="AJ35" s="836">
        <v>0.25</v>
      </c>
      <c r="AK35" s="837">
        <v>400</v>
      </c>
      <c r="AL35" s="838">
        <v>8000</v>
      </c>
      <c r="AM35" s="836">
        <v>0.25</v>
      </c>
      <c r="AN35" s="837">
        <v>400</v>
      </c>
      <c r="AO35" s="838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100</v>
      </c>
      <c r="E36" s="835">
        <v>25600</v>
      </c>
      <c r="F36" s="813"/>
      <c r="G36" s="834">
        <v>100</v>
      </c>
      <c r="H36" s="835">
        <v>1000</v>
      </c>
      <c r="I36" s="813"/>
      <c r="J36" s="834">
        <v>100</v>
      </c>
      <c r="K36" s="835">
        <v>1200</v>
      </c>
      <c r="L36" s="813"/>
      <c r="M36" s="834">
        <v>100</v>
      </c>
      <c r="N36" s="835">
        <v>3000</v>
      </c>
      <c r="O36" s="813"/>
      <c r="P36" s="834">
        <v>100</v>
      </c>
      <c r="Q36" s="835">
        <v>3200</v>
      </c>
      <c r="R36" s="813"/>
      <c r="S36" s="834">
        <v>100</v>
      </c>
      <c r="T36" s="835">
        <v>2900</v>
      </c>
      <c r="U36" s="813"/>
      <c r="V36" s="834">
        <v>100</v>
      </c>
      <c r="W36" s="835">
        <v>2200</v>
      </c>
      <c r="X36" s="813"/>
      <c r="Y36" s="834">
        <v>100</v>
      </c>
      <c r="Z36" s="835">
        <v>1800</v>
      </c>
      <c r="AA36" s="813"/>
      <c r="AB36" s="834">
        <v>100</v>
      </c>
      <c r="AC36" s="835">
        <v>2200</v>
      </c>
      <c r="AD36" s="813"/>
      <c r="AE36" s="834">
        <v>100</v>
      </c>
      <c r="AF36" s="835">
        <v>2600</v>
      </c>
      <c r="AG36" s="813"/>
      <c r="AH36" s="834">
        <v>100</v>
      </c>
      <c r="AI36" s="835">
        <v>1900</v>
      </c>
      <c r="AJ36" s="813"/>
      <c r="AK36" s="834">
        <v>100</v>
      </c>
      <c r="AL36" s="835">
        <v>2000</v>
      </c>
      <c r="AM36" s="813"/>
      <c r="AN36" s="834">
        <v>100</v>
      </c>
      <c r="AO36" s="835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45</v>
      </c>
      <c r="E37" s="835">
        <v>11520</v>
      </c>
      <c r="F37" s="813"/>
      <c r="G37" s="834">
        <v>45</v>
      </c>
      <c r="H37" s="835">
        <v>450</v>
      </c>
      <c r="I37" s="813"/>
      <c r="J37" s="834">
        <v>45</v>
      </c>
      <c r="K37" s="835">
        <v>540</v>
      </c>
      <c r="L37" s="813"/>
      <c r="M37" s="834">
        <v>45</v>
      </c>
      <c r="N37" s="835">
        <v>1350</v>
      </c>
      <c r="O37" s="813"/>
      <c r="P37" s="834">
        <v>45</v>
      </c>
      <c r="Q37" s="835">
        <v>1440</v>
      </c>
      <c r="R37" s="813"/>
      <c r="S37" s="834">
        <v>45</v>
      </c>
      <c r="T37" s="835">
        <v>1305</v>
      </c>
      <c r="U37" s="813"/>
      <c r="V37" s="834">
        <v>45</v>
      </c>
      <c r="W37" s="835">
        <v>990</v>
      </c>
      <c r="X37" s="813"/>
      <c r="Y37" s="834">
        <v>45</v>
      </c>
      <c r="Z37" s="835">
        <v>810</v>
      </c>
      <c r="AA37" s="813"/>
      <c r="AB37" s="834">
        <v>45</v>
      </c>
      <c r="AC37" s="835">
        <v>990</v>
      </c>
      <c r="AD37" s="813"/>
      <c r="AE37" s="834">
        <v>45</v>
      </c>
      <c r="AF37" s="835">
        <v>1170</v>
      </c>
      <c r="AG37" s="813"/>
      <c r="AH37" s="834">
        <v>45</v>
      </c>
      <c r="AI37" s="835">
        <v>855</v>
      </c>
      <c r="AJ37" s="813"/>
      <c r="AK37" s="834">
        <v>45</v>
      </c>
      <c r="AL37" s="835">
        <v>900</v>
      </c>
      <c r="AM37" s="813"/>
      <c r="AN37" s="834">
        <v>45</v>
      </c>
      <c r="AO37" s="835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47.03125</v>
      </c>
      <c r="E38" s="838">
        <v>12040</v>
      </c>
      <c r="F38" s="839"/>
      <c r="G38" s="837">
        <v>55</v>
      </c>
      <c r="H38" s="838">
        <v>550</v>
      </c>
      <c r="I38" s="839"/>
      <c r="J38" s="837">
        <v>52.5</v>
      </c>
      <c r="K38" s="838">
        <v>630</v>
      </c>
      <c r="L38" s="839"/>
      <c r="M38" s="837">
        <v>45</v>
      </c>
      <c r="N38" s="838">
        <v>1350</v>
      </c>
      <c r="O38" s="839"/>
      <c r="P38" s="837">
        <v>44.6875</v>
      </c>
      <c r="Q38" s="838">
        <v>1430</v>
      </c>
      <c r="R38" s="839"/>
      <c r="S38" s="837">
        <v>45.172413793103445</v>
      </c>
      <c r="T38" s="838">
        <v>1310</v>
      </c>
      <c r="U38" s="839"/>
      <c r="V38" s="837">
        <v>46.81818181818182</v>
      </c>
      <c r="W38" s="838">
        <v>1030</v>
      </c>
      <c r="X38" s="839"/>
      <c r="Y38" s="837">
        <v>48.333333333333336</v>
      </c>
      <c r="Z38" s="838">
        <v>870</v>
      </c>
      <c r="AA38" s="839"/>
      <c r="AB38" s="837">
        <v>46.81818181818182</v>
      </c>
      <c r="AC38" s="838">
        <v>1030</v>
      </c>
      <c r="AD38" s="839"/>
      <c r="AE38" s="837">
        <v>45.769230769230766</v>
      </c>
      <c r="AF38" s="838">
        <v>1190</v>
      </c>
      <c r="AG38" s="839"/>
      <c r="AH38" s="837">
        <v>47.89473684210526</v>
      </c>
      <c r="AI38" s="838">
        <v>910</v>
      </c>
      <c r="AJ38" s="839"/>
      <c r="AK38" s="837">
        <v>47.5</v>
      </c>
      <c r="AL38" s="838">
        <v>950</v>
      </c>
      <c r="AM38" s="839"/>
      <c r="AN38" s="837">
        <v>49.375</v>
      </c>
      <c r="AO38" s="838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496.609375</v>
      </c>
      <c r="E39" s="835">
        <v>127132</v>
      </c>
      <c r="F39" s="813"/>
      <c r="G39" s="834">
        <v>496.609375</v>
      </c>
      <c r="H39" s="835">
        <v>4966.09375</v>
      </c>
      <c r="I39" s="813"/>
      <c r="J39" s="834">
        <v>496.609375</v>
      </c>
      <c r="K39" s="835">
        <v>5959.3125</v>
      </c>
      <c r="L39" s="813"/>
      <c r="M39" s="834">
        <v>496.609375</v>
      </c>
      <c r="N39" s="835">
        <v>14898.28125</v>
      </c>
      <c r="O39" s="813"/>
      <c r="P39" s="834">
        <v>496.609375</v>
      </c>
      <c r="Q39" s="835">
        <v>15891.5</v>
      </c>
      <c r="R39" s="813"/>
      <c r="S39" s="834">
        <v>496.609375</v>
      </c>
      <c r="T39" s="835">
        <v>14401.671875</v>
      </c>
      <c r="U39" s="813"/>
      <c r="V39" s="834">
        <v>496.609375</v>
      </c>
      <c r="W39" s="835">
        <v>10925.40625</v>
      </c>
      <c r="X39" s="813"/>
      <c r="Y39" s="834">
        <v>496.609375</v>
      </c>
      <c r="Z39" s="835">
        <v>8938.96875</v>
      </c>
      <c r="AA39" s="813"/>
      <c r="AB39" s="834">
        <v>496.609375</v>
      </c>
      <c r="AC39" s="835">
        <v>10925.40625</v>
      </c>
      <c r="AD39" s="813"/>
      <c r="AE39" s="834">
        <v>496.609375</v>
      </c>
      <c r="AF39" s="835">
        <v>12911.84375</v>
      </c>
      <c r="AG39" s="813"/>
      <c r="AH39" s="834">
        <v>496.609375</v>
      </c>
      <c r="AI39" s="835">
        <v>9435.578125</v>
      </c>
      <c r="AJ39" s="813"/>
      <c r="AK39" s="834">
        <v>496.609375</v>
      </c>
      <c r="AL39" s="835">
        <v>9932.1875</v>
      </c>
      <c r="AM39" s="813"/>
      <c r="AN39" s="834">
        <v>496.609375</v>
      </c>
      <c r="AO39" s="835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1254.1719194452933</v>
      </c>
      <c r="E40" s="835">
        <v>321068.01137799508</v>
      </c>
      <c r="F40" s="813"/>
      <c r="G40" s="834">
        <v>2225.5570350567468</v>
      </c>
      <c r="H40" s="835">
        <v>22255.570350567468</v>
      </c>
      <c r="I40" s="813"/>
      <c r="J40" s="834">
        <v>2114.5035338114762</v>
      </c>
      <c r="K40" s="835">
        <v>25374.042405737717</v>
      </c>
      <c r="L40" s="813"/>
      <c r="M40" s="834">
        <v>1066.4127459646913</v>
      </c>
      <c r="N40" s="835">
        <v>31992.38237894074</v>
      </c>
      <c r="O40" s="813"/>
      <c r="P40" s="834">
        <v>960.50061051781245</v>
      </c>
      <c r="Q40" s="835">
        <v>30736.019536569998</v>
      </c>
      <c r="R40" s="813"/>
      <c r="S40" s="834">
        <v>1007.2564167282692</v>
      </c>
      <c r="T40" s="835">
        <v>29210.436085119807</v>
      </c>
      <c r="U40" s="813"/>
      <c r="V40" s="834">
        <v>1162.5435392066952</v>
      </c>
      <c r="W40" s="835">
        <v>25575.957862547293</v>
      </c>
      <c r="X40" s="813"/>
      <c r="Y40" s="834">
        <v>1468.2494328499374</v>
      </c>
      <c r="Z40" s="835">
        <v>26428.489791298874</v>
      </c>
      <c r="AA40" s="813"/>
      <c r="AB40" s="834">
        <v>1296.1340687120262</v>
      </c>
      <c r="AC40" s="835">
        <v>28514.949511664578</v>
      </c>
      <c r="AD40" s="813"/>
      <c r="AE40" s="834">
        <v>1035.4638810747895</v>
      </c>
      <c r="AF40" s="835">
        <v>26922.060907944528</v>
      </c>
      <c r="AG40" s="813"/>
      <c r="AH40" s="834">
        <v>1378.7716280779189</v>
      </c>
      <c r="AI40" s="835">
        <v>26196.66093348046</v>
      </c>
      <c r="AJ40" s="813"/>
      <c r="AK40" s="834">
        <v>1233.9277916141241</v>
      </c>
      <c r="AL40" s="835">
        <v>24678.555832282484</v>
      </c>
      <c r="AM40" s="813"/>
      <c r="AN40" s="834">
        <v>1448.9303613650695</v>
      </c>
      <c r="AO40" s="835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0.56118897445973781</v>
      </c>
      <c r="E44" s="842">
        <v>981323.66137799504</v>
      </c>
      <c r="F44" s="840" t="s">
        <v>108</v>
      </c>
      <c r="G44" s="841">
        <v>0.73331590332419794</v>
      </c>
      <c r="H44" s="842">
        <v>49601.314051726949</v>
      </c>
      <c r="I44" s="840" t="s">
        <v>108</v>
      </c>
      <c r="J44" s="841">
        <v>0.69337431956924045</v>
      </c>
      <c r="K44" s="842">
        <v>57894.576803066462</v>
      </c>
      <c r="L44" s="840" t="s">
        <v>108</v>
      </c>
      <c r="M44" s="841">
        <v>0.52732887975841169</v>
      </c>
      <c r="N44" s="842">
        <v>108064.39942841689</v>
      </c>
      <c r="O44" s="840" t="s">
        <v>108</v>
      </c>
      <c r="P44" s="841">
        <v>0.50924575309761433</v>
      </c>
      <c r="Q44" s="842">
        <v>112308.16155940242</v>
      </c>
      <c r="R44" s="840" t="s">
        <v>108</v>
      </c>
      <c r="S44" s="841">
        <v>0.51666151526293813</v>
      </c>
      <c r="T44" s="842">
        <v>103798.69655601293</v>
      </c>
      <c r="U44" s="840" t="s">
        <v>108</v>
      </c>
      <c r="V44" s="841">
        <v>0.54761483841719472</v>
      </c>
      <c r="W44" s="842">
        <v>81718.419138365658</v>
      </c>
      <c r="X44" s="840" t="s">
        <v>108</v>
      </c>
      <c r="Y44" s="841">
        <v>0.60486494697571558</v>
      </c>
      <c r="Z44" s="842">
        <v>72802.274159730339</v>
      </c>
      <c r="AA44" s="840" t="s">
        <v>108</v>
      </c>
      <c r="AB44" s="841">
        <v>0.56889094271074014</v>
      </c>
      <c r="AC44" s="842">
        <v>84932.718126838678</v>
      </c>
      <c r="AD44" s="840" t="s">
        <v>108</v>
      </c>
      <c r="AE44" s="841">
        <v>0.52398056448212571</v>
      </c>
      <c r="AF44" s="842">
        <v>93422.556760218096</v>
      </c>
      <c r="AG44" s="840" t="s">
        <v>108</v>
      </c>
      <c r="AH44" s="841">
        <v>0.58845184382477822</v>
      </c>
      <c r="AI44" s="842">
        <v>75137.158485622611</v>
      </c>
      <c r="AJ44" s="840" t="s">
        <v>108</v>
      </c>
      <c r="AK44" s="841">
        <v>0.55902461664889647</v>
      </c>
      <c r="AL44" s="842">
        <v>76294.397308666012</v>
      </c>
      <c r="AM44" s="840" t="s">
        <v>108</v>
      </c>
      <c r="AN44" s="841">
        <v>0.59513573643336259</v>
      </c>
      <c r="AO44" s="842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150223.4</v>
      </c>
      <c r="F45" s="813"/>
      <c r="G45" s="821"/>
      <c r="H45" s="835">
        <v>12750.16882951654</v>
      </c>
      <c r="I45" s="813"/>
      <c r="J45" s="821"/>
      <c r="K45" s="835">
        <v>12353.222264631044</v>
      </c>
      <c r="L45" s="813"/>
      <c r="M45" s="821"/>
      <c r="N45" s="835">
        <v>12353.222264631044</v>
      </c>
      <c r="O45" s="813"/>
      <c r="P45" s="821"/>
      <c r="Q45" s="835">
        <v>12551.695547073792</v>
      </c>
      <c r="R45" s="813"/>
      <c r="S45" s="821"/>
      <c r="T45" s="835">
        <v>12750.16882951654</v>
      </c>
      <c r="U45" s="813"/>
      <c r="V45" s="821"/>
      <c r="W45" s="835">
        <v>12154.748982188295</v>
      </c>
      <c r="X45" s="813"/>
      <c r="Y45" s="821"/>
      <c r="Z45" s="835">
        <v>12750.16882951654</v>
      </c>
      <c r="AA45" s="813"/>
      <c r="AB45" s="821"/>
      <c r="AC45" s="835">
        <v>12551.695547073792</v>
      </c>
      <c r="AD45" s="813"/>
      <c r="AE45" s="821"/>
      <c r="AF45" s="835">
        <v>12353.222264631044</v>
      </c>
      <c r="AG45" s="813"/>
      <c r="AH45" s="821"/>
      <c r="AI45" s="835">
        <v>12750.16882951654</v>
      </c>
      <c r="AJ45" s="813"/>
      <c r="AK45" s="821"/>
      <c r="AL45" s="835">
        <v>12353.222264631044</v>
      </c>
      <c r="AM45" s="813"/>
      <c r="AN45" s="821"/>
      <c r="AO45" s="835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104129.9</v>
      </c>
      <c r="F46" s="813"/>
      <c r="G46" s="821"/>
      <c r="H46" s="835">
        <v>9014.8377862595426</v>
      </c>
      <c r="I46" s="813"/>
      <c r="J46" s="821"/>
      <c r="K46" s="835">
        <v>8436.5301526717558</v>
      </c>
      <c r="L46" s="813"/>
      <c r="M46" s="821"/>
      <c r="N46" s="835">
        <v>8436.5301526717558</v>
      </c>
      <c r="O46" s="813"/>
      <c r="P46" s="821"/>
      <c r="Q46" s="835">
        <v>8725.6839694656483</v>
      </c>
      <c r="R46" s="813"/>
      <c r="S46" s="821"/>
      <c r="T46" s="835">
        <v>9014.8377862595426</v>
      </c>
      <c r="U46" s="813"/>
      <c r="V46" s="821"/>
      <c r="W46" s="835">
        <v>8147.3763358778633</v>
      </c>
      <c r="X46" s="813"/>
      <c r="Y46" s="821"/>
      <c r="Z46" s="835">
        <v>9014.8377862595426</v>
      </c>
      <c r="AA46" s="813"/>
      <c r="AB46" s="821"/>
      <c r="AC46" s="835">
        <v>8725.6839694656483</v>
      </c>
      <c r="AD46" s="813"/>
      <c r="AE46" s="821"/>
      <c r="AF46" s="835">
        <v>8436.5301526717558</v>
      </c>
      <c r="AG46" s="813"/>
      <c r="AH46" s="821"/>
      <c r="AI46" s="835">
        <v>9014.8377862595426</v>
      </c>
      <c r="AJ46" s="813"/>
      <c r="AK46" s="821"/>
      <c r="AL46" s="835">
        <v>8436.5301526717558</v>
      </c>
      <c r="AM46" s="813"/>
      <c r="AN46" s="821"/>
      <c r="AO46" s="835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83157.726303449017</v>
      </c>
      <c r="F52" s="813"/>
      <c r="G52" s="821"/>
      <c r="H52" s="835">
        <v>5313.2598648552694</v>
      </c>
      <c r="I52" s="813"/>
      <c r="J52" s="821"/>
      <c r="K52" s="835">
        <v>4901.6183679567857</v>
      </c>
      <c r="L52" s="813"/>
      <c r="M52" s="821"/>
      <c r="N52" s="835">
        <v>7856.5596259514041</v>
      </c>
      <c r="O52" s="813"/>
      <c r="P52" s="821"/>
      <c r="Q52" s="835">
        <v>9076.1105071423463</v>
      </c>
      <c r="R52" s="813"/>
      <c r="S52" s="821"/>
      <c r="T52" s="835">
        <v>8639.8780003077063</v>
      </c>
      <c r="U52" s="813"/>
      <c r="V52" s="821"/>
      <c r="W52" s="835">
        <v>7010.6435510330384</v>
      </c>
      <c r="X52" s="813"/>
      <c r="Y52" s="821"/>
      <c r="Z52" s="835">
        <v>6503.6599867471423</v>
      </c>
      <c r="AA52" s="813"/>
      <c r="AB52" s="821"/>
      <c r="AC52" s="835">
        <v>6582.0273757830446</v>
      </c>
      <c r="AD52" s="813"/>
      <c r="AE52" s="821"/>
      <c r="AF52" s="835">
        <v>7870.6385057215039</v>
      </c>
      <c r="AG52" s="813"/>
      <c r="AH52" s="821"/>
      <c r="AI52" s="835">
        <v>6698.0431910222705</v>
      </c>
      <c r="AJ52" s="813"/>
      <c r="AK52" s="821"/>
      <c r="AL52" s="835">
        <v>6190.2803193551681</v>
      </c>
      <c r="AM52" s="813"/>
      <c r="AN52" s="821"/>
      <c r="AO52" s="835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110380.20240357806</v>
      </c>
      <c r="F53" s="843"/>
      <c r="G53" s="844"/>
      <c r="H53" s="845">
        <v>6731.5252175307178</v>
      </c>
      <c r="I53" s="843"/>
      <c r="J53" s="844"/>
      <c r="K53" s="845">
        <v>7057.1800464845473</v>
      </c>
      <c r="L53" s="843"/>
      <c r="M53" s="844"/>
      <c r="N53" s="845">
        <v>11311.601937176592</v>
      </c>
      <c r="O53" s="843"/>
      <c r="P53" s="844"/>
      <c r="Q53" s="845">
        <v>11970.580661415643</v>
      </c>
      <c r="R53" s="843"/>
      <c r="S53" s="844"/>
      <c r="T53" s="845">
        <v>11311.440425617326</v>
      </c>
      <c r="U53" s="843"/>
      <c r="V53" s="844"/>
      <c r="W53" s="845">
        <v>9178.4255367870064</v>
      </c>
      <c r="X53" s="843"/>
      <c r="Y53" s="844"/>
      <c r="Z53" s="845">
        <v>8451.6043990402995</v>
      </c>
      <c r="AA53" s="843"/>
      <c r="AB53" s="844"/>
      <c r="AC53" s="845">
        <v>9337.2132363862565</v>
      </c>
      <c r="AD53" s="843"/>
      <c r="AE53" s="844"/>
      <c r="AF53" s="845">
        <v>10151.685174481521</v>
      </c>
      <c r="AG53" s="843"/>
      <c r="AH53" s="844"/>
      <c r="AI53" s="845">
        <v>8556.6330044960159</v>
      </c>
      <c r="AJ53" s="843"/>
      <c r="AK53" s="844"/>
      <c r="AL53" s="845">
        <v>8584.8835000729105</v>
      </c>
      <c r="AM53" s="843"/>
      <c r="AN53" s="844"/>
      <c r="AO53" s="845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51053.689199999993</v>
      </c>
      <c r="F54" s="813"/>
      <c r="G54" s="821"/>
      <c r="H54" s="835">
        <v>3068.783555050768</v>
      </c>
      <c r="I54" s="813"/>
      <c r="J54" s="821"/>
      <c r="K54" s="835">
        <v>3217.243844720896</v>
      </c>
      <c r="L54" s="813"/>
      <c r="M54" s="821"/>
      <c r="N54" s="835">
        <v>5156.7597066540347</v>
      </c>
      <c r="O54" s="813"/>
      <c r="P54" s="821"/>
      <c r="Q54" s="835">
        <v>5457.1764779983077</v>
      </c>
      <c r="R54" s="813"/>
      <c r="S54" s="821"/>
      <c r="T54" s="835">
        <v>5194.8837510242529</v>
      </c>
      <c r="U54" s="813"/>
      <c r="V54" s="821"/>
      <c r="W54" s="835">
        <v>4215.27691319107</v>
      </c>
      <c r="X54" s="813"/>
      <c r="Y54" s="821"/>
      <c r="Z54" s="835">
        <v>3910.443826421631</v>
      </c>
      <c r="AA54" s="813"/>
      <c r="AB54" s="821"/>
      <c r="AC54" s="835">
        <v>4320.2031392234912</v>
      </c>
      <c r="AD54" s="813"/>
      <c r="AE54" s="821"/>
      <c r="AF54" s="835">
        <v>4732.3645174274761</v>
      </c>
      <c r="AG54" s="813"/>
      <c r="AH54" s="821"/>
      <c r="AI54" s="835">
        <v>4027.3202625616932</v>
      </c>
      <c r="AJ54" s="813"/>
      <c r="AK54" s="821"/>
      <c r="AL54" s="835">
        <v>4063.0746336222928</v>
      </c>
      <c r="AM54" s="813"/>
      <c r="AN54" s="821"/>
      <c r="AO54" s="835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11528.252399999999</v>
      </c>
      <c r="F55" s="813"/>
      <c r="G55" s="821"/>
      <c r="H55" s="835">
        <v>692.95112533404449</v>
      </c>
      <c r="I55" s="813"/>
      <c r="J55" s="821"/>
      <c r="K55" s="835">
        <v>726.47441654987983</v>
      </c>
      <c r="L55" s="813"/>
      <c r="M55" s="821"/>
      <c r="N55" s="835">
        <v>1164.4296111799433</v>
      </c>
      <c r="O55" s="813"/>
      <c r="P55" s="821"/>
      <c r="Q55" s="835">
        <v>1232.2656563221985</v>
      </c>
      <c r="R55" s="813"/>
      <c r="S55" s="821"/>
      <c r="T55" s="835">
        <v>1173.0382663603152</v>
      </c>
      <c r="U55" s="813"/>
      <c r="V55" s="821"/>
      <c r="W55" s="835">
        <v>951.83672233346738</v>
      </c>
      <c r="X55" s="813"/>
      <c r="Y55" s="821"/>
      <c r="Z55" s="835">
        <v>883.00344467585217</v>
      </c>
      <c r="AA55" s="813"/>
      <c r="AB55" s="821"/>
      <c r="AC55" s="835">
        <v>975.52974111498202</v>
      </c>
      <c r="AD55" s="813"/>
      <c r="AE55" s="821"/>
      <c r="AF55" s="835">
        <v>1068.5984394191075</v>
      </c>
      <c r="AG55" s="813"/>
      <c r="AH55" s="821"/>
      <c r="AI55" s="835">
        <v>909.39489799780176</v>
      </c>
      <c r="AJ55" s="813"/>
      <c r="AK55" s="821"/>
      <c r="AL55" s="835">
        <v>917.4684656566468</v>
      </c>
      <c r="AM55" s="813"/>
      <c r="AN55" s="821"/>
      <c r="AO55" s="835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0.29427093817292704</v>
      </c>
      <c r="E57" s="842">
        <v>514577.17030702706</v>
      </c>
      <c r="F57" s="840" t="s">
        <v>108</v>
      </c>
      <c r="G57" s="841">
        <v>0.56052127601893476</v>
      </c>
      <c r="H57" s="842">
        <v>37913.526378546878</v>
      </c>
      <c r="I57" s="840" t="s">
        <v>108</v>
      </c>
      <c r="J57" s="841">
        <v>0.44354087292945304</v>
      </c>
      <c r="K57" s="842">
        <v>37034.269093014904</v>
      </c>
      <c r="L57" s="840" t="s">
        <v>108</v>
      </c>
      <c r="M57" s="841">
        <v>0.22750003058741208</v>
      </c>
      <c r="N57" s="842">
        <v>46621.103298264774</v>
      </c>
      <c r="O57" s="840" t="s">
        <v>108</v>
      </c>
      <c r="P57" s="841">
        <v>0.22379571481053437</v>
      </c>
      <c r="Q57" s="842">
        <v>49355.512819417927</v>
      </c>
      <c r="R57" s="840" t="s">
        <v>108</v>
      </c>
      <c r="S57" s="841">
        <v>0.24104327909881865</v>
      </c>
      <c r="T57" s="842">
        <v>48426.247059085683</v>
      </c>
      <c r="U57" s="840" t="s">
        <v>108</v>
      </c>
      <c r="V57" s="841">
        <v>0.28145419532193772</v>
      </c>
      <c r="W57" s="842">
        <v>42000.308041410732</v>
      </c>
      <c r="X57" s="840" t="s">
        <v>108</v>
      </c>
      <c r="Y57" s="841">
        <v>0.34775090621588578</v>
      </c>
      <c r="Z57" s="842">
        <v>41855.718272661004</v>
      </c>
      <c r="AA57" s="840" t="s">
        <v>108</v>
      </c>
      <c r="AB57" s="841">
        <v>0.28691034504900886</v>
      </c>
      <c r="AC57" s="842">
        <v>42834.353009047212</v>
      </c>
      <c r="AD57" s="840" t="s">
        <v>108</v>
      </c>
      <c r="AE57" s="841">
        <v>0.25214003509317562</v>
      </c>
      <c r="AF57" s="842">
        <v>44955.039054352412</v>
      </c>
      <c r="AG57" s="840" t="s">
        <v>108</v>
      </c>
      <c r="AH57" s="841">
        <v>0.33126845330642146</v>
      </c>
      <c r="AI57" s="842">
        <v>42298.397971853854</v>
      </c>
      <c r="AJ57" s="840" t="s">
        <v>108</v>
      </c>
      <c r="AK57" s="841">
        <v>0.29959075747838659</v>
      </c>
      <c r="AL57" s="842">
        <v>40887.459336009815</v>
      </c>
      <c r="AM57" s="840" t="s">
        <v>108</v>
      </c>
      <c r="AN57" s="841">
        <v>0.36788095542583898</v>
      </c>
      <c r="AO57" s="842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60961.000000000022</v>
      </c>
      <c r="F60" s="848"/>
      <c r="G60" s="849"/>
      <c r="H60" s="850">
        <v>5080.0833333333339</v>
      </c>
      <c r="I60" s="848"/>
      <c r="J60" s="849"/>
      <c r="K60" s="850">
        <v>5080.0833333333339</v>
      </c>
      <c r="L60" s="848"/>
      <c r="M60" s="849"/>
      <c r="N60" s="850">
        <v>5080.0833333333339</v>
      </c>
      <c r="O60" s="848"/>
      <c r="P60" s="849"/>
      <c r="Q60" s="850">
        <v>5080.0833333333339</v>
      </c>
      <c r="R60" s="848"/>
      <c r="S60" s="849"/>
      <c r="T60" s="850">
        <v>5080.0833333333339</v>
      </c>
      <c r="U60" s="848"/>
      <c r="V60" s="849"/>
      <c r="W60" s="850">
        <v>5080.0833333333339</v>
      </c>
      <c r="X60" s="848"/>
      <c r="Y60" s="849"/>
      <c r="Z60" s="850">
        <v>5080.0833333333339</v>
      </c>
      <c r="AA60" s="848"/>
      <c r="AB60" s="849"/>
      <c r="AC60" s="850">
        <v>5080.0833333333339</v>
      </c>
      <c r="AD60" s="848"/>
      <c r="AE60" s="849"/>
      <c r="AF60" s="850">
        <v>5080.0833333333339</v>
      </c>
      <c r="AG60" s="848"/>
      <c r="AH60" s="849"/>
      <c r="AI60" s="850">
        <v>5080.0833333333339</v>
      </c>
      <c r="AJ60" s="848"/>
      <c r="AK60" s="849"/>
      <c r="AL60" s="850">
        <v>5080.0833333333339</v>
      </c>
      <c r="AM60" s="848"/>
      <c r="AN60" s="849"/>
      <c r="AO60" s="850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59916.600000000013</v>
      </c>
      <c r="F61" s="813"/>
      <c r="G61" s="821"/>
      <c r="H61" s="835">
        <v>4993.05</v>
      </c>
      <c r="I61" s="813"/>
      <c r="J61" s="821"/>
      <c r="K61" s="835">
        <v>4993.05</v>
      </c>
      <c r="L61" s="813"/>
      <c r="M61" s="821"/>
      <c r="N61" s="835">
        <v>4993.05</v>
      </c>
      <c r="O61" s="813"/>
      <c r="P61" s="821"/>
      <c r="Q61" s="835">
        <v>4993.05</v>
      </c>
      <c r="R61" s="813"/>
      <c r="S61" s="821"/>
      <c r="T61" s="835">
        <v>4993.05</v>
      </c>
      <c r="U61" s="813"/>
      <c r="V61" s="821"/>
      <c r="W61" s="835">
        <v>4993.05</v>
      </c>
      <c r="X61" s="813"/>
      <c r="Y61" s="821"/>
      <c r="Z61" s="835">
        <v>4993.05</v>
      </c>
      <c r="AA61" s="813"/>
      <c r="AB61" s="821"/>
      <c r="AC61" s="835">
        <v>4993.05</v>
      </c>
      <c r="AD61" s="813"/>
      <c r="AE61" s="821"/>
      <c r="AF61" s="835">
        <v>4993.05</v>
      </c>
      <c r="AG61" s="813"/>
      <c r="AH61" s="821"/>
      <c r="AI61" s="835">
        <v>4993.05</v>
      </c>
      <c r="AJ61" s="813"/>
      <c r="AK61" s="821"/>
      <c r="AL61" s="835">
        <v>4993.05</v>
      </c>
      <c r="AM61" s="813"/>
      <c r="AN61" s="821"/>
      <c r="AO61" s="835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9871.2000000000025</v>
      </c>
      <c r="F62" s="813"/>
      <c r="G62" s="821"/>
      <c r="H62" s="835">
        <v>822.6</v>
      </c>
      <c r="I62" s="813"/>
      <c r="J62" s="821"/>
      <c r="K62" s="835">
        <v>822.6</v>
      </c>
      <c r="L62" s="813"/>
      <c r="M62" s="821"/>
      <c r="N62" s="835">
        <v>822.6</v>
      </c>
      <c r="O62" s="813"/>
      <c r="P62" s="821"/>
      <c r="Q62" s="835">
        <v>822.6</v>
      </c>
      <c r="R62" s="813"/>
      <c r="S62" s="821"/>
      <c r="T62" s="835">
        <v>822.6</v>
      </c>
      <c r="U62" s="813"/>
      <c r="V62" s="821"/>
      <c r="W62" s="835">
        <v>822.6</v>
      </c>
      <c r="X62" s="813"/>
      <c r="Y62" s="821"/>
      <c r="Z62" s="835">
        <v>822.6</v>
      </c>
      <c r="AA62" s="813"/>
      <c r="AB62" s="821"/>
      <c r="AC62" s="835">
        <v>822.6</v>
      </c>
      <c r="AD62" s="813"/>
      <c r="AE62" s="821"/>
      <c r="AF62" s="835">
        <v>822.6</v>
      </c>
      <c r="AG62" s="813"/>
      <c r="AH62" s="821"/>
      <c r="AI62" s="835">
        <v>822.6</v>
      </c>
      <c r="AJ62" s="813"/>
      <c r="AK62" s="821"/>
      <c r="AL62" s="835">
        <v>822.6</v>
      </c>
      <c r="AM62" s="813"/>
      <c r="AN62" s="821"/>
      <c r="AO62" s="835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33053.4</v>
      </c>
      <c r="F63" s="848"/>
      <c r="G63" s="849"/>
      <c r="H63" s="850">
        <v>2754.4500000000003</v>
      </c>
      <c r="I63" s="848"/>
      <c r="J63" s="849"/>
      <c r="K63" s="850">
        <v>2754.4500000000003</v>
      </c>
      <c r="L63" s="848"/>
      <c r="M63" s="849"/>
      <c r="N63" s="850">
        <v>2754.4500000000003</v>
      </c>
      <c r="O63" s="848"/>
      <c r="P63" s="849"/>
      <c r="Q63" s="850">
        <v>2754.4500000000003</v>
      </c>
      <c r="R63" s="848"/>
      <c r="S63" s="849"/>
      <c r="T63" s="850">
        <v>2754.4500000000003</v>
      </c>
      <c r="U63" s="848"/>
      <c r="V63" s="849"/>
      <c r="W63" s="850">
        <v>2754.4500000000003</v>
      </c>
      <c r="X63" s="848"/>
      <c r="Y63" s="849"/>
      <c r="Z63" s="850">
        <v>2754.4500000000003</v>
      </c>
      <c r="AA63" s="848"/>
      <c r="AB63" s="849"/>
      <c r="AC63" s="850">
        <v>2754.4500000000003</v>
      </c>
      <c r="AD63" s="848"/>
      <c r="AE63" s="849"/>
      <c r="AF63" s="850">
        <v>2754.4500000000003</v>
      </c>
      <c r="AG63" s="848"/>
      <c r="AH63" s="849"/>
      <c r="AI63" s="850">
        <v>2754.4500000000003</v>
      </c>
      <c r="AJ63" s="848"/>
      <c r="AK63" s="849"/>
      <c r="AL63" s="850">
        <v>2754.4500000000003</v>
      </c>
      <c r="AM63" s="848"/>
      <c r="AN63" s="849"/>
      <c r="AO63" s="850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800</v>
      </c>
      <c r="F64" s="813"/>
      <c r="G64" s="821"/>
      <c r="H64" s="835">
        <v>31.25</v>
      </c>
      <c r="I64" s="813"/>
      <c r="J64" s="821"/>
      <c r="K64" s="835">
        <v>37.5</v>
      </c>
      <c r="L64" s="813"/>
      <c r="M64" s="821"/>
      <c r="N64" s="835">
        <v>93.75</v>
      </c>
      <c r="O64" s="813"/>
      <c r="P64" s="821"/>
      <c r="Q64" s="835">
        <v>100</v>
      </c>
      <c r="R64" s="813"/>
      <c r="S64" s="821"/>
      <c r="T64" s="835">
        <v>90.625</v>
      </c>
      <c r="U64" s="813"/>
      <c r="V64" s="821"/>
      <c r="W64" s="835">
        <v>68.75</v>
      </c>
      <c r="X64" s="813"/>
      <c r="Y64" s="821"/>
      <c r="Z64" s="835">
        <v>56.25</v>
      </c>
      <c r="AA64" s="813"/>
      <c r="AB64" s="821"/>
      <c r="AC64" s="835">
        <v>68.75</v>
      </c>
      <c r="AD64" s="813"/>
      <c r="AE64" s="821"/>
      <c r="AF64" s="835">
        <v>81.25</v>
      </c>
      <c r="AG64" s="813"/>
      <c r="AH64" s="821"/>
      <c r="AI64" s="835">
        <v>59.375</v>
      </c>
      <c r="AJ64" s="813"/>
      <c r="AK64" s="821"/>
      <c r="AL64" s="835">
        <v>62.5</v>
      </c>
      <c r="AM64" s="813"/>
      <c r="AN64" s="821"/>
      <c r="AO64" s="835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180</v>
      </c>
      <c r="F65" s="813"/>
      <c r="G65" s="821"/>
      <c r="H65" s="835">
        <v>15</v>
      </c>
      <c r="I65" s="813"/>
      <c r="J65" s="821"/>
      <c r="K65" s="835">
        <v>15</v>
      </c>
      <c r="L65" s="813"/>
      <c r="M65" s="821"/>
      <c r="N65" s="835">
        <v>15</v>
      </c>
      <c r="O65" s="813"/>
      <c r="P65" s="821"/>
      <c r="Q65" s="835">
        <v>15</v>
      </c>
      <c r="R65" s="813"/>
      <c r="S65" s="821"/>
      <c r="T65" s="835">
        <v>15</v>
      </c>
      <c r="U65" s="813"/>
      <c r="V65" s="821"/>
      <c r="W65" s="835">
        <v>15</v>
      </c>
      <c r="X65" s="813"/>
      <c r="Y65" s="821"/>
      <c r="Z65" s="835">
        <v>15</v>
      </c>
      <c r="AA65" s="813"/>
      <c r="AB65" s="821"/>
      <c r="AC65" s="835">
        <v>15</v>
      </c>
      <c r="AD65" s="813"/>
      <c r="AE65" s="821"/>
      <c r="AF65" s="835">
        <v>15</v>
      </c>
      <c r="AG65" s="813"/>
      <c r="AH65" s="821"/>
      <c r="AI65" s="835">
        <v>15</v>
      </c>
      <c r="AJ65" s="813"/>
      <c r="AK65" s="821"/>
      <c r="AL65" s="835">
        <v>15</v>
      </c>
      <c r="AM65" s="813"/>
      <c r="AN65" s="821"/>
      <c r="AO65" s="835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9450</v>
      </c>
      <c r="F66" s="813"/>
      <c r="G66" s="821"/>
      <c r="H66" s="835">
        <v>787.5</v>
      </c>
      <c r="I66" s="813"/>
      <c r="J66" s="821"/>
      <c r="K66" s="835">
        <v>787.5</v>
      </c>
      <c r="L66" s="813"/>
      <c r="M66" s="821"/>
      <c r="N66" s="835">
        <v>787.5</v>
      </c>
      <c r="O66" s="813"/>
      <c r="P66" s="821"/>
      <c r="Q66" s="835">
        <v>787.5</v>
      </c>
      <c r="R66" s="813"/>
      <c r="S66" s="821"/>
      <c r="T66" s="835">
        <v>787.5</v>
      </c>
      <c r="U66" s="813"/>
      <c r="V66" s="821"/>
      <c r="W66" s="835">
        <v>787.5</v>
      </c>
      <c r="X66" s="813"/>
      <c r="Y66" s="821"/>
      <c r="Z66" s="835">
        <v>787.5</v>
      </c>
      <c r="AA66" s="813"/>
      <c r="AB66" s="821"/>
      <c r="AC66" s="835">
        <v>787.5</v>
      </c>
      <c r="AD66" s="813"/>
      <c r="AE66" s="821"/>
      <c r="AF66" s="835">
        <v>787.5</v>
      </c>
      <c r="AG66" s="813"/>
      <c r="AH66" s="821"/>
      <c r="AI66" s="835">
        <v>787.5</v>
      </c>
      <c r="AJ66" s="813"/>
      <c r="AK66" s="821"/>
      <c r="AL66" s="835">
        <v>787.5</v>
      </c>
      <c r="AM66" s="813"/>
      <c r="AN66" s="821"/>
      <c r="AO66" s="835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2524.8000000000006</v>
      </c>
      <c r="F67" s="813"/>
      <c r="G67" s="821"/>
      <c r="H67" s="835">
        <v>210.4</v>
      </c>
      <c r="I67" s="813"/>
      <c r="J67" s="821"/>
      <c r="K67" s="835">
        <v>210.4</v>
      </c>
      <c r="L67" s="813"/>
      <c r="M67" s="821"/>
      <c r="N67" s="835">
        <v>210.4</v>
      </c>
      <c r="O67" s="813"/>
      <c r="P67" s="821"/>
      <c r="Q67" s="835">
        <v>210.4</v>
      </c>
      <c r="R67" s="813"/>
      <c r="S67" s="821"/>
      <c r="T67" s="835">
        <v>210.4</v>
      </c>
      <c r="U67" s="813"/>
      <c r="V67" s="821"/>
      <c r="W67" s="835">
        <v>210.4</v>
      </c>
      <c r="X67" s="813"/>
      <c r="Y67" s="821"/>
      <c r="Z67" s="835">
        <v>210.4</v>
      </c>
      <c r="AA67" s="813"/>
      <c r="AB67" s="821"/>
      <c r="AC67" s="835">
        <v>210.4</v>
      </c>
      <c r="AD67" s="813"/>
      <c r="AE67" s="821"/>
      <c r="AF67" s="835">
        <v>210.4</v>
      </c>
      <c r="AG67" s="813"/>
      <c r="AH67" s="821"/>
      <c r="AI67" s="835">
        <v>210.4</v>
      </c>
      <c r="AJ67" s="813"/>
      <c r="AK67" s="821"/>
      <c r="AL67" s="835">
        <v>210.4</v>
      </c>
      <c r="AM67" s="813"/>
      <c r="AN67" s="821"/>
      <c r="AO67" s="835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2700</v>
      </c>
      <c r="F68" s="813"/>
      <c r="G68" s="821"/>
      <c r="H68" s="835">
        <v>225</v>
      </c>
      <c r="I68" s="813"/>
      <c r="J68" s="821"/>
      <c r="K68" s="835">
        <v>225</v>
      </c>
      <c r="L68" s="813"/>
      <c r="M68" s="821"/>
      <c r="N68" s="835">
        <v>225</v>
      </c>
      <c r="O68" s="813"/>
      <c r="P68" s="821"/>
      <c r="Q68" s="835">
        <v>225</v>
      </c>
      <c r="R68" s="813"/>
      <c r="S68" s="821"/>
      <c r="T68" s="835">
        <v>225</v>
      </c>
      <c r="U68" s="813"/>
      <c r="V68" s="821"/>
      <c r="W68" s="835">
        <v>225</v>
      </c>
      <c r="X68" s="813"/>
      <c r="Y68" s="821"/>
      <c r="Z68" s="835">
        <v>225</v>
      </c>
      <c r="AA68" s="813"/>
      <c r="AB68" s="821"/>
      <c r="AC68" s="835">
        <v>225</v>
      </c>
      <c r="AD68" s="813"/>
      <c r="AE68" s="821"/>
      <c r="AF68" s="835">
        <v>225</v>
      </c>
      <c r="AG68" s="813"/>
      <c r="AH68" s="821"/>
      <c r="AI68" s="835">
        <v>225</v>
      </c>
      <c r="AJ68" s="813"/>
      <c r="AK68" s="821"/>
      <c r="AL68" s="835">
        <v>225</v>
      </c>
      <c r="AM68" s="813"/>
      <c r="AN68" s="821"/>
      <c r="AO68" s="835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10033.200000000003</v>
      </c>
      <c r="F69" s="813"/>
      <c r="G69" s="821"/>
      <c r="H69" s="835">
        <v>836.1</v>
      </c>
      <c r="I69" s="813"/>
      <c r="J69" s="821"/>
      <c r="K69" s="835">
        <v>836.1</v>
      </c>
      <c r="L69" s="813"/>
      <c r="M69" s="821"/>
      <c r="N69" s="835">
        <v>836.1</v>
      </c>
      <c r="O69" s="813"/>
      <c r="P69" s="821"/>
      <c r="Q69" s="835">
        <v>836.1</v>
      </c>
      <c r="R69" s="813"/>
      <c r="S69" s="821"/>
      <c r="T69" s="835">
        <v>836.1</v>
      </c>
      <c r="U69" s="813"/>
      <c r="V69" s="821"/>
      <c r="W69" s="835">
        <v>836.1</v>
      </c>
      <c r="X69" s="813"/>
      <c r="Y69" s="821"/>
      <c r="Z69" s="835">
        <v>836.1</v>
      </c>
      <c r="AA69" s="813"/>
      <c r="AB69" s="821"/>
      <c r="AC69" s="835">
        <v>836.1</v>
      </c>
      <c r="AD69" s="813"/>
      <c r="AE69" s="821"/>
      <c r="AF69" s="835">
        <v>836.1</v>
      </c>
      <c r="AG69" s="813"/>
      <c r="AH69" s="821"/>
      <c r="AI69" s="835">
        <v>836.1</v>
      </c>
      <c r="AJ69" s="813"/>
      <c r="AK69" s="821"/>
      <c r="AL69" s="835">
        <v>836.1</v>
      </c>
      <c r="AM69" s="813"/>
      <c r="AN69" s="821"/>
      <c r="AO69" s="835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5785.9657599999991</v>
      </c>
      <c r="F70" s="813"/>
      <c r="G70" s="821"/>
      <c r="H70" s="835">
        <v>482.16381333333317</v>
      </c>
      <c r="I70" s="813"/>
      <c r="J70" s="821"/>
      <c r="K70" s="835">
        <v>482.16381333333317</v>
      </c>
      <c r="L70" s="813"/>
      <c r="M70" s="821"/>
      <c r="N70" s="835">
        <v>482.16381333333317</v>
      </c>
      <c r="O70" s="813"/>
      <c r="P70" s="821"/>
      <c r="Q70" s="835">
        <v>482.16381333333317</v>
      </c>
      <c r="R70" s="813"/>
      <c r="S70" s="821"/>
      <c r="T70" s="835">
        <v>482.16381333333317</v>
      </c>
      <c r="U70" s="813"/>
      <c r="V70" s="821"/>
      <c r="W70" s="835">
        <v>482.16381333333317</v>
      </c>
      <c r="X70" s="813"/>
      <c r="Y70" s="821"/>
      <c r="Z70" s="835">
        <v>482.16381333333317</v>
      </c>
      <c r="AA70" s="813"/>
      <c r="AB70" s="821"/>
      <c r="AC70" s="835">
        <v>482.16381333333317</v>
      </c>
      <c r="AD70" s="813"/>
      <c r="AE70" s="821"/>
      <c r="AF70" s="835">
        <v>482.16381333333317</v>
      </c>
      <c r="AG70" s="813"/>
      <c r="AH70" s="821"/>
      <c r="AI70" s="835">
        <v>482.16381333333317</v>
      </c>
      <c r="AJ70" s="813"/>
      <c r="AK70" s="821"/>
      <c r="AL70" s="835">
        <v>482.16381333333317</v>
      </c>
      <c r="AM70" s="813"/>
      <c r="AN70" s="821"/>
      <c r="AO70" s="835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30702.742604844832</v>
      </c>
      <c r="F71" s="813"/>
      <c r="G71" s="821"/>
      <c r="H71" s="835">
        <v>1297.643594181766</v>
      </c>
      <c r="I71" s="813"/>
      <c r="J71" s="821"/>
      <c r="K71" s="835">
        <v>1615.3007286396985</v>
      </c>
      <c r="L71" s="813"/>
      <c r="M71" s="821"/>
      <c r="N71" s="835">
        <v>3073.9979689195829</v>
      </c>
      <c r="O71" s="813"/>
      <c r="P71" s="821"/>
      <c r="Q71" s="835">
        <v>3524.264134770599</v>
      </c>
      <c r="R71" s="813"/>
      <c r="S71" s="821"/>
      <c r="T71" s="835">
        <v>3588.6371577687878</v>
      </c>
      <c r="U71" s="813"/>
      <c r="V71" s="821"/>
      <c r="W71" s="835">
        <v>2782.0810187369511</v>
      </c>
      <c r="X71" s="813"/>
      <c r="Y71" s="821"/>
      <c r="Z71" s="835">
        <v>2461.544689296195</v>
      </c>
      <c r="AA71" s="813"/>
      <c r="AB71" s="821"/>
      <c r="AC71" s="835">
        <v>2783.4463893060597</v>
      </c>
      <c r="AD71" s="813"/>
      <c r="AE71" s="821"/>
      <c r="AF71" s="835">
        <v>3014.9839532556603</v>
      </c>
      <c r="AG71" s="813"/>
      <c r="AH71" s="821"/>
      <c r="AI71" s="835">
        <v>2360.8114257210227</v>
      </c>
      <c r="AJ71" s="813"/>
      <c r="AK71" s="821"/>
      <c r="AL71" s="835">
        <v>2428.512920473851</v>
      </c>
      <c r="AM71" s="813"/>
      <c r="AN71" s="821"/>
      <c r="AO71" s="835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0.12923042297453571</v>
      </c>
      <c r="E75" s="842">
        <v>225978.90836484486</v>
      </c>
      <c r="F75" s="840" t="s">
        <v>108</v>
      </c>
      <c r="G75" s="841">
        <v>0.25924456135320562</v>
      </c>
      <c r="H75" s="842">
        <v>17535.240740848436</v>
      </c>
      <c r="I75" s="840" t="s">
        <v>108</v>
      </c>
      <c r="J75" s="841">
        <v>0.21389006000076874</v>
      </c>
      <c r="K75" s="842">
        <v>17859.147875306367</v>
      </c>
      <c r="L75" s="840" t="s">
        <v>108</v>
      </c>
      <c r="M75" s="841">
        <v>9.4541032270322817E-2</v>
      </c>
      <c r="N75" s="842">
        <v>19374.095115586253</v>
      </c>
      <c r="O75" s="840" t="s">
        <v>108</v>
      </c>
      <c r="P75" s="841">
        <v>8.9919151343779716E-2</v>
      </c>
      <c r="Q75" s="842">
        <v>19830.611281437268</v>
      </c>
      <c r="R75" s="840" t="s">
        <v>108</v>
      </c>
      <c r="S75" s="841">
        <v>9.8981291442442845E-2</v>
      </c>
      <c r="T75" s="842">
        <v>19885.609304435457</v>
      </c>
      <c r="U75" s="840" t="s">
        <v>108</v>
      </c>
      <c r="V75" s="841">
        <v>0.12770674777818408</v>
      </c>
      <c r="W75" s="842">
        <v>19057.17816540362</v>
      </c>
      <c r="X75" s="840" t="s">
        <v>108</v>
      </c>
      <c r="Y75" s="841">
        <v>0.15556625379485817</v>
      </c>
      <c r="Z75" s="842">
        <v>18724.141835962862</v>
      </c>
      <c r="AA75" s="840" t="s">
        <v>108</v>
      </c>
      <c r="AB75" s="841">
        <v>0.12765672685385385</v>
      </c>
      <c r="AC75" s="842">
        <v>19058.543535972727</v>
      </c>
      <c r="AD75" s="840" t="s">
        <v>108</v>
      </c>
      <c r="AE75" s="841">
        <v>0.10826269041917518</v>
      </c>
      <c r="AF75" s="842">
        <v>19302.581099922329</v>
      </c>
      <c r="AG75" s="840" t="s">
        <v>108</v>
      </c>
      <c r="AH75" s="841">
        <v>0.14587746257177145</v>
      </c>
      <c r="AI75" s="842">
        <v>18626.533572387692</v>
      </c>
      <c r="AJ75" s="840" t="s">
        <v>108</v>
      </c>
      <c r="AK75" s="841">
        <v>0.13699937233388926</v>
      </c>
      <c r="AL75" s="842">
        <v>18697.360067140518</v>
      </c>
      <c r="AM75" s="840" t="s">
        <v>108</v>
      </c>
      <c r="AN75" s="841">
        <v>0.16418046148541374</v>
      </c>
      <c r="AO75" s="842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0.98469033560720065</v>
      </c>
      <c r="E77" s="851">
        <v>1721879.740049867</v>
      </c>
      <c r="F77" s="840" t="s">
        <v>108</v>
      </c>
      <c r="G77" s="841">
        <v>1.5530817406963382</v>
      </c>
      <c r="H77" s="851">
        <v>105050.08117112226</v>
      </c>
      <c r="I77" s="840" t="s">
        <v>108</v>
      </c>
      <c r="J77" s="841">
        <v>1.3508052524994623</v>
      </c>
      <c r="K77" s="851">
        <v>112787.99377138773</v>
      </c>
      <c r="L77" s="840" t="s">
        <v>108</v>
      </c>
      <c r="M77" s="841">
        <v>0.84936994261614651</v>
      </c>
      <c r="N77" s="851">
        <v>174059.59784226789</v>
      </c>
      <c r="O77" s="840" t="s">
        <v>108</v>
      </c>
      <c r="P77" s="841">
        <v>0.82296061925192843</v>
      </c>
      <c r="Q77" s="851">
        <v>181494.28566025762</v>
      </c>
      <c r="R77" s="840" t="s">
        <v>108</v>
      </c>
      <c r="S77" s="841">
        <v>0.85668608580419958</v>
      </c>
      <c r="T77" s="851">
        <v>172110.55291953406</v>
      </c>
      <c r="U77" s="840" t="s">
        <v>108</v>
      </c>
      <c r="V77" s="841">
        <v>0.95677578151731657</v>
      </c>
      <c r="W77" s="851">
        <v>142775.90534518001</v>
      </c>
      <c r="X77" s="840" t="s">
        <v>108</v>
      </c>
      <c r="Y77" s="841">
        <v>1.1081821069864597</v>
      </c>
      <c r="Z77" s="851">
        <v>133382.13426835422</v>
      </c>
      <c r="AA77" s="840" t="s">
        <v>108</v>
      </c>
      <c r="AB77" s="841">
        <v>0.98345801461360283</v>
      </c>
      <c r="AC77" s="851">
        <v>146825.61467185861</v>
      </c>
      <c r="AD77" s="840" t="s">
        <v>108</v>
      </c>
      <c r="AE77" s="841">
        <v>0.88438328999447646</v>
      </c>
      <c r="AF77" s="851">
        <v>157680.17691449283</v>
      </c>
      <c r="AG77" s="840" t="s">
        <v>108</v>
      </c>
      <c r="AH77" s="841">
        <v>1.0655977597029713</v>
      </c>
      <c r="AI77" s="851">
        <v>136062.09002986416</v>
      </c>
      <c r="AJ77" s="840" t="s">
        <v>108</v>
      </c>
      <c r="AK77" s="841">
        <v>0.99561474646117232</v>
      </c>
      <c r="AL77" s="851">
        <v>135879.21671181635</v>
      </c>
      <c r="AM77" s="840" t="s">
        <v>108</v>
      </c>
      <c r="AN77" s="841">
        <v>1.1271971533446155</v>
      </c>
      <c r="AO77" s="851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394</v>
      </c>
      <c r="C78" s="813"/>
      <c r="D78" s="821"/>
      <c r="E78" s="835">
        <v>378571.4800000001</v>
      </c>
      <c r="F78" s="813"/>
      <c r="G78" s="821"/>
      <c r="H78" s="835">
        <v>14560.441538461544</v>
      </c>
      <c r="I78" s="813"/>
      <c r="J78" s="821"/>
      <c r="K78" s="835">
        <v>17472.529846153851</v>
      </c>
      <c r="L78" s="813"/>
      <c r="M78" s="821"/>
      <c r="N78" s="835">
        <v>45137.368769230787</v>
      </c>
      <c r="O78" s="813"/>
      <c r="P78" s="821"/>
      <c r="Q78" s="835">
        <v>48049.457076923092</v>
      </c>
      <c r="R78" s="813"/>
      <c r="S78" s="821"/>
      <c r="T78" s="835">
        <v>43681.324615384634</v>
      </c>
      <c r="U78" s="813"/>
      <c r="V78" s="821"/>
      <c r="W78" s="835">
        <v>32032.971384615397</v>
      </c>
      <c r="X78" s="813"/>
      <c r="Y78" s="821"/>
      <c r="Z78" s="835">
        <v>26208.794769230779</v>
      </c>
      <c r="AA78" s="813"/>
      <c r="AB78" s="821"/>
      <c r="AC78" s="835">
        <v>32032.971384615397</v>
      </c>
      <c r="AD78" s="813"/>
      <c r="AE78" s="821"/>
      <c r="AF78" s="835">
        <v>39313.192153846168</v>
      </c>
      <c r="AG78" s="813"/>
      <c r="AH78" s="821"/>
      <c r="AI78" s="835">
        <v>27664.838923076932</v>
      </c>
      <c r="AJ78" s="813"/>
      <c r="AK78" s="821"/>
      <c r="AL78" s="835">
        <v>29120.883076923088</v>
      </c>
      <c r="AM78" s="813"/>
      <c r="AN78" s="821"/>
      <c r="AO78" s="835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432653.12000000011</v>
      </c>
      <c r="F81" s="813"/>
      <c r="G81" s="821"/>
      <c r="H81" s="835">
        <v>16640.50461538462</v>
      </c>
      <c r="I81" s="813"/>
      <c r="J81" s="821"/>
      <c r="K81" s="835">
        <v>19968.605538461543</v>
      </c>
      <c r="L81" s="813"/>
      <c r="M81" s="821"/>
      <c r="N81" s="835">
        <v>51585.564307692322</v>
      </c>
      <c r="O81" s="813"/>
      <c r="P81" s="821"/>
      <c r="Q81" s="835">
        <v>54913.665230769249</v>
      </c>
      <c r="R81" s="813"/>
      <c r="S81" s="821"/>
      <c r="T81" s="835">
        <v>49921.513846153859</v>
      </c>
      <c r="U81" s="813"/>
      <c r="V81" s="821"/>
      <c r="W81" s="835">
        <v>36609.110153846166</v>
      </c>
      <c r="X81" s="813"/>
      <c r="Y81" s="821"/>
      <c r="Z81" s="835">
        <v>29952.908307692316</v>
      </c>
      <c r="AA81" s="813"/>
      <c r="AB81" s="821"/>
      <c r="AC81" s="835">
        <v>36609.110153846166</v>
      </c>
      <c r="AD81" s="813"/>
      <c r="AE81" s="821"/>
      <c r="AF81" s="835">
        <v>44929.362461538476</v>
      </c>
      <c r="AG81" s="813"/>
      <c r="AH81" s="821"/>
      <c r="AI81" s="835">
        <v>31616.95876923078</v>
      </c>
      <c r="AJ81" s="813"/>
      <c r="AK81" s="821"/>
      <c r="AL81" s="835">
        <v>33281.009230769239</v>
      </c>
      <c r="AM81" s="813"/>
      <c r="AN81" s="821"/>
      <c r="AO81" s="835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150796.79999999999</v>
      </c>
      <c r="F85" s="813"/>
      <c r="G85" s="821"/>
      <c r="H85" s="835">
        <v>5890.5</v>
      </c>
      <c r="I85" s="813"/>
      <c r="J85" s="821"/>
      <c r="K85" s="835">
        <v>7068.6</v>
      </c>
      <c r="L85" s="813"/>
      <c r="M85" s="821"/>
      <c r="N85" s="835">
        <v>17671.5</v>
      </c>
      <c r="O85" s="813"/>
      <c r="P85" s="821"/>
      <c r="Q85" s="835">
        <v>18849.599999999999</v>
      </c>
      <c r="R85" s="813"/>
      <c r="S85" s="821"/>
      <c r="T85" s="835">
        <v>17082.45</v>
      </c>
      <c r="U85" s="813"/>
      <c r="V85" s="821"/>
      <c r="W85" s="835">
        <v>12959.1</v>
      </c>
      <c r="X85" s="813"/>
      <c r="Y85" s="821"/>
      <c r="Z85" s="835">
        <v>10602.9</v>
      </c>
      <c r="AA85" s="813"/>
      <c r="AB85" s="821"/>
      <c r="AC85" s="835">
        <v>12959.1</v>
      </c>
      <c r="AD85" s="813"/>
      <c r="AE85" s="821"/>
      <c r="AF85" s="835">
        <v>15315.3</v>
      </c>
      <c r="AG85" s="813"/>
      <c r="AH85" s="821"/>
      <c r="AI85" s="835">
        <v>11191.95</v>
      </c>
      <c r="AJ85" s="813"/>
      <c r="AK85" s="821"/>
      <c r="AL85" s="835">
        <v>11781</v>
      </c>
      <c r="AM85" s="813"/>
      <c r="AN85" s="821"/>
      <c r="AO85" s="835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962021.40000000014</v>
      </c>
      <c r="F86" s="852"/>
      <c r="G86" s="853"/>
      <c r="H86" s="854">
        <v>37091.446153846162</v>
      </c>
      <c r="I86" s="852"/>
      <c r="J86" s="853"/>
      <c r="K86" s="854">
        <v>44509.735384615393</v>
      </c>
      <c r="L86" s="852"/>
      <c r="M86" s="853"/>
      <c r="N86" s="854">
        <v>114394.4330769231</v>
      </c>
      <c r="O86" s="852"/>
      <c r="P86" s="853"/>
      <c r="Q86" s="854">
        <v>121812.72230769234</v>
      </c>
      <c r="R86" s="852"/>
      <c r="S86" s="853"/>
      <c r="T86" s="854">
        <v>110685.28846153848</v>
      </c>
      <c r="U86" s="852"/>
      <c r="V86" s="853"/>
      <c r="W86" s="854">
        <v>81601.181538461562</v>
      </c>
      <c r="X86" s="852"/>
      <c r="Y86" s="853"/>
      <c r="Z86" s="854">
        <v>66764.603076923086</v>
      </c>
      <c r="AA86" s="852"/>
      <c r="AB86" s="853"/>
      <c r="AC86" s="854">
        <v>81601.181538461562</v>
      </c>
      <c r="AD86" s="852"/>
      <c r="AE86" s="853"/>
      <c r="AF86" s="854">
        <v>99557.85461538464</v>
      </c>
      <c r="AG86" s="852"/>
      <c r="AH86" s="853"/>
      <c r="AI86" s="854">
        <v>70473.747692307705</v>
      </c>
      <c r="AJ86" s="852"/>
      <c r="AK86" s="853"/>
      <c r="AL86" s="854">
        <v>74182.892307692324</v>
      </c>
      <c r="AM86" s="852"/>
      <c r="AN86" s="853"/>
      <c r="AO86" s="854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988792.65995013318</v>
      </c>
      <c r="F88" s="858"/>
      <c r="G88" s="859"/>
      <c r="H88" s="860">
        <v>-318.87181716140185</v>
      </c>
      <c r="I88" s="858"/>
      <c r="J88" s="859"/>
      <c r="K88" s="860">
        <v>15218.599182215119</v>
      </c>
      <c r="L88" s="858"/>
      <c r="M88" s="859"/>
      <c r="N88" s="860">
        <v>145262.73426784502</v>
      </c>
      <c r="O88" s="858"/>
      <c r="P88" s="859"/>
      <c r="Q88" s="860">
        <v>160856.67555519193</v>
      </c>
      <c r="R88" s="858"/>
      <c r="S88" s="859"/>
      <c r="T88" s="860">
        <v>139477.44164580229</v>
      </c>
      <c r="U88" s="858"/>
      <c r="V88" s="859"/>
      <c r="W88" s="860">
        <v>88051.36249613174</v>
      </c>
      <c r="X88" s="858"/>
      <c r="Y88" s="859"/>
      <c r="Z88" s="860">
        <v>53743.674270609365</v>
      </c>
      <c r="AA88" s="858"/>
      <c r="AB88" s="859"/>
      <c r="AC88" s="860">
        <v>84070.82145817377</v>
      </c>
      <c r="AD88" s="858"/>
      <c r="AE88" s="859"/>
      <c r="AF88" s="860">
        <v>120171.61280619852</v>
      </c>
      <c r="AG88" s="858"/>
      <c r="AH88" s="859"/>
      <c r="AI88" s="860">
        <v>62097.821405684357</v>
      </c>
      <c r="AJ88" s="858"/>
      <c r="AK88" s="859"/>
      <c r="AL88" s="860">
        <v>74781.381651142263</v>
      </c>
      <c r="AM88" s="858"/>
      <c r="AN88" s="859"/>
      <c r="AO88" s="860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2824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2024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16032344.827586208</v>
      </c>
      <c r="F96" s="802"/>
      <c r="G96" s="803"/>
      <c r="H96" s="867">
        <v>716603.44827586203</v>
      </c>
      <c r="I96" s="802"/>
      <c r="J96" s="803"/>
      <c r="K96" s="867">
        <v>912137.93103448278</v>
      </c>
      <c r="L96" s="802"/>
      <c r="M96" s="803"/>
      <c r="N96" s="867">
        <v>1274517.2413793104</v>
      </c>
      <c r="O96" s="802"/>
      <c r="P96" s="803"/>
      <c r="Q96" s="867">
        <v>1661741.3793103448</v>
      </c>
      <c r="R96" s="802"/>
      <c r="S96" s="803"/>
      <c r="T96" s="867">
        <v>1890275.8620689656</v>
      </c>
      <c r="U96" s="802"/>
      <c r="V96" s="803"/>
      <c r="W96" s="867">
        <v>1628741.3793103448</v>
      </c>
      <c r="X96" s="802"/>
      <c r="Y96" s="803"/>
      <c r="Z96" s="867">
        <v>1593896.551724138</v>
      </c>
      <c r="AA96" s="802"/>
      <c r="AB96" s="803"/>
      <c r="AC96" s="867">
        <v>1661741.3793103448</v>
      </c>
      <c r="AD96" s="802"/>
      <c r="AE96" s="803"/>
      <c r="AF96" s="867">
        <v>1560896.551724138</v>
      </c>
      <c r="AG96" s="802"/>
      <c r="AH96" s="803"/>
      <c r="AI96" s="867">
        <v>1241517.2413793104</v>
      </c>
      <c r="AJ96" s="802"/>
      <c r="AK96" s="803"/>
      <c r="AL96" s="867">
        <v>1103827.5862068965</v>
      </c>
      <c r="AM96" s="802"/>
      <c r="AN96" s="803"/>
      <c r="AO96" s="867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68</v>
      </c>
      <c r="D97" s="806">
        <v>3000</v>
      </c>
      <c r="E97" s="807">
        <v>204000</v>
      </c>
      <c r="F97" s="805">
        <v>3</v>
      </c>
      <c r="G97" s="806">
        <v>3000</v>
      </c>
      <c r="H97" s="807">
        <v>9000</v>
      </c>
      <c r="I97" s="805">
        <v>4</v>
      </c>
      <c r="J97" s="806">
        <v>3000</v>
      </c>
      <c r="K97" s="807">
        <v>12000</v>
      </c>
      <c r="L97" s="805">
        <v>5</v>
      </c>
      <c r="M97" s="806">
        <v>3000</v>
      </c>
      <c r="N97" s="807">
        <v>15000</v>
      </c>
      <c r="O97" s="805">
        <v>7</v>
      </c>
      <c r="P97" s="806">
        <v>3000</v>
      </c>
      <c r="Q97" s="807">
        <v>21000</v>
      </c>
      <c r="R97" s="805">
        <v>8</v>
      </c>
      <c r="S97" s="806">
        <v>3000</v>
      </c>
      <c r="T97" s="807">
        <v>24000</v>
      </c>
      <c r="U97" s="805">
        <v>7</v>
      </c>
      <c r="V97" s="806">
        <v>3000</v>
      </c>
      <c r="W97" s="807">
        <v>21000</v>
      </c>
      <c r="X97" s="805">
        <v>7</v>
      </c>
      <c r="Y97" s="806">
        <v>3000</v>
      </c>
      <c r="Z97" s="807">
        <v>21000</v>
      </c>
      <c r="AA97" s="805">
        <v>7</v>
      </c>
      <c r="AB97" s="806">
        <v>3000</v>
      </c>
      <c r="AC97" s="807">
        <v>21000</v>
      </c>
      <c r="AD97" s="805">
        <v>7</v>
      </c>
      <c r="AE97" s="806">
        <v>3000</v>
      </c>
      <c r="AF97" s="807">
        <v>21000</v>
      </c>
      <c r="AG97" s="805">
        <v>5</v>
      </c>
      <c r="AH97" s="806">
        <v>3000</v>
      </c>
      <c r="AI97" s="807">
        <v>15000</v>
      </c>
      <c r="AJ97" s="805">
        <v>5</v>
      </c>
      <c r="AK97" s="806">
        <v>3000</v>
      </c>
      <c r="AL97" s="807">
        <v>15000</v>
      </c>
      <c r="AM97" s="805">
        <v>3</v>
      </c>
      <c r="AN97" s="806">
        <v>3000</v>
      </c>
      <c r="AO97" s="807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50</v>
      </c>
      <c r="D98" s="806">
        <v>2200</v>
      </c>
      <c r="E98" s="807">
        <v>110000</v>
      </c>
      <c r="F98" s="805">
        <v>2</v>
      </c>
      <c r="G98" s="806">
        <v>2200</v>
      </c>
      <c r="H98" s="807">
        <v>4400</v>
      </c>
      <c r="I98" s="805">
        <v>3</v>
      </c>
      <c r="J98" s="806">
        <v>2200</v>
      </c>
      <c r="K98" s="807">
        <v>6600</v>
      </c>
      <c r="L98" s="805">
        <v>4</v>
      </c>
      <c r="M98" s="806">
        <v>2200</v>
      </c>
      <c r="N98" s="807">
        <v>8800</v>
      </c>
      <c r="O98" s="805">
        <v>5</v>
      </c>
      <c r="P98" s="806">
        <v>2200</v>
      </c>
      <c r="Q98" s="807">
        <v>11000</v>
      </c>
      <c r="R98" s="805">
        <v>6</v>
      </c>
      <c r="S98" s="806">
        <v>2200</v>
      </c>
      <c r="T98" s="807">
        <v>13200</v>
      </c>
      <c r="U98" s="805">
        <v>5</v>
      </c>
      <c r="V98" s="806">
        <v>2200</v>
      </c>
      <c r="W98" s="807">
        <v>11000</v>
      </c>
      <c r="X98" s="805">
        <v>5</v>
      </c>
      <c r="Y98" s="806">
        <v>2200</v>
      </c>
      <c r="Z98" s="807">
        <v>11000</v>
      </c>
      <c r="AA98" s="805">
        <v>5</v>
      </c>
      <c r="AB98" s="806">
        <v>2200</v>
      </c>
      <c r="AC98" s="807">
        <v>11000</v>
      </c>
      <c r="AD98" s="805">
        <v>5</v>
      </c>
      <c r="AE98" s="806">
        <v>2200</v>
      </c>
      <c r="AF98" s="807">
        <v>11000</v>
      </c>
      <c r="AG98" s="805">
        <v>4</v>
      </c>
      <c r="AH98" s="806">
        <v>2200</v>
      </c>
      <c r="AI98" s="807">
        <v>8800</v>
      </c>
      <c r="AJ98" s="805">
        <v>3</v>
      </c>
      <c r="AK98" s="806">
        <v>2200</v>
      </c>
      <c r="AL98" s="807">
        <v>6600</v>
      </c>
      <c r="AM98" s="805">
        <v>3</v>
      </c>
      <c r="AN98" s="806">
        <v>2200</v>
      </c>
      <c r="AO98" s="807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2825</v>
      </c>
      <c r="C99" s="805">
        <v>86</v>
      </c>
      <c r="D99" s="806">
        <v>1850</v>
      </c>
      <c r="E99" s="807">
        <v>159100</v>
      </c>
      <c r="F99" s="805">
        <v>4</v>
      </c>
      <c r="G99" s="806">
        <v>1850</v>
      </c>
      <c r="H99" s="807">
        <v>7400</v>
      </c>
      <c r="I99" s="805">
        <v>5</v>
      </c>
      <c r="J99" s="806">
        <v>1850</v>
      </c>
      <c r="K99" s="807">
        <v>9250</v>
      </c>
      <c r="L99" s="805">
        <v>7</v>
      </c>
      <c r="M99" s="806">
        <v>1850</v>
      </c>
      <c r="N99" s="807">
        <v>12950</v>
      </c>
      <c r="O99" s="805">
        <v>9</v>
      </c>
      <c r="P99" s="806">
        <v>1850</v>
      </c>
      <c r="Q99" s="807">
        <v>16650</v>
      </c>
      <c r="R99" s="805">
        <v>10</v>
      </c>
      <c r="S99" s="806">
        <v>1850</v>
      </c>
      <c r="T99" s="807">
        <v>18500</v>
      </c>
      <c r="U99" s="805">
        <v>9</v>
      </c>
      <c r="V99" s="806">
        <v>1850</v>
      </c>
      <c r="W99" s="807">
        <v>16650</v>
      </c>
      <c r="X99" s="805">
        <v>8</v>
      </c>
      <c r="Y99" s="806">
        <v>1850</v>
      </c>
      <c r="Z99" s="807">
        <v>14800</v>
      </c>
      <c r="AA99" s="805">
        <v>9</v>
      </c>
      <c r="AB99" s="806">
        <v>1850</v>
      </c>
      <c r="AC99" s="807">
        <v>16650</v>
      </c>
      <c r="AD99" s="805">
        <v>8</v>
      </c>
      <c r="AE99" s="806">
        <v>1850</v>
      </c>
      <c r="AF99" s="807">
        <v>14800</v>
      </c>
      <c r="AG99" s="805">
        <v>7</v>
      </c>
      <c r="AH99" s="806">
        <v>1850</v>
      </c>
      <c r="AI99" s="807">
        <v>12950</v>
      </c>
      <c r="AJ99" s="805">
        <v>6</v>
      </c>
      <c r="AK99" s="806">
        <v>1850</v>
      </c>
      <c r="AL99" s="807">
        <v>11100</v>
      </c>
      <c r="AM99" s="805">
        <v>4</v>
      </c>
      <c r="AN99" s="806">
        <v>1850</v>
      </c>
      <c r="AO99" s="807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204</v>
      </c>
      <c r="D100" s="811">
        <v>2319.1176470588234</v>
      </c>
      <c r="E100" s="812">
        <v>473100</v>
      </c>
      <c r="F100" s="810">
        <v>9</v>
      </c>
      <c r="G100" s="811">
        <v>2311.1111111111113</v>
      </c>
      <c r="H100" s="812">
        <v>20800</v>
      </c>
      <c r="I100" s="810">
        <v>12</v>
      </c>
      <c r="J100" s="811">
        <v>2320.8333333333335</v>
      </c>
      <c r="K100" s="812">
        <v>27850</v>
      </c>
      <c r="L100" s="810">
        <v>16</v>
      </c>
      <c r="M100" s="811">
        <v>2296.875</v>
      </c>
      <c r="N100" s="812">
        <v>36750</v>
      </c>
      <c r="O100" s="810">
        <v>21</v>
      </c>
      <c r="P100" s="811">
        <v>2316.6666666666665</v>
      </c>
      <c r="Q100" s="812">
        <v>48650</v>
      </c>
      <c r="R100" s="810">
        <v>24</v>
      </c>
      <c r="S100" s="811">
        <v>2320.8333333333335</v>
      </c>
      <c r="T100" s="812">
        <v>55700</v>
      </c>
      <c r="U100" s="810">
        <v>21</v>
      </c>
      <c r="V100" s="811">
        <v>2316.6666666666665</v>
      </c>
      <c r="W100" s="812">
        <v>48650</v>
      </c>
      <c r="X100" s="810">
        <v>20</v>
      </c>
      <c r="Y100" s="811">
        <v>2340</v>
      </c>
      <c r="Z100" s="812">
        <v>46800</v>
      </c>
      <c r="AA100" s="810">
        <v>21</v>
      </c>
      <c r="AB100" s="811">
        <v>2316.6666666666665</v>
      </c>
      <c r="AC100" s="812">
        <v>48650</v>
      </c>
      <c r="AD100" s="810">
        <v>20</v>
      </c>
      <c r="AE100" s="811">
        <v>2340</v>
      </c>
      <c r="AF100" s="812">
        <v>46800</v>
      </c>
      <c r="AG100" s="810">
        <v>16</v>
      </c>
      <c r="AH100" s="811">
        <v>2296.875</v>
      </c>
      <c r="AI100" s="812">
        <v>36750</v>
      </c>
      <c r="AJ100" s="810">
        <v>14</v>
      </c>
      <c r="AK100" s="811">
        <v>2335.7142857142858</v>
      </c>
      <c r="AL100" s="812">
        <v>32700</v>
      </c>
      <c r="AM100" s="810">
        <v>10</v>
      </c>
      <c r="AN100" s="811">
        <v>2300</v>
      </c>
      <c r="AO100" s="812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/>
      <c r="J102" s="821"/>
      <c r="K102" s="814"/>
      <c r="L102" s="813"/>
      <c r="M102" s="821"/>
      <c r="N102" s="814"/>
      <c r="O102" s="813"/>
      <c r="P102" s="821"/>
      <c r="Q102" s="814"/>
      <c r="R102" s="813"/>
      <c r="S102" s="821"/>
      <c r="T102" s="814"/>
      <c r="U102" s="813"/>
      <c r="V102" s="821"/>
      <c r="W102" s="814"/>
      <c r="X102" s="813"/>
      <c r="Y102" s="821"/>
      <c r="Z102" s="814"/>
      <c r="AA102" s="813"/>
      <c r="AB102" s="821"/>
      <c r="AC102" s="814"/>
      <c r="AD102" s="813"/>
      <c r="AE102" s="821"/>
      <c r="AF102" s="814"/>
      <c r="AG102" s="813"/>
      <c r="AH102" s="821"/>
      <c r="AI102" s="814"/>
      <c r="AJ102" s="813"/>
      <c r="AK102" s="821"/>
      <c r="AL102" s="814"/>
      <c r="AM102" s="813"/>
      <c r="AN102" s="821"/>
      <c r="AO102" s="814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220</v>
      </c>
      <c r="D103" s="806">
        <v>375</v>
      </c>
      <c r="E103" s="807">
        <v>82500</v>
      </c>
      <c r="F103" s="805">
        <v>10</v>
      </c>
      <c r="G103" s="806">
        <v>375</v>
      </c>
      <c r="H103" s="807">
        <v>3750</v>
      </c>
      <c r="I103" s="805">
        <v>12</v>
      </c>
      <c r="J103" s="806">
        <v>375</v>
      </c>
      <c r="K103" s="807">
        <v>4500</v>
      </c>
      <c r="L103" s="805">
        <v>18</v>
      </c>
      <c r="M103" s="806">
        <v>375</v>
      </c>
      <c r="N103" s="807">
        <v>6750</v>
      </c>
      <c r="O103" s="805">
        <v>23</v>
      </c>
      <c r="P103" s="806">
        <v>375</v>
      </c>
      <c r="Q103" s="807">
        <v>8625</v>
      </c>
      <c r="R103" s="805">
        <v>26</v>
      </c>
      <c r="S103" s="806">
        <v>375</v>
      </c>
      <c r="T103" s="807">
        <v>9750</v>
      </c>
      <c r="U103" s="805">
        <v>22</v>
      </c>
      <c r="V103" s="806">
        <v>375</v>
      </c>
      <c r="W103" s="807">
        <v>8250</v>
      </c>
      <c r="X103" s="805">
        <v>22</v>
      </c>
      <c r="Y103" s="806">
        <v>375</v>
      </c>
      <c r="Z103" s="807">
        <v>8250</v>
      </c>
      <c r="AA103" s="805">
        <v>23</v>
      </c>
      <c r="AB103" s="806">
        <v>375</v>
      </c>
      <c r="AC103" s="807">
        <v>8625</v>
      </c>
      <c r="AD103" s="805">
        <v>21</v>
      </c>
      <c r="AE103" s="806">
        <v>375</v>
      </c>
      <c r="AF103" s="807">
        <v>7875</v>
      </c>
      <c r="AG103" s="805">
        <v>17</v>
      </c>
      <c r="AH103" s="806">
        <v>375</v>
      </c>
      <c r="AI103" s="807">
        <v>6375</v>
      </c>
      <c r="AJ103" s="805">
        <v>15</v>
      </c>
      <c r="AK103" s="806">
        <v>375</v>
      </c>
      <c r="AL103" s="807">
        <v>5625</v>
      </c>
      <c r="AM103" s="805">
        <v>11</v>
      </c>
      <c r="AN103" s="806">
        <v>375</v>
      </c>
      <c r="AO103" s="807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600</v>
      </c>
      <c r="E105" s="807">
        <v>122400</v>
      </c>
      <c r="F105" s="805"/>
      <c r="G105" s="806">
        <v>600</v>
      </c>
      <c r="H105" s="807">
        <v>5400</v>
      </c>
      <c r="I105" s="805"/>
      <c r="J105" s="806">
        <v>600</v>
      </c>
      <c r="K105" s="807">
        <v>7200</v>
      </c>
      <c r="L105" s="805"/>
      <c r="M105" s="806">
        <v>600</v>
      </c>
      <c r="N105" s="807">
        <v>9600</v>
      </c>
      <c r="O105" s="805"/>
      <c r="P105" s="806">
        <v>600</v>
      </c>
      <c r="Q105" s="807">
        <v>12600</v>
      </c>
      <c r="R105" s="805"/>
      <c r="S105" s="806">
        <v>600</v>
      </c>
      <c r="T105" s="807">
        <v>14400</v>
      </c>
      <c r="U105" s="805"/>
      <c r="V105" s="806">
        <v>600</v>
      </c>
      <c r="W105" s="807">
        <v>12600</v>
      </c>
      <c r="X105" s="805"/>
      <c r="Y105" s="806">
        <v>600</v>
      </c>
      <c r="Z105" s="807">
        <v>12000</v>
      </c>
      <c r="AA105" s="805"/>
      <c r="AB105" s="806">
        <v>600</v>
      </c>
      <c r="AC105" s="807">
        <v>12600</v>
      </c>
      <c r="AD105" s="805"/>
      <c r="AE105" s="806">
        <v>600</v>
      </c>
      <c r="AF105" s="807">
        <v>12000</v>
      </c>
      <c r="AG105" s="805"/>
      <c r="AH105" s="806">
        <v>600</v>
      </c>
      <c r="AI105" s="807">
        <v>9600</v>
      </c>
      <c r="AJ105" s="805"/>
      <c r="AK105" s="806">
        <v>600</v>
      </c>
      <c r="AL105" s="807">
        <v>8400</v>
      </c>
      <c r="AM105" s="805"/>
      <c r="AN105" s="806">
        <v>600</v>
      </c>
      <c r="AO105" s="807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880</v>
      </c>
      <c r="E106" s="807">
        <v>179520</v>
      </c>
      <c r="F106" s="805"/>
      <c r="G106" s="806">
        <v>880</v>
      </c>
      <c r="H106" s="807">
        <v>7920</v>
      </c>
      <c r="I106" s="805"/>
      <c r="J106" s="806">
        <v>880</v>
      </c>
      <c r="K106" s="807">
        <v>10560</v>
      </c>
      <c r="L106" s="805"/>
      <c r="M106" s="806">
        <v>880</v>
      </c>
      <c r="N106" s="807">
        <v>14080</v>
      </c>
      <c r="O106" s="805"/>
      <c r="P106" s="806">
        <v>880</v>
      </c>
      <c r="Q106" s="807">
        <v>18480</v>
      </c>
      <c r="R106" s="805"/>
      <c r="S106" s="806">
        <v>880</v>
      </c>
      <c r="T106" s="807">
        <v>21120</v>
      </c>
      <c r="U106" s="805"/>
      <c r="V106" s="806">
        <v>880</v>
      </c>
      <c r="W106" s="807">
        <v>18480</v>
      </c>
      <c r="X106" s="805"/>
      <c r="Y106" s="806">
        <v>880</v>
      </c>
      <c r="Z106" s="807">
        <v>17600</v>
      </c>
      <c r="AA106" s="805"/>
      <c r="AB106" s="806">
        <v>880</v>
      </c>
      <c r="AC106" s="807">
        <v>18480</v>
      </c>
      <c r="AD106" s="805"/>
      <c r="AE106" s="806">
        <v>880</v>
      </c>
      <c r="AF106" s="807">
        <v>17600</v>
      </c>
      <c r="AG106" s="805"/>
      <c r="AH106" s="806">
        <v>880</v>
      </c>
      <c r="AI106" s="807">
        <v>14080</v>
      </c>
      <c r="AJ106" s="805"/>
      <c r="AK106" s="806">
        <v>880</v>
      </c>
      <c r="AL106" s="807">
        <v>12320</v>
      </c>
      <c r="AM106" s="805"/>
      <c r="AN106" s="806">
        <v>880</v>
      </c>
      <c r="AO106" s="807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170</v>
      </c>
      <c r="E107" s="807">
        <v>34680</v>
      </c>
      <c r="F107" s="805"/>
      <c r="G107" s="869">
        <v>170</v>
      </c>
      <c r="H107" s="807">
        <v>1530</v>
      </c>
      <c r="I107" s="805"/>
      <c r="J107" s="869">
        <v>170</v>
      </c>
      <c r="K107" s="807">
        <v>2040</v>
      </c>
      <c r="L107" s="805"/>
      <c r="M107" s="869">
        <v>170</v>
      </c>
      <c r="N107" s="807">
        <v>2720</v>
      </c>
      <c r="O107" s="805"/>
      <c r="P107" s="869">
        <v>170</v>
      </c>
      <c r="Q107" s="807">
        <v>3570</v>
      </c>
      <c r="R107" s="805"/>
      <c r="S107" s="869">
        <v>170</v>
      </c>
      <c r="T107" s="807">
        <v>4080</v>
      </c>
      <c r="U107" s="805"/>
      <c r="V107" s="869">
        <v>170</v>
      </c>
      <c r="W107" s="807">
        <v>3570</v>
      </c>
      <c r="X107" s="805"/>
      <c r="Y107" s="869">
        <v>170</v>
      </c>
      <c r="Z107" s="807">
        <v>3400</v>
      </c>
      <c r="AA107" s="805"/>
      <c r="AB107" s="869">
        <v>170</v>
      </c>
      <c r="AC107" s="807">
        <v>3570</v>
      </c>
      <c r="AD107" s="805"/>
      <c r="AE107" s="869">
        <v>170</v>
      </c>
      <c r="AF107" s="807">
        <v>3400</v>
      </c>
      <c r="AG107" s="805"/>
      <c r="AH107" s="869">
        <v>170</v>
      </c>
      <c r="AI107" s="807">
        <v>2720</v>
      </c>
      <c r="AJ107" s="805"/>
      <c r="AK107" s="869">
        <v>170</v>
      </c>
      <c r="AL107" s="807">
        <v>2380</v>
      </c>
      <c r="AM107" s="805"/>
      <c r="AN107" s="869">
        <v>170</v>
      </c>
      <c r="AO107" s="807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204</v>
      </c>
      <c r="D108" s="811">
        <v>1650</v>
      </c>
      <c r="E108" s="812">
        <v>336600</v>
      </c>
      <c r="F108" s="810">
        <v>9</v>
      </c>
      <c r="G108" s="811">
        <v>1650</v>
      </c>
      <c r="H108" s="812">
        <v>14850</v>
      </c>
      <c r="I108" s="810">
        <v>12</v>
      </c>
      <c r="J108" s="811">
        <v>1650</v>
      </c>
      <c r="K108" s="812">
        <v>19800</v>
      </c>
      <c r="L108" s="810">
        <v>16</v>
      </c>
      <c r="M108" s="811">
        <v>1650</v>
      </c>
      <c r="N108" s="812">
        <v>26400</v>
      </c>
      <c r="O108" s="810">
        <v>21</v>
      </c>
      <c r="P108" s="811">
        <v>1650</v>
      </c>
      <c r="Q108" s="812">
        <v>34650</v>
      </c>
      <c r="R108" s="810">
        <v>24</v>
      </c>
      <c r="S108" s="811">
        <v>1650</v>
      </c>
      <c r="T108" s="812">
        <v>39600</v>
      </c>
      <c r="U108" s="810">
        <v>21</v>
      </c>
      <c r="V108" s="811">
        <v>1650</v>
      </c>
      <c r="W108" s="812">
        <v>34650</v>
      </c>
      <c r="X108" s="810">
        <v>20</v>
      </c>
      <c r="Y108" s="811">
        <v>1650</v>
      </c>
      <c r="Z108" s="812">
        <v>33000</v>
      </c>
      <c r="AA108" s="810">
        <v>21</v>
      </c>
      <c r="AB108" s="811">
        <v>1650</v>
      </c>
      <c r="AC108" s="812">
        <v>34650</v>
      </c>
      <c r="AD108" s="810">
        <v>20</v>
      </c>
      <c r="AE108" s="811">
        <v>1650</v>
      </c>
      <c r="AF108" s="812">
        <v>33000</v>
      </c>
      <c r="AG108" s="810">
        <v>16</v>
      </c>
      <c r="AH108" s="811">
        <v>1650</v>
      </c>
      <c r="AI108" s="812">
        <v>26400</v>
      </c>
      <c r="AJ108" s="810">
        <v>14</v>
      </c>
      <c r="AK108" s="811">
        <v>1650</v>
      </c>
      <c r="AL108" s="812">
        <v>23100</v>
      </c>
      <c r="AM108" s="810">
        <v>10</v>
      </c>
      <c r="AN108" s="811">
        <v>1650</v>
      </c>
      <c r="AO108" s="812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424</v>
      </c>
      <c r="D111" s="824">
        <v>2104.2452830188681</v>
      </c>
      <c r="E111" s="825">
        <v>892200</v>
      </c>
      <c r="F111" s="823">
        <v>19</v>
      </c>
      <c r="G111" s="824">
        <v>2073.6842105263158</v>
      </c>
      <c r="H111" s="825">
        <v>39400</v>
      </c>
      <c r="I111" s="823">
        <v>24</v>
      </c>
      <c r="J111" s="824">
        <v>2172.9166666666665</v>
      </c>
      <c r="K111" s="825">
        <v>52150</v>
      </c>
      <c r="L111" s="823">
        <v>34</v>
      </c>
      <c r="M111" s="824">
        <v>2055.8823529411766</v>
      </c>
      <c r="N111" s="825">
        <v>69900</v>
      </c>
      <c r="O111" s="823">
        <v>44</v>
      </c>
      <c r="P111" s="824">
        <v>2089.2045454545455</v>
      </c>
      <c r="Q111" s="825">
        <v>91925</v>
      </c>
      <c r="R111" s="823">
        <v>50</v>
      </c>
      <c r="S111" s="824">
        <v>2101</v>
      </c>
      <c r="T111" s="825">
        <v>105050</v>
      </c>
      <c r="U111" s="823">
        <v>43</v>
      </c>
      <c r="V111" s="824">
        <v>2129.0697674418607</v>
      </c>
      <c r="W111" s="825">
        <v>91550</v>
      </c>
      <c r="X111" s="823">
        <v>42</v>
      </c>
      <c r="Y111" s="824">
        <v>2096.4285714285716</v>
      </c>
      <c r="Z111" s="825">
        <v>88050</v>
      </c>
      <c r="AA111" s="823">
        <v>44</v>
      </c>
      <c r="AB111" s="824">
        <v>2089.2045454545455</v>
      </c>
      <c r="AC111" s="825">
        <v>91925</v>
      </c>
      <c r="AD111" s="823">
        <v>41</v>
      </c>
      <c r="AE111" s="824">
        <v>2138.4146341463415</v>
      </c>
      <c r="AF111" s="825">
        <v>87675</v>
      </c>
      <c r="AG111" s="823">
        <v>33</v>
      </c>
      <c r="AH111" s="824">
        <v>2106.818181818182</v>
      </c>
      <c r="AI111" s="825">
        <v>69525</v>
      </c>
      <c r="AJ111" s="823">
        <v>29</v>
      </c>
      <c r="AK111" s="824">
        <v>2118.1034482758619</v>
      </c>
      <c r="AL111" s="825">
        <v>61425</v>
      </c>
      <c r="AM111" s="823">
        <v>21</v>
      </c>
      <c r="AN111" s="824">
        <v>2077.3809523809523</v>
      </c>
      <c r="AO111" s="825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0.33846966814626928</v>
      </c>
      <c r="D115" s="834">
        <v>1357.0338983050847</v>
      </c>
      <c r="E115" s="835">
        <v>160130</v>
      </c>
      <c r="F115" s="874">
        <v>0.37681297709923667</v>
      </c>
      <c r="G115" s="834">
        <v>1567.5419847328244</v>
      </c>
      <c r="H115" s="835">
        <v>7837.7099236641225</v>
      </c>
      <c r="I115" s="874">
        <v>0.35237984294270014</v>
      </c>
      <c r="J115" s="834">
        <v>1401.9683751363141</v>
      </c>
      <c r="K115" s="835">
        <v>9813.778625954199</v>
      </c>
      <c r="L115" s="874">
        <v>0.33969465648854963</v>
      </c>
      <c r="M115" s="834">
        <v>1387.086513994911</v>
      </c>
      <c r="N115" s="835">
        <v>12483.778625954199</v>
      </c>
      <c r="O115" s="874">
        <v>0.33141303750892415</v>
      </c>
      <c r="P115" s="834">
        <v>1343.6036895674299</v>
      </c>
      <c r="Q115" s="835">
        <v>16123.24427480916</v>
      </c>
      <c r="R115" s="874">
        <v>0.32868419970671675</v>
      </c>
      <c r="S115" s="834">
        <v>1307.6935659760088</v>
      </c>
      <c r="T115" s="835">
        <v>18307.709923664122</v>
      </c>
      <c r="U115" s="874">
        <v>0.32855730682629469</v>
      </c>
      <c r="V115" s="834">
        <v>1332.0260814249364</v>
      </c>
      <c r="W115" s="835">
        <v>15984.312977099236</v>
      </c>
      <c r="X115" s="874">
        <v>0.33413910093299409</v>
      </c>
      <c r="Y115" s="834">
        <v>1303.1424936386768</v>
      </c>
      <c r="Z115" s="835">
        <v>15637.709923664122</v>
      </c>
      <c r="AA115" s="874">
        <v>0.33141303750892415</v>
      </c>
      <c r="AB115" s="834">
        <v>1343.6036895674299</v>
      </c>
      <c r="AC115" s="835">
        <v>16123.24427480916</v>
      </c>
      <c r="AD115" s="874">
        <v>0.33117048346055983</v>
      </c>
      <c r="AE115" s="834">
        <v>1291.5648854961833</v>
      </c>
      <c r="AF115" s="835">
        <v>15498.778625954199</v>
      </c>
      <c r="AG115" s="874">
        <v>0.34347509996364961</v>
      </c>
      <c r="AH115" s="834">
        <v>1402.5233248515692</v>
      </c>
      <c r="AI115" s="835">
        <v>12622.709923664122</v>
      </c>
      <c r="AJ115" s="874">
        <v>0.34461096715456269</v>
      </c>
      <c r="AK115" s="834">
        <v>1408.5973282442749</v>
      </c>
      <c r="AL115" s="835">
        <v>11268.778625954199</v>
      </c>
      <c r="AM115" s="874">
        <v>0.36644540325257219</v>
      </c>
      <c r="AN115" s="834">
        <v>1404.70737913486</v>
      </c>
      <c r="AO115" s="835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0.25</v>
      </c>
      <c r="D116" s="837">
        <v>713.13559322033893</v>
      </c>
      <c r="E116" s="838">
        <v>84150</v>
      </c>
      <c r="F116" s="836">
        <v>0.25</v>
      </c>
      <c r="G116" s="837">
        <v>742.5</v>
      </c>
      <c r="H116" s="838">
        <v>3712.5</v>
      </c>
      <c r="I116" s="836">
        <v>0.25</v>
      </c>
      <c r="J116" s="837">
        <v>707.14285714285711</v>
      </c>
      <c r="K116" s="838">
        <v>4950</v>
      </c>
      <c r="L116" s="836">
        <v>0.25</v>
      </c>
      <c r="M116" s="837">
        <v>733.33333333333337</v>
      </c>
      <c r="N116" s="838">
        <v>6600</v>
      </c>
      <c r="O116" s="836">
        <v>0.25</v>
      </c>
      <c r="P116" s="837">
        <v>721.875</v>
      </c>
      <c r="Q116" s="838">
        <v>8662.5</v>
      </c>
      <c r="R116" s="836">
        <v>0.25</v>
      </c>
      <c r="S116" s="837">
        <v>707.14285714285711</v>
      </c>
      <c r="T116" s="838">
        <v>9900</v>
      </c>
      <c r="U116" s="836">
        <v>0.25</v>
      </c>
      <c r="V116" s="837">
        <v>721.875</v>
      </c>
      <c r="W116" s="838">
        <v>8662.5</v>
      </c>
      <c r="X116" s="836">
        <v>0.25</v>
      </c>
      <c r="Y116" s="837">
        <v>687.5</v>
      </c>
      <c r="Z116" s="838">
        <v>8250</v>
      </c>
      <c r="AA116" s="836">
        <v>0.25</v>
      </c>
      <c r="AB116" s="837">
        <v>721.875</v>
      </c>
      <c r="AC116" s="838">
        <v>8662.5</v>
      </c>
      <c r="AD116" s="836">
        <v>0.25</v>
      </c>
      <c r="AE116" s="837">
        <v>687.5</v>
      </c>
      <c r="AF116" s="838">
        <v>8250</v>
      </c>
      <c r="AG116" s="836">
        <v>0.25</v>
      </c>
      <c r="AH116" s="837">
        <v>733.33333333333337</v>
      </c>
      <c r="AI116" s="838">
        <v>6600</v>
      </c>
      <c r="AJ116" s="836">
        <v>0.25</v>
      </c>
      <c r="AK116" s="837">
        <v>721.875</v>
      </c>
      <c r="AL116" s="838">
        <v>5775</v>
      </c>
      <c r="AM116" s="836">
        <v>0.25</v>
      </c>
      <c r="AN116" s="837">
        <v>687.5</v>
      </c>
      <c r="AO116" s="838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190.16949152542372</v>
      </c>
      <c r="E117" s="835">
        <v>22440</v>
      </c>
      <c r="F117" s="813"/>
      <c r="G117" s="834">
        <v>198</v>
      </c>
      <c r="H117" s="835">
        <v>990</v>
      </c>
      <c r="I117" s="813"/>
      <c r="J117" s="834">
        <v>188.57142857142858</v>
      </c>
      <c r="K117" s="835">
        <v>1320</v>
      </c>
      <c r="L117" s="813"/>
      <c r="M117" s="834">
        <v>195.55555555555554</v>
      </c>
      <c r="N117" s="835">
        <v>1760</v>
      </c>
      <c r="O117" s="813"/>
      <c r="P117" s="834">
        <v>192.5</v>
      </c>
      <c r="Q117" s="835">
        <v>2310</v>
      </c>
      <c r="R117" s="813"/>
      <c r="S117" s="834">
        <v>188.57142857142858</v>
      </c>
      <c r="T117" s="835">
        <v>2640</v>
      </c>
      <c r="U117" s="813"/>
      <c r="V117" s="834">
        <v>192.5</v>
      </c>
      <c r="W117" s="835">
        <v>2310</v>
      </c>
      <c r="X117" s="813"/>
      <c r="Y117" s="834">
        <v>183.33333333333334</v>
      </c>
      <c r="Z117" s="835">
        <v>2200</v>
      </c>
      <c r="AA117" s="813"/>
      <c r="AB117" s="834">
        <v>192.5</v>
      </c>
      <c r="AC117" s="835">
        <v>2310</v>
      </c>
      <c r="AD117" s="813"/>
      <c r="AE117" s="834">
        <v>183.33333333333334</v>
      </c>
      <c r="AF117" s="835">
        <v>2200</v>
      </c>
      <c r="AG117" s="813"/>
      <c r="AH117" s="834">
        <v>195.55555555555554</v>
      </c>
      <c r="AI117" s="835">
        <v>1760</v>
      </c>
      <c r="AJ117" s="813"/>
      <c r="AK117" s="834">
        <v>192.5</v>
      </c>
      <c r="AL117" s="835">
        <v>1540</v>
      </c>
      <c r="AM117" s="813"/>
      <c r="AN117" s="834">
        <v>183.33333333333334</v>
      </c>
      <c r="AO117" s="835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155.59322033898306</v>
      </c>
      <c r="E118" s="835">
        <v>18360</v>
      </c>
      <c r="F118" s="813"/>
      <c r="G118" s="834">
        <v>162</v>
      </c>
      <c r="H118" s="835">
        <v>810</v>
      </c>
      <c r="I118" s="813"/>
      <c r="J118" s="834">
        <v>154.28571428571428</v>
      </c>
      <c r="K118" s="835">
        <v>1080</v>
      </c>
      <c r="L118" s="813"/>
      <c r="M118" s="834">
        <v>160</v>
      </c>
      <c r="N118" s="835">
        <v>1440</v>
      </c>
      <c r="O118" s="813"/>
      <c r="P118" s="834">
        <v>157.5</v>
      </c>
      <c r="Q118" s="835">
        <v>1890</v>
      </c>
      <c r="R118" s="813"/>
      <c r="S118" s="834">
        <v>154.28571428571428</v>
      </c>
      <c r="T118" s="835">
        <v>2160</v>
      </c>
      <c r="U118" s="813"/>
      <c r="V118" s="834">
        <v>157.5</v>
      </c>
      <c r="W118" s="835">
        <v>1890</v>
      </c>
      <c r="X118" s="813"/>
      <c r="Y118" s="834">
        <v>150</v>
      </c>
      <c r="Z118" s="835">
        <v>1800</v>
      </c>
      <c r="AA118" s="813"/>
      <c r="AB118" s="834">
        <v>157.5</v>
      </c>
      <c r="AC118" s="835">
        <v>1890</v>
      </c>
      <c r="AD118" s="813"/>
      <c r="AE118" s="834">
        <v>150</v>
      </c>
      <c r="AF118" s="835">
        <v>1800</v>
      </c>
      <c r="AG118" s="813"/>
      <c r="AH118" s="834">
        <v>160</v>
      </c>
      <c r="AI118" s="835">
        <v>1440</v>
      </c>
      <c r="AJ118" s="813"/>
      <c r="AK118" s="834">
        <v>157.5</v>
      </c>
      <c r="AL118" s="835">
        <v>1260</v>
      </c>
      <c r="AM118" s="813"/>
      <c r="AN118" s="834">
        <v>150</v>
      </c>
      <c r="AO118" s="835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205.93220338983051</v>
      </c>
      <c r="E119" s="838">
        <v>24300</v>
      </c>
      <c r="F119" s="839"/>
      <c r="G119" s="837">
        <v>365</v>
      </c>
      <c r="H119" s="838">
        <v>1825</v>
      </c>
      <c r="I119" s="839"/>
      <c r="J119" s="837">
        <v>271.42857142857144</v>
      </c>
      <c r="K119" s="838">
        <v>1900</v>
      </c>
      <c r="L119" s="839"/>
      <c r="M119" s="837">
        <v>222.22222222222223</v>
      </c>
      <c r="N119" s="838">
        <v>2000</v>
      </c>
      <c r="O119" s="839"/>
      <c r="P119" s="837">
        <v>177.08333333333334</v>
      </c>
      <c r="Q119" s="838">
        <v>2125</v>
      </c>
      <c r="R119" s="839"/>
      <c r="S119" s="837">
        <v>157.14285714285714</v>
      </c>
      <c r="T119" s="838">
        <v>2200</v>
      </c>
      <c r="U119" s="839"/>
      <c r="V119" s="837">
        <v>177.08333333333334</v>
      </c>
      <c r="W119" s="838">
        <v>2125</v>
      </c>
      <c r="X119" s="839"/>
      <c r="Y119" s="837">
        <v>175</v>
      </c>
      <c r="Z119" s="838">
        <v>2100</v>
      </c>
      <c r="AA119" s="839"/>
      <c r="AB119" s="837">
        <v>177.08333333333334</v>
      </c>
      <c r="AC119" s="838">
        <v>2125</v>
      </c>
      <c r="AD119" s="839"/>
      <c r="AE119" s="837">
        <v>175</v>
      </c>
      <c r="AF119" s="838">
        <v>2100</v>
      </c>
      <c r="AG119" s="839"/>
      <c r="AH119" s="837">
        <v>222.22222222222223</v>
      </c>
      <c r="AI119" s="838">
        <v>2000</v>
      </c>
      <c r="AJ119" s="839"/>
      <c r="AK119" s="837">
        <v>243.75</v>
      </c>
      <c r="AL119" s="838">
        <v>1950</v>
      </c>
      <c r="AM119" s="839"/>
      <c r="AN119" s="837">
        <v>308.33333333333331</v>
      </c>
      <c r="AO119" s="838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685.02542372881351</v>
      </c>
      <c r="E120" s="835">
        <v>80833</v>
      </c>
      <c r="F120" s="813"/>
      <c r="G120" s="834">
        <v>1507.2166666666667</v>
      </c>
      <c r="H120" s="835">
        <v>7536.0833333333339</v>
      </c>
      <c r="I120" s="813"/>
      <c r="J120" s="834">
        <v>1033.7261904761906</v>
      </c>
      <c r="K120" s="835">
        <v>7236.0833333333339</v>
      </c>
      <c r="L120" s="813"/>
      <c r="M120" s="834">
        <v>759.56481481481489</v>
      </c>
      <c r="N120" s="835">
        <v>6836.0833333333339</v>
      </c>
      <c r="O120" s="813"/>
      <c r="P120" s="834">
        <v>528.00694444444446</v>
      </c>
      <c r="Q120" s="835">
        <v>6336.0833333333339</v>
      </c>
      <c r="R120" s="813"/>
      <c r="S120" s="834">
        <v>431.14880952380958</v>
      </c>
      <c r="T120" s="835">
        <v>6036.0833333333339</v>
      </c>
      <c r="U120" s="813"/>
      <c r="V120" s="834">
        <v>528.00694444444446</v>
      </c>
      <c r="W120" s="835">
        <v>6336.0833333333339</v>
      </c>
      <c r="X120" s="813"/>
      <c r="Y120" s="834">
        <v>536.34027777777783</v>
      </c>
      <c r="Z120" s="835">
        <v>6436.0833333333339</v>
      </c>
      <c r="AA120" s="813"/>
      <c r="AB120" s="834">
        <v>528.00694444444446</v>
      </c>
      <c r="AC120" s="835">
        <v>6336.0833333333339</v>
      </c>
      <c r="AD120" s="813"/>
      <c r="AE120" s="834">
        <v>536.34027777777783</v>
      </c>
      <c r="AF120" s="835">
        <v>6436.0833333333339</v>
      </c>
      <c r="AG120" s="813"/>
      <c r="AH120" s="834">
        <v>759.56481481481489</v>
      </c>
      <c r="AI120" s="835">
        <v>6836.0833333333339</v>
      </c>
      <c r="AJ120" s="813"/>
      <c r="AK120" s="834">
        <v>879.51041666666674</v>
      </c>
      <c r="AL120" s="835">
        <v>7036.0833333333339</v>
      </c>
      <c r="AM120" s="813"/>
      <c r="AN120" s="834">
        <v>1239.3472222222224</v>
      </c>
      <c r="AO120" s="835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812.59226921920936</v>
      </c>
      <c r="E121" s="835">
        <v>95885.887767866705</v>
      </c>
      <c r="F121" s="813"/>
      <c r="G121" s="834">
        <v>1420.062572457945</v>
      </c>
      <c r="H121" s="835">
        <v>7100.3128622897248</v>
      </c>
      <c r="I121" s="813"/>
      <c r="J121" s="834">
        <v>1022.3425184828031</v>
      </c>
      <c r="K121" s="835">
        <v>7156.3976293796222</v>
      </c>
      <c r="L121" s="813"/>
      <c r="M121" s="834">
        <v>928.51207833315516</v>
      </c>
      <c r="N121" s="835">
        <v>8356.6087049983962</v>
      </c>
      <c r="O121" s="813"/>
      <c r="P121" s="834">
        <v>724.57714728651035</v>
      </c>
      <c r="Q121" s="835">
        <v>8694.9257674381242</v>
      </c>
      <c r="R121" s="813"/>
      <c r="S121" s="834">
        <v>641.76833045376611</v>
      </c>
      <c r="T121" s="835">
        <v>8984.756626352726</v>
      </c>
      <c r="U121" s="813"/>
      <c r="V121" s="834">
        <v>699.24860207060965</v>
      </c>
      <c r="W121" s="835">
        <v>8390.9832248473158</v>
      </c>
      <c r="X121" s="813"/>
      <c r="Y121" s="834">
        <v>722.55688880629668</v>
      </c>
      <c r="Z121" s="835">
        <v>8670.6826656755602</v>
      </c>
      <c r="AA121" s="813"/>
      <c r="AB121" s="834">
        <v>722.55688880629668</v>
      </c>
      <c r="AC121" s="835">
        <v>8670.6826656755602</v>
      </c>
      <c r="AD121" s="813"/>
      <c r="AE121" s="834">
        <v>667.58792055073388</v>
      </c>
      <c r="AF121" s="835">
        <v>8011.0550466088071</v>
      </c>
      <c r="AG121" s="813"/>
      <c r="AH121" s="834">
        <v>867.44214153481664</v>
      </c>
      <c r="AI121" s="835">
        <v>7806.9792738133501</v>
      </c>
      <c r="AJ121" s="813"/>
      <c r="AK121" s="834">
        <v>887.40342735454851</v>
      </c>
      <c r="AL121" s="835">
        <v>7099.2274188363881</v>
      </c>
      <c r="AM121" s="813"/>
      <c r="AN121" s="834">
        <v>1157.2126469918569</v>
      </c>
      <c r="AO121" s="835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0.54483175046835541</v>
      </c>
      <c r="E125" s="842">
        <v>486098.88776786672</v>
      </c>
      <c r="F125" s="840" t="s">
        <v>108</v>
      </c>
      <c r="G125" s="841">
        <v>0.75663974922048682</v>
      </c>
      <c r="H125" s="842">
        <v>29811.606119287182</v>
      </c>
      <c r="I125" s="840" t="s">
        <v>108</v>
      </c>
      <c r="J125" s="841">
        <v>0.64153901416427905</v>
      </c>
      <c r="K125" s="842">
        <v>33456.259588667155</v>
      </c>
      <c r="L125" s="840" t="s">
        <v>108</v>
      </c>
      <c r="M125" s="841">
        <v>0.56475637574085735</v>
      </c>
      <c r="N125" s="842">
        <v>39476.470664285931</v>
      </c>
      <c r="O125" s="840" t="s">
        <v>108</v>
      </c>
      <c r="P125" s="841">
        <v>0.50194999592690359</v>
      </c>
      <c r="Q125" s="842">
        <v>46141.753375580614</v>
      </c>
      <c r="R125" s="840" t="s">
        <v>108</v>
      </c>
      <c r="S125" s="841">
        <v>0.47813945629081567</v>
      </c>
      <c r="T125" s="842">
        <v>50228.549883350184</v>
      </c>
      <c r="U125" s="840" t="s">
        <v>108</v>
      </c>
      <c r="V125" s="841">
        <v>0.49916853670431338</v>
      </c>
      <c r="W125" s="842">
        <v>45698.879535279892</v>
      </c>
      <c r="X125" s="840" t="s">
        <v>108</v>
      </c>
      <c r="Y125" s="841">
        <v>0.51214623421548</v>
      </c>
      <c r="Z125" s="842">
        <v>45094.475922673017</v>
      </c>
      <c r="AA125" s="840" t="s">
        <v>108</v>
      </c>
      <c r="AB125" s="841">
        <v>0.50168626895641066</v>
      </c>
      <c r="AC125" s="842">
        <v>46117.51027381805</v>
      </c>
      <c r="AD125" s="840" t="s">
        <v>108</v>
      </c>
      <c r="AE125" s="841">
        <v>0.50522859430734357</v>
      </c>
      <c r="AF125" s="842">
        <v>44295.917005896343</v>
      </c>
      <c r="AG125" s="840" t="s">
        <v>108</v>
      </c>
      <c r="AH125" s="841">
        <v>0.56189532586567137</v>
      </c>
      <c r="AI125" s="842">
        <v>39065.772530810806</v>
      </c>
      <c r="AJ125" s="840" t="s">
        <v>108</v>
      </c>
      <c r="AK125" s="841">
        <v>0.58492616000201747</v>
      </c>
      <c r="AL125" s="842">
        <v>35929.089378123921</v>
      </c>
      <c r="AM125" s="840" t="s">
        <v>108</v>
      </c>
      <c r="AN125" s="841">
        <v>0.70561841811102877</v>
      </c>
      <c r="AO125" s="842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60105.200000000004</v>
      </c>
      <c r="F126" s="813"/>
      <c r="G126" s="821"/>
      <c r="H126" s="835">
        <v>5133.4486005089057</v>
      </c>
      <c r="I126" s="813"/>
      <c r="J126" s="821"/>
      <c r="K126" s="835">
        <v>4919.7081424936387</v>
      </c>
      <c r="L126" s="813"/>
      <c r="M126" s="821"/>
      <c r="N126" s="835">
        <v>4919.7081424936387</v>
      </c>
      <c r="O126" s="813"/>
      <c r="P126" s="821"/>
      <c r="Q126" s="835">
        <v>5026.5783715012722</v>
      </c>
      <c r="R126" s="813"/>
      <c r="S126" s="821"/>
      <c r="T126" s="835">
        <v>5133.4486005089057</v>
      </c>
      <c r="U126" s="813"/>
      <c r="V126" s="821"/>
      <c r="W126" s="835">
        <v>4812.8379134860052</v>
      </c>
      <c r="X126" s="813"/>
      <c r="Y126" s="821"/>
      <c r="Z126" s="835">
        <v>5133.4486005089057</v>
      </c>
      <c r="AA126" s="813"/>
      <c r="AB126" s="821"/>
      <c r="AC126" s="835">
        <v>5026.5783715012722</v>
      </c>
      <c r="AD126" s="813"/>
      <c r="AE126" s="821"/>
      <c r="AF126" s="835">
        <v>4919.7081424936387</v>
      </c>
      <c r="AG126" s="813"/>
      <c r="AH126" s="821"/>
      <c r="AI126" s="835">
        <v>5133.4486005089057</v>
      </c>
      <c r="AJ126" s="813"/>
      <c r="AK126" s="821"/>
      <c r="AL126" s="835">
        <v>4919.7081424936387</v>
      </c>
      <c r="AM126" s="813"/>
      <c r="AN126" s="821"/>
      <c r="AO126" s="835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32501.8</v>
      </c>
      <c r="F127" s="813"/>
      <c r="G127" s="821"/>
      <c r="H127" s="835">
        <v>2825.1366412213742</v>
      </c>
      <c r="I127" s="813"/>
      <c r="J127" s="821"/>
      <c r="K127" s="835">
        <v>2625.1595419847326</v>
      </c>
      <c r="L127" s="813"/>
      <c r="M127" s="821"/>
      <c r="N127" s="835">
        <v>2625.1595419847326</v>
      </c>
      <c r="O127" s="813"/>
      <c r="P127" s="821"/>
      <c r="Q127" s="835">
        <v>2725.1480916030532</v>
      </c>
      <c r="R127" s="813"/>
      <c r="S127" s="821"/>
      <c r="T127" s="835">
        <v>2825.1366412213742</v>
      </c>
      <c r="U127" s="813"/>
      <c r="V127" s="821"/>
      <c r="W127" s="835">
        <v>2525.1709923664121</v>
      </c>
      <c r="X127" s="813"/>
      <c r="Y127" s="821"/>
      <c r="Z127" s="835">
        <v>2825.1366412213742</v>
      </c>
      <c r="AA127" s="813"/>
      <c r="AB127" s="821"/>
      <c r="AC127" s="835">
        <v>2725.1480916030532</v>
      </c>
      <c r="AD127" s="813"/>
      <c r="AE127" s="821"/>
      <c r="AF127" s="835">
        <v>2625.1595419847326</v>
      </c>
      <c r="AG127" s="813"/>
      <c r="AH127" s="821"/>
      <c r="AI127" s="835">
        <v>2825.1366412213742</v>
      </c>
      <c r="AJ127" s="813"/>
      <c r="AK127" s="821"/>
      <c r="AL127" s="835">
        <v>2625.1595419847326</v>
      </c>
      <c r="AM127" s="813"/>
      <c r="AN127" s="821"/>
      <c r="AO127" s="835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39261.732941634269</v>
      </c>
      <c r="F133" s="813"/>
      <c r="G133" s="821"/>
      <c r="H133" s="835">
        <v>2562.9474050229987</v>
      </c>
      <c r="I133" s="813"/>
      <c r="J133" s="821"/>
      <c r="K133" s="835">
        <v>2510.4793996317353</v>
      </c>
      <c r="L133" s="813"/>
      <c r="M133" s="821"/>
      <c r="N133" s="835">
        <v>2918.5459084317349</v>
      </c>
      <c r="O133" s="813"/>
      <c r="P133" s="821"/>
      <c r="Q133" s="835">
        <v>3800.3306124461737</v>
      </c>
      <c r="R133" s="813"/>
      <c r="S133" s="821"/>
      <c r="T133" s="835">
        <v>4179.580023661676</v>
      </c>
      <c r="U133" s="813"/>
      <c r="V133" s="821"/>
      <c r="W133" s="835">
        <v>3733.2204438613235</v>
      </c>
      <c r="X133" s="813"/>
      <c r="Y133" s="821"/>
      <c r="Z133" s="835">
        <v>3734.1215621232141</v>
      </c>
      <c r="AA133" s="813"/>
      <c r="AB133" s="821"/>
      <c r="AC133" s="835">
        <v>3481.3294149824528</v>
      </c>
      <c r="AD133" s="813"/>
      <c r="AE133" s="821"/>
      <c r="AF133" s="835">
        <v>3667.0113935383638</v>
      </c>
      <c r="AG133" s="813"/>
      <c r="AH133" s="821"/>
      <c r="AI133" s="835">
        <v>3253.0882928924448</v>
      </c>
      <c r="AJ133" s="813"/>
      <c r="AK133" s="821"/>
      <c r="AL133" s="835">
        <v>2725.8478348317349</v>
      </c>
      <c r="AM133" s="813"/>
      <c r="AN133" s="821"/>
      <c r="AO133" s="835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52093.342974908839</v>
      </c>
      <c r="F134" s="843"/>
      <c r="G134" s="844"/>
      <c r="H134" s="845">
        <v>3247.073459033079</v>
      </c>
      <c r="I134" s="843"/>
      <c r="J134" s="844"/>
      <c r="K134" s="845">
        <v>3614.5011292620866</v>
      </c>
      <c r="L134" s="843"/>
      <c r="M134" s="844"/>
      <c r="N134" s="845">
        <v>4202.0211292620861</v>
      </c>
      <c r="O134" s="843"/>
      <c r="P134" s="844"/>
      <c r="Q134" s="845">
        <v>5012.2972941475828</v>
      </c>
      <c r="R134" s="843"/>
      <c r="S134" s="844"/>
      <c r="T134" s="845">
        <v>5471.9604188931298</v>
      </c>
      <c r="U134" s="843"/>
      <c r="V134" s="844"/>
      <c r="W134" s="845">
        <v>4887.5806631679388</v>
      </c>
      <c r="X134" s="843"/>
      <c r="Y134" s="844"/>
      <c r="Z134" s="845">
        <v>4852.547378753181</v>
      </c>
      <c r="AA134" s="843"/>
      <c r="AB134" s="844"/>
      <c r="AC134" s="845">
        <v>4938.5870398218831</v>
      </c>
      <c r="AD134" s="843"/>
      <c r="AE134" s="844"/>
      <c r="AF134" s="845">
        <v>4729.774486704835</v>
      </c>
      <c r="AG134" s="843"/>
      <c r="AH134" s="844"/>
      <c r="AI134" s="845">
        <v>4155.7633863592309</v>
      </c>
      <c r="AJ134" s="843"/>
      <c r="AK134" s="844"/>
      <c r="AL134" s="845">
        <v>3780.2950583333331</v>
      </c>
      <c r="AM134" s="843"/>
      <c r="AN134" s="844"/>
      <c r="AO134" s="845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24093.243400000003</v>
      </c>
      <c r="F135" s="813"/>
      <c r="G135" s="821"/>
      <c r="H135" s="835">
        <v>1480.2834886768449</v>
      </c>
      <c r="I135" s="813"/>
      <c r="J135" s="821"/>
      <c r="K135" s="835">
        <v>1647.7872795165395</v>
      </c>
      <c r="L135" s="813"/>
      <c r="M135" s="821"/>
      <c r="N135" s="835">
        <v>1915.6272795165391</v>
      </c>
      <c r="O135" s="813"/>
      <c r="P135" s="821"/>
      <c r="Q135" s="835">
        <v>2285.0178840966919</v>
      </c>
      <c r="R135" s="813"/>
      <c r="S135" s="821"/>
      <c r="T135" s="835">
        <v>2513.048488676845</v>
      </c>
      <c r="U135" s="813"/>
      <c r="V135" s="821"/>
      <c r="W135" s="835">
        <v>2244.6666749363867</v>
      </c>
      <c r="X135" s="813"/>
      <c r="Y135" s="821"/>
      <c r="Z135" s="835">
        <v>2245.2084886768448</v>
      </c>
      <c r="AA135" s="813"/>
      <c r="AB135" s="821"/>
      <c r="AC135" s="835">
        <v>2285.0178840966919</v>
      </c>
      <c r="AD135" s="813"/>
      <c r="AE135" s="821"/>
      <c r="AF135" s="835">
        <v>2204.8572795165396</v>
      </c>
      <c r="AG135" s="813"/>
      <c r="AH135" s="821"/>
      <c r="AI135" s="835">
        <v>1955.9784886768448</v>
      </c>
      <c r="AJ135" s="813"/>
      <c r="AK135" s="821"/>
      <c r="AL135" s="835">
        <v>1789.1472795165391</v>
      </c>
      <c r="AM135" s="813"/>
      <c r="AN135" s="821"/>
      <c r="AO135" s="835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5440.4097999999994</v>
      </c>
      <c r="F136" s="813"/>
      <c r="G136" s="821"/>
      <c r="H136" s="835">
        <v>334.25756195928756</v>
      </c>
      <c r="I136" s="813"/>
      <c r="J136" s="821"/>
      <c r="K136" s="835">
        <v>372.08099860050891</v>
      </c>
      <c r="L136" s="813"/>
      <c r="M136" s="821"/>
      <c r="N136" s="835">
        <v>432.56099860050887</v>
      </c>
      <c r="O136" s="813"/>
      <c r="P136" s="821"/>
      <c r="Q136" s="835">
        <v>515.97178027989821</v>
      </c>
      <c r="R136" s="813"/>
      <c r="S136" s="821"/>
      <c r="T136" s="835">
        <v>567.46256195928754</v>
      </c>
      <c r="U136" s="813"/>
      <c r="V136" s="821"/>
      <c r="W136" s="835">
        <v>506.86021692111962</v>
      </c>
      <c r="X136" s="813"/>
      <c r="Y136" s="821"/>
      <c r="Z136" s="835">
        <v>506.98256195928752</v>
      </c>
      <c r="AA136" s="813"/>
      <c r="AB136" s="821"/>
      <c r="AC136" s="835">
        <v>515.97178027989821</v>
      </c>
      <c r="AD136" s="813"/>
      <c r="AE136" s="821"/>
      <c r="AF136" s="835">
        <v>497.87099860050893</v>
      </c>
      <c r="AG136" s="813"/>
      <c r="AH136" s="821"/>
      <c r="AI136" s="835">
        <v>441.67256195928752</v>
      </c>
      <c r="AJ136" s="813"/>
      <c r="AK136" s="821"/>
      <c r="AL136" s="835">
        <v>404.00099860050886</v>
      </c>
      <c r="AM136" s="813"/>
      <c r="AN136" s="821"/>
      <c r="AO136" s="835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0.27707210167736279</v>
      </c>
      <c r="E138" s="842">
        <v>247203.72911654308</v>
      </c>
      <c r="F138" s="840" t="s">
        <v>108</v>
      </c>
      <c r="G138" s="841">
        <v>0.46680576539143365</v>
      </c>
      <c r="H138" s="842">
        <v>18392.147156422485</v>
      </c>
      <c r="I138" s="840" t="s">
        <v>108</v>
      </c>
      <c r="J138" s="841">
        <v>0.35472131335549834</v>
      </c>
      <c r="K138" s="842">
        <v>18498.716491489238</v>
      </c>
      <c r="L138" s="840" t="s">
        <v>108</v>
      </c>
      <c r="M138" s="841">
        <v>0.28358545064791468</v>
      </c>
      <c r="N138" s="842">
        <v>19822.623000289237</v>
      </c>
      <c r="O138" s="840" t="s">
        <v>108</v>
      </c>
      <c r="P138" s="841">
        <v>0.24122212710442939</v>
      </c>
      <c r="Q138" s="842">
        <v>22174.344034074671</v>
      </c>
      <c r="R138" s="840" t="s">
        <v>108</v>
      </c>
      <c r="S138" s="841">
        <v>0.22369954055136812</v>
      </c>
      <c r="T138" s="842">
        <v>23499.63673492122</v>
      </c>
      <c r="U138" s="840" t="s">
        <v>108</v>
      </c>
      <c r="V138" s="841">
        <v>0.23505556422434939</v>
      </c>
      <c r="W138" s="842">
        <v>21519.336904739186</v>
      </c>
      <c r="X138" s="840" t="s">
        <v>108</v>
      </c>
      <c r="Y138" s="841">
        <v>0.25106695324523348</v>
      </c>
      <c r="Z138" s="842">
        <v>22106.445233242808</v>
      </c>
      <c r="AA138" s="840" t="s">
        <v>108</v>
      </c>
      <c r="AB138" s="841">
        <v>0.23695004168926029</v>
      </c>
      <c r="AC138" s="842">
        <v>21781.632582285252</v>
      </c>
      <c r="AD138" s="840" t="s">
        <v>108</v>
      </c>
      <c r="AE138" s="841">
        <v>0.24469212253023803</v>
      </c>
      <c r="AF138" s="842">
        <v>21453.381842838618</v>
      </c>
      <c r="AG138" s="840" t="s">
        <v>108</v>
      </c>
      <c r="AH138" s="841">
        <v>0.29592359542061258</v>
      </c>
      <c r="AI138" s="842">
        <v>20574.08797161809</v>
      </c>
      <c r="AJ138" s="840" t="s">
        <v>108</v>
      </c>
      <c r="AK138" s="841">
        <v>0.31018573635751712</v>
      </c>
      <c r="AL138" s="842">
        <v>19053.158855760488</v>
      </c>
      <c r="AM138" s="840" t="s">
        <v>108</v>
      </c>
      <c r="AN138" s="841">
        <v>0.42013107871316474</v>
      </c>
      <c r="AO138" s="842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10294</v>
      </c>
      <c r="F141" s="848"/>
      <c r="G141" s="849"/>
      <c r="H141" s="850">
        <v>857.83333333333326</v>
      </c>
      <c r="I141" s="848"/>
      <c r="J141" s="849"/>
      <c r="K141" s="850">
        <v>857.83333333333326</v>
      </c>
      <c r="L141" s="848"/>
      <c r="M141" s="849"/>
      <c r="N141" s="850">
        <v>857.83333333333326</v>
      </c>
      <c r="O141" s="848"/>
      <c r="P141" s="849"/>
      <c r="Q141" s="850">
        <v>857.83333333333326</v>
      </c>
      <c r="R141" s="848"/>
      <c r="S141" s="849"/>
      <c r="T141" s="850">
        <v>857.83333333333326</v>
      </c>
      <c r="U141" s="848"/>
      <c r="V141" s="849"/>
      <c r="W141" s="850">
        <v>857.83333333333326</v>
      </c>
      <c r="X141" s="848"/>
      <c r="Y141" s="849"/>
      <c r="Z141" s="850">
        <v>857.83333333333326</v>
      </c>
      <c r="AA141" s="848"/>
      <c r="AB141" s="849"/>
      <c r="AC141" s="850">
        <v>857.83333333333326</v>
      </c>
      <c r="AD141" s="848"/>
      <c r="AE141" s="849"/>
      <c r="AF141" s="850">
        <v>857.83333333333326</v>
      </c>
      <c r="AG141" s="848"/>
      <c r="AH141" s="849"/>
      <c r="AI141" s="850">
        <v>857.83333333333326</v>
      </c>
      <c r="AJ141" s="848"/>
      <c r="AK141" s="849"/>
      <c r="AL141" s="850">
        <v>857.83333333333326</v>
      </c>
      <c r="AM141" s="848"/>
      <c r="AN141" s="849"/>
      <c r="AO141" s="850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17038.8</v>
      </c>
      <c r="F142" s="813"/>
      <c r="G142" s="821"/>
      <c r="H142" s="835">
        <v>1419.9</v>
      </c>
      <c r="I142" s="813"/>
      <c r="J142" s="821"/>
      <c r="K142" s="835">
        <v>1419.9</v>
      </c>
      <c r="L142" s="813"/>
      <c r="M142" s="821"/>
      <c r="N142" s="835">
        <v>1419.9</v>
      </c>
      <c r="O142" s="813"/>
      <c r="P142" s="821"/>
      <c r="Q142" s="835">
        <v>1419.9</v>
      </c>
      <c r="R142" s="813"/>
      <c r="S142" s="821"/>
      <c r="T142" s="835">
        <v>1419.9</v>
      </c>
      <c r="U142" s="813"/>
      <c r="V142" s="821"/>
      <c r="W142" s="835">
        <v>1419.9</v>
      </c>
      <c r="X142" s="813"/>
      <c r="Y142" s="821"/>
      <c r="Z142" s="835">
        <v>1419.9</v>
      </c>
      <c r="AA142" s="813"/>
      <c r="AB142" s="821"/>
      <c r="AC142" s="835">
        <v>1419.9</v>
      </c>
      <c r="AD142" s="813"/>
      <c r="AE142" s="821"/>
      <c r="AF142" s="835">
        <v>1419.9</v>
      </c>
      <c r="AG142" s="813"/>
      <c r="AH142" s="821"/>
      <c r="AI142" s="835">
        <v>1419.9</v>
      </c>
      <c r="AJ142" s="813"/>
      <c r="AK142" s="821"/>
      <c r="AL142" s="835">
        <v>1419.9</v>
      </c>
      <c r="AM142" s="813"/>
      <c r="AN142" s="821"/>
      <c r="AO142" s="835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2193.6</v>
      </c>
      <c r="F143" s="813"/>
      <c r="G143" s="821"/>
      <c r="H143" s="835">
        <v>182.8</v>
      </c>
      <c r="I143" s="813"/>
      <c r="J143" s="821"/>
      <c r="K143" s="835">
        <v>182.8</v>
      </c>
      <c r="L143" s="813"/>
      <c r="M143" s="821"/>
      <c r="N143" s="835">
        <v>182.8</v>
      </c>
      <c r="O143" s="813"/>
      <c r="P143" s="821"/>
      <c r="Q143" s="835">
        <v>182.8</v>
      </c>
      <c r="R143" s="813"/>
      <c r="S143" s="821"/>
      <c r="T143" s="835">
        <v>182.8</v>
      </c>
      <c r="U143" s="813"/>
      <c r="V143" s="821"/>
      <c r="W143" s="835">
        <v>182.8</v>
      </c>
      <c r="X143" s="813"/>
      <c r="Y143" s="821"/>
      <c r="Z143" s="835">
        <v>182.8</v>
      </c>
      <c r="AA143" s="813"/>
      <c r="AB143" s="821"/>
      <c r="AC143" s="835">
        <v>182.8</v>
      </c>
      <c r="AD143" s="813"/>
      <c r="AE143" s="821"/>
      <c r="AF143" s="835">
        <v>182.8</v>
      </c>
      <c r="AG143" s="813"/>
      <c r="AH143" s="821"/>
      <c r="AI143" s="835">
        <v>182.8</v>
      </c>
      <c r="AJ143" s="813"/>
      <c r="AK143" s="821"/>
      <c r="AL143" s="835">
        <v>182.8</v>
      </c>
      <c r="AM143" s="813"/>
      <c r="AN143" s="821"/>
      <c r="AO143" s="835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7345.2000000000016</v>
      </c>
      <c r="F144" s="848"/>
      <c r="G144" s="849"/>
      <c r="H144" s="850">
        <v>612.1</v>
      </c>
      <c r="I144" s="848"/>
      <c r="J144" s="849"/>
      <c r="K144" s="850">
        <v>612.1</v>
      </c>
      <c r="L144" s="848"/>
      <c r="M144" s="849"/>
      <c r="N144" s="850">
        <v>612.1</v>
      </c>
      <c r="O144" s="848"/>
      <c r="P144" s="849"/>
      <c r="Q144" s="850">
        <v>612.1</v>
      </c>
      <c r="R144" s="848"/>
      <c r="S144" s="849"/>
      <c r="T144" s="850">
        <v>612.1</v>
      </c>
      <c r="U144" s="848"/>
      <c r="V144" s="849"/>
      <c r="W144" s="850">
        <v>612.1</v>
      </c>
      <c r="X144" s="848"/>
      <c r="Y144" s="849"/>
      <c r="Z144" s="850">
        <v>612.1</v>
      </c>
      <c r="AA144" s="848"/>
      <c r="AB144" s="849"/>
      <c r="AC144" s="850">
        <v>612.1</v>
      </c>
      <c r="AD144" s="848"/>
      <c r="AE144" s="849"/>
      <c r="AF144" s="850">
        <v>612.1</v>
      </c>
      <c r="AG144" s="848"/>
      <c r="AH144" s="849"/>
      <c r="AI144" s="850">
        <v>612.1</v>
      </c>
      <c r="AJ144" s="848"/>
      <c r="AK144" s="849"/>
      <c r="AL144" s="850">
        <v>612.1</v>
      </c>
      <c r="AM144" s="848"/>
      <c r="AN144" s="849"/>
      <c r="AO144" s="850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450.00000000000006</v>
      </c>
      <c r="F145" s="813"/>
      <c r="G145" s="821"/>
      <c r="H145" s="835">
        <v>19.852941176470591</v>
      </c>
      <c r="I145" s="813"/>
      <c r="J145" s="821"/>
      <c r="K145" s="835">
        <v>26.47058823529412</v>
      </c>
      <c r="L145" s="813"/>
      <c r="M145" s="821"/>
      <c r="N145" s="835">
        <v>35.294117647058826</v>
      </c>
      <c r="O145" s="813"/>
      <c r="P145" s="821"/>
      <c r="Q145" s="835">
        <v>46.32352941176471</v>
      </c>
      <c r="R145" s="813"/>
      <c r="S145" s="821"/>
      <c r="T145" s="835">
        <v>52.941176470588239</v>
      </c>
      <c r="U145" s="813"/>
      <c r="V145" s="821"/>
      <c r="W145" s="835">
        <v>46.32352941176471</v>
      </c>
      <c r="X145" s="813"/>
      <c r="Y145" s="821"/>
      <c r="Z145" s="835">
        <v>44.117647058823536</v>
      </c>
      <c r="AA145" s="813"/>
      <c r="AB145" s="821"/>
      <c r="AC145" s="835">
        <v>46.32352941176471</v>
      </c>
      <c r="AD145" s="813"/>
      <c r="AE145" s="821"/>
      <c r="AF145" s="835">
        <v>44.117647058823536</v>
      </c>
      <c r="AG145" s="813"/>
      <c r="AH145" s="821"/>
      <c r="AI145" s="835">
        <v>35.294117647058826</v>
      </c>
      <c r="AJ145" s="813"/>
      <c r="AK145" s="821"/>
      <c r="AL145" s="835">
        <v>30.882352941176471</v>
      </c>
      <c r="AM145" s="813"/>
      <c r="AN145" s="821"/>
      <c r="AO145" s="835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60</v>
      </c>
      <c r="F146" s="813"/>
      <c r="G146" s="821"/>
      <c r="H146" s="835">
        <v>5</v>
      </c>
      <c r="I146" s="813"/>
      <c r="J146" s="821"/>
      <c r="K146" s="835">
        <v>5</v>
      </c>
      <c r="L146" s="813"/>
      <c r="M146" s="821"/>
      <c r="N146" s="835">
        <v>5</v>
      </c>
      <c r="O146" s="813"/>
      <c r="P146" s="821"/>
      <c r="Q146" s="835">
        <v>5</v>
      </c>
      <c r="R146" s="813"/>
      <c r="S146" s="821"/>
      <c r="T146" s="835">
        <v>5</v>
      </c>
      <c r="U146" s="813"/>
      <c r="V146" s="821"/>
      <c r="W146" s="835">
        <v>5</v>
      </c>
      <c r="X146" s="813"/>
      <c r="Y146" s="821"/>
      <c r="Z146" s="835">
        <v>5</v>
      </c>
      <c r="AA146" s="813"/>
      <c r="AB146" s="821"/>
      <c r="AC146" s="835">
        <v>5</v>
      </c>
      <c r="AD146" s="813"/>
      <c r="AE146" s="821"/>
      <c r="AF146" s="835">
        <v>5</v>
      </c>
      <c r="AG146" s="813"/>
      <c r="AH146" s="821"/>
      <c r="AI146" s="835">
        <v>5</v>
      </c>
      <c r="AJ146" s="813"/>
      <c r="AK146" s="821"/>
      <c r="AL146" s="835">
        <v>5</v>
      </c>
      <c r="AM146" s="813"/>
      <c r="AN146" s="821"/>
      <c r="AO146" s="835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2100</v>
      </c>
      <c r="F147" s="813"/>
      <c r="G147" s="821"/>
      <c r="H147" s="835">
        <v>175</v>
      </c>
      <c r="I147" s="813"/>
      <c r="J147" s="821"/>
      <c r="K147" s="835">
        <v>175</v>
      </c>
      <c r="L147" s="813"/>
      <c r="M147" s="821"/>
      <c r="N147" s="835">
        <v>175</v>
      </c>
      <c r="O147" s="813"/>
      <c r="P147" s="821"/>
      <c r="Q147" s="835">
        <v>175</v>
      </c>
      <c r="R147" s="813"/>
      <c r="S147" s="821"/>
      <c r="T147" s="835">
        <v>175</v>
      </c>
      <c r="U147" s="813"/>
      <c r="V147" s="821"/>
      <c r="W147" s="835">
        <v>175</v>
      </c>
      <c r="X147" s="813"/>
      <c r="Y147" s="821"/>
      <c r="Z147" s="835">
        <v>175</v>
      </c>
      <c r="AA147" s="813"/>
      <c r="AB147" s="821"/>
      <c r="AC147" s="835">
        <v>175</v>
      </c>
      <c r="AD147" s="813"/>
      <c r="AE147" s="821"/>
      <c r="AF147" s="835">
        <v>175</v>
      </c>
      <c r="AG147" s="813"/>
      <c r="AH147" s="821"/>
      <c r="AI147" s="835">
        <v>175</v>
      </c>
      <c r="AJ147" s="813"/>
      <c r="AK147" s="821"/>
      <c r="AL147" s="835">
        <v>175</v>
      </c>
      <c r="AM147" s="813"/>
      <c r="AN147" s="821"/>
      <c r="AO147" s="835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758.40000000000009</v>
      </c>
      <c r="F148" s="813"/>
      <c r="G148" s="821"/>
      <c r="H148" s="835">
        <v>63.2</v>
      </c>
      <c r="I148" s="813"/>
      <c r="J148" s="821"/>
      <c r="K148" s="835">
        <v>63.2</v>
      </c>
      <c r="L148" s="813"/>
      <c r="M148" s="821"/>
      <c r="N148" s="835">
        <v>63.2</v>
      </c>
      <c r="O148" s="813"/>
      <c r="P148" s="821"/>
      <c r="Q148" s="835">
        <v>63.2</v>
      </c>
      <c r="R148" s="813"/>
      <c r="S148" s="821"/>
      <c r="T148" s="835">
        <v>63.2</v>
      </c>
      <c r="U148" s="813"/>
      <c r="V148" s="821"/>
      <c r="W148" s="835">
        <v>63.2</v>
      </c>
      <c r="X148" s="813"/>
      <c r="Y148" s="821"/>
      <c r="Z148" s="835">
        <v>63.2</v>
      </c>
      <c r="AA148" s="813"/>
      <c r="AB148" s="821"/>
      <c r="AC148" s="835">
        <v>63.2</v>
      </c>
      <c r="AD148" s="813"/>
      <c r="AE148" s="821"/>
      <c r="AF148" s="835">
        <v>63.2</v>
      </c>
      <c r="AG148" s="813"/>
      <c r="AH148" s="821"/>
      <c r="AI148" s="835">
        <v>63.2</v>
      </c>
      <c r="AJ148" s="813"/>
      <c r="AK148" s="821"/>
      <c r="AL148" s="835">
        <v>63.2</v>
      </c>
      <c r="AM148" s="813"/>
      <c r="AN148" s="821"/>
      <c r="AO148" s="835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600</v>
      </c>
      <c r="F149" s="813"/>
      <c r="G149" s="821"/>
      <c r="H149" s="835">
        <v>50</v>
      </c>
      <c r="I149" s="813"/>
      <c r="J149" s="821"/>
      <c r="K149" s="835">
        <v>50</v>
      </c>
      <c r="L149" s="813"/>
      <c r="M149" s="821"/>
      <c r="N149" s="835">
        <v>50</v>
      </c>
      <c r="O149" s="813"/>
      <c r="P149" s="821"/>
      <c r="Q149" s="835">
        <v>50</v>
      </c>
      <c r="R149" s="813"/>
      <c r="S149" s="821"/>
      <c r="T149" s="835">
        <v>50</v>
      </c>
      <c r="U149" s="813"/>
      <c r="V149" s="821"/>
      <c r="W149" s="835">
        <v>50</v>
      </c>
      <c r="X149" s="813"/>
      <c r="Y149" s="821"/>
      <c r="Z149" s="835">
        <v>50</v>
      </c>
      <c r="AA149" s="813"/>
      <c r="AB149" s="821"/>
      <c r="AC149" s="835">
        <v>50</v>
      </c>
      <c r="AD149" s="813"/>
      <c r="AE149" s="821"/>
      <c r="AF149" s="835">
        <v>50</v>
      </c>
      <c r="AG149" s="813"/>
      <c r="AH149" s="821"/>
      <c r="AI149" s="835">
        <v>50</v>
      </c>
      <c r="AJ149" s="813"/>
      <c r="AK149" s="821"/>
      <c r="AL149" s="835">
        <v>50</v>
      </c>
      <c r="AM149" s="813"/>
      <c r="AN149" s="821"/>
      <c r="AO149" s="835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2229.6</v>
      </c>
      <c r="F150" s="813"/>
      <c r="G150" s="821"/>
      <c r="H150" s="835">
        <v>185.8</v>
      </c>
      <c r="I150" s="813"/>
      <c r="J150" s="821"/>
      <c r="K150" s="835">
        <v>185.8</v>
      </c>
      <c r="L150" s="813"/>
      <c r="M150" s="821"/>
      <c r="N150" s="835">
        <v>185.8</v>
      </c>
      <c r="O150" s="813"/>
      <c r="P150" s="821"/>
      <c r="Q150" s="835">
        <v>185.8</v>
      </c>
      <c r="R150" s="813"/>
      <c r="S150" s="821"/>
      <c r="T150" s="835">
        <v>185.8</v>
      </c>
      <c r="U150" s="813"/>
      <c r="V150" s="821"/>
      <c r="W150" s="835">
        <v>185.8</v>
      </c>
      <c r="X150" s="813"/>
      <c r="Y150" s="821"/>
      <c r="Z150" s="835">
        <v>185.8</v>
      </c>
      <c r="AA150" s="813"/>
      <c r="AB150" s="821"/>
      <c r="AC150" s="835">
        <v>185.8</v>
      </c>
      <c r="AD150" s="813"/>
      <c r="AE150" s="821"/>
      <c r="AF150" s="835">
        <v>185.8</v>
      </c>
      <c r="AG150" s="813"/>
      <c r="AH150" s="821"/>
      <c r="AI150" s="835">
        <v>185.8</v>
      </c>
      <c r="AJ150" s="813"/>
      <c r="AK150" s="821"/>
      <c r="AL150" s="835">
        <v>185.8</v>
      </c>
      <c r="AM150" s="813"/>
      <c r="AN150" s="821"/>
      <c r="AO150" s="835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1646.8812799999996</v>
      </c>
      <c r="F151" s="813"/>
      <c r="G151" s="821"/>
      <c r="H151" s="835">
        <v>137.24010666666663</v>
      </c>
      <c r="I151" s="813"/>
      <c r="J151" s="821"/>
      <c r="K151" s="835">
        <v>137.24010666666663</v>
      </c>
      <c r="L151" s="813"/>
      <c r="M151" s="821"/>
      <c r="N151" s="835">
        <v>137.24010666666663</v>
      </c>
      <c r="O151" s="813"/>
      <c r="P151" s="821"/>
      <c r="Q151" s="835">
        <v>137.24010666666663</v>
      </c>
      <c r="R151" s="813"/>
      <c r="S151" s="821"/>
      <c r="T151" s="835">
        <v>137.24010666666663</v>
      </c>
      <c r="U151" s="813"/>
      <c r="V151" s="821"/>
      <c r="W151" s="835">
        <v>137.24010666666663</v>
      </c>
      <c r="X151" s="813"/>
      <c r="Y151" s="821"/>
      <c r="Z151" s="835">
        <v>137.24010666666663</v>
      </c>
      <c r="AA151" s="813"/>
      <c r="AB151" s="821"/>
      <c r="AC151" s="835">
        <v>137.24010666666663</v>
      </c>
      <c r="AD151" s="813"/>
      <c r="AE151" s="821"/>
      <c r="AF151" s="835">
        <v>137.24010666666663</v>
      </c>
      <c r="AG151" s="813"/>
      <c r="AH151" s="821"/>
      <c r="AI151" s="835">
        <v>137.24010666666663</v>
      </c>
      <c r="AJ151" s="813"/>
      <c r="AK151" s="821"/>
      <c r="AL151" s="835">
        <v>137.24010666666663</v>
      </c>
      <c r="AM151" s="813"/>
      <c r="AN151" s="821"/>
      <c r="AO151" s="835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6822.8316899655183</v>
      </c>
      <c r="F152" s="813"/>
      <c r="G152" s="821"/>
      <c r="H152" s="835">
        <v>288.36524315150353</v>
      </c>
      <c r="I152" s="813"/>
      <c r="J152" s="821"/>
      <c r="K152" s="835">
        <v>358.9557174754886</v>
      </c>
      <c r="L152" s="813"/>
      <c r="M152" s="821"/>
      <c r="N152" s="835">
        <v>683.11065975990732</v>
      </c>
      <c r="O152" s="813"/>
      <c r="P152" s="821"/>
      <c r="Q152" s="835">
        <v>783.16980772679972</v>
      </c>
      <c r="R152" s="813"/>
      <c r="S152" s="821"/>
      <c r="T152" s="835">
        <v>797.47492394861956</v>
      </c>
      <c r="U152" s="813"/>
      <c r="V152" s="821"/>
      <c r="W152" s="835">
        <v>618.2402263859891</v>
      </c>
      <c r="X152" s="813"/>
      <c r="Y152" s="821"/>
      <c r="Z152" s="835">
        <v>547.00993095470994</v>
      </c>
      <c r="AA152" s="813"/>
      <c r="AB152" s="821"/>
      <c r="AC152" s="835">
        <v>618.54364206801336</v>
      </c>
      <c r="AD152" s="813"/>
      <c r="AE152" s="821"/>
      <c r="AF152" s="835">
        <v>669.99643405681343</v>
      </c>
      <c r="AG152" s="813"/>
      <c r="AH152" s="821"/>
      <c r="AI152" s="835">
        <v>524.62476127133846</v>
      </c>
      <c r="AJ152" s="813"/>
      <c r="AK152" s="821"/>
      <c r="AL152" s="835">
        <v>539.66953788307808</v>
      </c>
      <c r="AM152" s="813"/>
      <c r="AN152" s="821"/>
      <c r="AO152" s="835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5.7766546704736063E-2</v>
      </c>
      <c r="E156" s="842">
        <v>51539.312969965518</v>
      </c>
      <c r="F156" s="840" t="s">
        <v>108</v>
      </c>
      <c r="G156" s="841">
        <v>0.10144902599817193</v>
      </c>
      <c r="H156" s="842">
        <v>3997.0916243279744</v>
      </c>
      <c r="I156" s="840" t="s">
        <v>108</v>
      </c>
      <c r="J156" s="841">
        <v>7.8126553129641091E-2</v>
      </c>
      <c r="K156" s="842">
        <v>4074.2997457107831</v>
      </c>
      <c r="L156" s="840" t="s">
        <v>108</v>
      </c>
      <c r="M156" s="841">
        <v>6.3051190520843597E-2</v>
      </c>
      <c r="N156" s="842">
        <v>4407.2782174069671</v>
      </c>
      <c r="O156" s="840" t="s">
        <v>108</v>
      </c>
      <c r="P156" s="841">
        <v>4.915275253890198E-2</v>
      </c>
      <c r="Q156" s="842">
        <v>4518.3667771385644</v>
      </c>
      <c r="R156" s="840" t="s">
        <v>108</v>
      </c>
      <c r="S156" s="841">
        <v>4.3210752407607876E-2</v>
      </c>
      <c r="T156" s="842">
        <v>4539.2895404192077</v>
      </c>
      <c r="U156" s="840" t="s">
        <v>108</v>
      </c>
      <c r="V156" s="841">
        <v>4.7552563580532545E-2</v>
      </c>
      <c r="W156" s="842">
        <v>4353.4371957977546</v>
      </c>
      <c r="X156" s="840" t="s">
        <v>108</v>
      </c>
      <c r="Y156" s="841">
        <v>4.8608756592998681E-2</v>
      </c>
      <c r="Z156" s="842">
        <v>4280.0010180135341</v>
      </c>
      <c r="AA156" s="840" t="s">
        <v>108</v>
      </c>
      <c r="AB156" s="841">
        <v>4.7361877742505068E-2</v>
      </c>
      <c r="AC156" s="842">
        <v>4353.7406114797786</v>
      </c>
      <c r="AD156" s="840" t="s">
        <v>108</v>
      </c>
      <c r="AE156" s="841">
        <v>5.0219418547084539E-2</v>
      </c>
      <c r="AF156" s="842">
        <v>4402.9875211156368</v>
      </c>
      <c r="AG156" s="840" t="s">
        <v>108</v>
      </c>
      <c r="AH156" s="841">
        <v>6.1111719797459871E-2</v>
      </c>
      <c r="AI156" s="842">
        <v>4248.7923189183975</v>
      </c>
      <c r="AJ156" s="840" t="s">
        <v>108</v>
      </c>
      <c r="AK156" s="841">
        <v>6.9343513729332604E-2</v>
      </c>
      <c r="AL156" s="842">
        <v>4259.4253308242551</v>
      </c>
      <c r="AM156" s="840" t="s">
        <v>108</v>
      </c>
      <c r="AN156" s="841">
        <v>9.4088322494273222E-2</v>
      </c>
      <c r="AO156" s="842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0.87967039885045428</v>
      </c>
      <c r="E158" s="851">
        <v>784841.92985437531</v>
      </c>
      <c r="F158" s="840" t="s">
        <v>108</v>
      </c>
      <c r="G158" s="841">
        <v>1.3248945406100923</v>
      </c>
      <c r="H158" s="851">
        <v>52200.844900037635</v>
      </c>
      <c r="I158" s="840" t="s">
        <v>108</v>
      </c>
      <c r="J158" s="841">
        <v>1.0743868806494186</v>
      </c>
      <c r="K158" s="851">
        <v>56029.275825867182</v>
      </c>
      <c r="L158" s="840" t="s">
        <v>108</v>
      </c>
      <c r="M158" s="841">
        <v>0.91139301690961561</v>
      </c>
      <c r="N158" s="851">
        <v>63706.37188198213</v>
      </c>
      <c r="O158" s="840" t="s">
        <v>108</v>
      </c>
      <c r="P158" s="841">
        <v>0.7923248755702349</v>
      </c>
      <c r="Q158" s="851">
        <v>72834.464186793848</v>
      </c>
      <c r="R158" s="840" t="s">
        <v>108</v>
      </c>
      <c r="S158" s="841">
        <v>0.74504974924979162</v>
      </c>
      <c r="T158" s="851">
        <v>78267.47615869061</v>
      </c>
      <c r="U158" s="840" t="s">
        <v>108</v>
      </c>
      <c r="V158" s="841">
        <v>0.78177666450919536</v>
      </c>
      <c r="W158" s="851">
        <v>71571.653635816838</v>
      </c>
      <c r="X158" s="840" t="s">
        <v>108</v>
      </c>
      <c r="Y158" s="841">
        <v>0.81182194405371222</v>
      </c>
      <c r="Z158" s="851">
        <v>71480.922173929357</v>
      </c>
      <c r="AA158" s="840" t="s">
        <v>108</v>
      </c>
      <c r="AB158" s="841">
        <v>0.78599818838817614</v>
      </c>
      <c r="AC158" s="851">
        <v>72252.883467583088</v>
      </c>
      <c r="AD158" s="840" t="s">
        <v>108</v>
      </c>
      <c r="AE158" s="841">
        <v>0.80014013538466611</v>
      </c>
      <c r="AF158" s="851">
        <v>70152.286369850597</v>
      </c>
      <c r="AG158" s="840" t="s">
        <v>108</v>
      </c>
      <c r="AH158" s="841">
        <v>0.918930641083744</v>
      </c>
      <c r="AI158" s="851">
        <v>63888.652821347299</v>
      </c>
      <c r="AJ158" s="840" t="s">
        <v>108</v>
      </c>
      <c r="AK158" s="841">
        <v>0.96445541008886715</v>
      </c>
      <c r="AL158" s="851">
        <v>59241.673564708668</v>
      </c>
      <c r="AM158" s="840" t="s">
        <v>108</v>
      </c>
      <c r="AN158" s="841">
        <v>1.2198378193184667</v>
      </c>
      <c r="AO158" s="851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395</v>
      </c>
      <c r="C159" s="865"/>
      <c r="D159" s="876"/>
      <c r="E159" s="835">
        <v>25500</v>
      </c>
      <c r="F159" s="865"/>
      <c r="G159" s="876"/>
      <c r="H159" s="835">
        <v>1125</v>
      </c>
      <c r="I159" s="865"/>
      <c r="J159" s="876"/>
      <c r="K159" s="835">
        <v>1500</v>
      </c>
      <c r="L159" s="865"/>
      <c r="M159" s="876"/>
      <c r="N159" s="835">
        <v>1875</v>
      </c>
      <c r="O159" s="865"/>
      <c r="P159" s="876"/>
      <c r="Q159" s="835">
        <v>2625</v>
      </c>
      <c r="R159" s="865"/>
      <c r="S159" s="876"/>
      <c r="T159" s="835">
        <v>3000</v>
      </c>
      <c r="U159" s="865"/>
      <c r="V159" s="876"/>
      <c r="W159" s="835">
        <v>2625</v>
      </c>
      <c r="X159" s="865"/>
      <c r="Y159" s="876"/>
      <c r="Z159" s="835">
        <v>2625</v>
      </c>
      <c r="AA159" s="865"/>
      <c r="AB159" s="876"/>
      <c r="AC159" s="835">
        <v>2625</v>
      </c>
      <c r="AD159" s="865"/>
      <c r="AE159" s="876"/>
      <c r="AF159" s="835">
        <v>2625</v>
      </c>
      <c r="AG159" s="865"/>
      <c r="AH159" s="876"/>
      <c r="AI159" s="835">
        <v>1875</v>
      </c>
      <c r="AJ159" s="865"/>
      <c r="AK159" s="876"/>
      <c r="AL159" s="835">
        <v>1875</v>
      </c>
      <c r="AM159" s="865"/>
      <c r="AN159" s="876"/>
      <c r="AO159" s="835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17700.000000000004</v>
      </c>
      <c r="F160" s="865"/>
      <c r="G160" s="876"/>
      <c r="H160" s="835">
        <v>780.88235294117658</v>
      </c>
      <c r="I160" s="865"/>
      <c r="J160" s="876"/>
      <c r="K160" s="835">
        <v>1041.1764705882354</v>
      </c>
      <c r="L160" s="865"/>
      <c r="M160" s="876"/>
      <c r="N160" s="835">
        <v>1388.2352941176473</v>
      </c>
      <c r="O160" s="865"/>
      <c r="P160" s="876"/>
      <c r="Q160" s="835">
        <v>1822.0588235294119</v>
      </c>
      <c r="R160" s="865"/>
      <c r="S160" s="876"/>
      <c r="T160" s="835">
        <v>2082.3529411764707</v>
      </c>
      <c r="U160" s="865"/>
      <c r="V160" s="876"/>
      <c r="W160" s="835">
        <v>1822.0588235294119</v>
      </c>
      <c r="X160" s="865"/>
      <c r="Y160" s="876"/>
      <c r="Z160" s="835">
        <v>1735.294117647059</v>
      </c>
      <c r="AA160" s="865"/>
      <c r="AB160" s="876"/>
      <c r="AC160" s="835">
        <v>1822.0588235294119</v>
      </c>
      <c r="AD160" s="865"/>
      <c r="AE160" s="876"/>
      <c r="AF160" s="835">
        <v>1735.294117647059</v>
      </c>
      <c r="AG160" s="865"/>
      <c r="AH160" s="876"/>
      <c r="AI160" s="835">
        <v>1388.2352941176473</v>
      </c>
      <c r="AJ160" s="865"/>
      <c r="AK160" s="876"/>
      <c r="AL160" s="835">
        <v>1214.7058823529412</v>
      </c>
      <c r="AM160" s="865"/>
      <c r="AN160" s="876"/>
      <c r="AO160" s="835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>
        <v>0</v>
      </c>
      <c r="F162" s="813"/>
      <c r="G162" s="821"/>
      <c r="H162" s="835">
        <v>0</v>
      </c>
      <c r="I162" s="813"/>
      <c r="J162" s="821"/>
      <c r="K162" s="835">
        <v>0</v>
      </c>
      <c r="L162" s="813"/>
      <c r="M162" s="821"/>
      <c r="N162" s="835">
        <v>0</v>
      </c>
      <c r="O162" s="813"/>
      <c r="P162" s="821"/>
      <c r="Q162" s="835">
        <v>0</v>
      </c>
      <c r="R162" s="813"/>
      <c r="S162" s="821"/>
      <c r="T162" s="835">
        <v>0</v>
      </c>
      <c r="U162" s="813"/>
      <c r="V162" s="821"/>
      <c r="W162" s="835">
        <v>0</v>
      </c>
      <c r="X162" s="813"/>
      <c r="Y162" s="821"/>
      <c r="Z162" s="835">
        <v>0</v>
      </c>
      <c r="AA162" s="813"/>
      <c r="AB162" s="821"/>
      <c r="AC162" s="835">
        <v>0</v>
      </c>
      <c r="AD162" s="813"/>
      <c r="AE162" s="821"/>
      <c r="AF162" s="835">
        <v>0</v>
      </c>
      <c r="AG162" s="813"/>
      <c r="AH162" s="821"/>
      <c r="AI162" s="835">
        <v>0</v>
      </c>
      <c r="AJ162" s="813"/>
      <c r="AK162" s="821"/>
      <c r="AL162" s="835">
        <v>0</v>
      </c>
      <c r="AM162" s="813"/>
      <c r="AN162" s="821"/>
      <c r="AO162" s="835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>
        <v>0</v>
      </c>
      <c r="I163" s="813"/>
      <c r="J163" s="821"/>
      <c r="K163" s="835">
        <v>0</v>
      </c>
      <c r="L163" s="813"/>
      <c r="M163" s="821"/>
      <c r="N163" s="835">
        <v>0</v>
      </c>
      <c r="O163" s="813"/>
      <c r="P163" s="821"/>
      <c r="Q163" s="835">
        <v>0</v>
      </c>
      <c r="R163" s="813"/>
      <c r="S163" s="821"/>
      <c r="T163" s="835">
        <v>0</v>
      </c>
      <c r="U163" s="813"/>
      <c r="V163" s="821"/>
      <c r="W163" s="835">
        <v>0</v>
      </c>
      <c r="X163" s="813"/>
      <c r="Y163" s="821"/>
      <c r="Z163" s="835">
        <v>0</v>
      </c>
      <c r="AA163" s="813"/>
      <c r="AB163" s="821"/>
      <c r="AC163" s="835">
        <v>0</v>
      </c>
      <c r="AD163" s="813"/>
      <c r="AE163" s="821"/>
      <c r="AF163" s="835">
        <v>0</v>
      </c>
      <c r="AG163" s="813"/>
      <c r="AH163" s="821"/>
      <c r="AI163" s="835">
        <v>0</v>
      </c>
      <c r="AJ163" s="813"/>
      <c r="AK163" s="821"/>
      <c r="AL163" s="835">
        <v>0</v>
      </c>
      <c r="AM163" s="813"/>
      <c r="AN163" s="821"/>
      <c r="AO163" s="835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>
        <v>0</v>
      </c>
      <c r="I164" s="813"/>
      <c r="J164" s="821"/>
      <c r="K164" s="835">
        <v>0</v>
      </c>
      <c r="L164" s="813"/>
      <c r="M164" s="821"/>
      <c r="N164" s="835">
        <v>0</v>
      </c>
      <c r="O164" s="813"/>
      <c r="P164" s="821"/>
      <c r="Q164" s="835">
        <v>0</v>
      </c>
      <c r="R164" s="813"/>
      <c r="S164" s="821"/>
      <c r="T164" s="835">
        <v>0</v>
      </c>
      <c r="U164" s="813"/>
      <c r="V164" s="821"/>
      <c r="W164" s="835">
        <v>0</v>
      </c>
      <c r="X164" s="813"/>
      <c r="Y164" s="821"/>
      <c r="Z164" s="835">
        <v>0</v>
      </c>
      <c r="AA164" s="813"/>
      <c r="AB164" s="821"/>
      <c r="AC164" s="835">
        <v>0</v>
      </c>
      <c r="AD164" s="813"/>
      <c r="AE164" s="821"/>
      <c r="AF164" s="835">
        <v>0</v>
      </c>
      <c r="AG164" s="813"/>
      <c r="AH164" s="821"/>
      <c r="AI164" s="835">
        <v>0</v>
      </c>
      <c r="AJ164" s="813"/>
      <c r="AK164" s="821"/>
      <c r="AL164" s="835">
        <v>0</v>
      </c>
      <c r="AM164" s="813"/>
      <c r="AN164" s="821"/>
      <c r="AO164" s="835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103173</v>
      </c>
      <c r="F165" s="839"/>
      <c r="G165" s="846"/>
      <c r="H165" s="838">
        <v>4551.75</v>
      </c>
      <c r="I165" s="839"/>
      <c r="J165" s="846"/>
      <c r="K165" s="838">
        <v>6069</v>
      </c>
      <c r="L165" s="839"/>
      <c r="M165" s="846"/>
      <c r="N165" s="838">
        <v>8092</v>
      </c>
      <c r="O165" s="839"/>
      <c r="P165" s="846"/>
      <c r="Q165" s="838">
        <v>10620.75</v>
      </c>
      <c r="R165" s="839"/>
      <c r="S165" s="846"/>
      <c r="T165" s="838">
        <v>12138</v>
      </c>
      <c r="U165" s="839"/>
      <c r="V165" s="846"/>
      <c r="W165" s="838">
        <v>10620.75</v>
      </c>
      <c r="X165" s="839"/>
      <c r="Y165" s="846"/>
      <c r="Z165" s="838">
        <v>10115</v>
      </c>
      <c r="AA165" s="839"/>
      <c r="AB165" s="846"/>
      <c r="AC165" s="838">
        <v>10620.75</v>
      </c>
      <c r="AD165" s="839"/>
      <c r="AE165" s="846"/>
      <c r="AF165" s="838">
        <v>10115</v>
      </c>
      <c r="AG165" s="839"/>
      <c r="AH165" s="846"/>
      <c r="AI165" s="838">
        <v>8092</v>
      </c>
      <c r="AJ165" s="839"/>
      <c r="AK165" s="846"/>
      <c r="AL165" s="838">
        <v>7080.5</v>
      </c>
      <c r="AM165" s="839"/>
      <c r="AN165" s="846"/>
      <c r="AO165" s="838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146373</v>
      </c>
      <c r="F166" s="877"/>
      <c r="G166" s="878"/>
      <c r="H166" s="851">
        <v>6457.6323529411766</v>
      </c>
      <c r="I166" s="877"/>
      <c r="J166" s="878"/>
      <c r="K166" s="851">
        <v>8610.1764705882342</v>
      </c>
      <c r="L166" s="877"/>
      <c r="M166" s="878"/>
      <c r="N166" s="851">
        <v>11355.235294117647</v>
      </c>
      <c r="O166" s="877"/>
      <c r="P166" s="878"/>
      <c r="Q166" s="851">
        <v>15067.808823529413</v>
      </c>
      <c r="R166" s="877"/>
      <c r="S166" s="878"/>
      <c r="T166" s="851">
        <v>17220.352941176468</v>
      </c>
      <c r="U166" s="877"/>
      <c r="V166" s="878"/>
      <c r="W166" s="851">
        <v>15067.808823529413</v>
      </c>
      <c r="X166" s="877"/>
      <c r="Y166" s="878"/>
      <c r="Z166" s="851">
        <v>14475.294117647059</v>
      </c>
      <c r="AA166" s="877"/>
      <c r="AB166" s="878"/>
      <c r="AC166" s="851">
        <v>15067.808823529413</v>
      </c>
      <c r="AD166" s="877"/>
      <c r="AE166" s="878"/>
      <c r="AF166" s="851">
        <v>14475.294117647059</v>
      </c>
      <c r="AG166" s="877"/>
      <c r="AH166" s="878"/>
      <c r="AI166" s="851">
        <v>11355.235294117647</v>
      </c>
      <c r="AJ166" s="877"/>
      <c r="AK166" s="878"/>
      <c r="AL166" s="851">
        <v>10170.205882352941</v>
      </c>
      <c r="AM166" s="877"/>
      <c r="AN166" s="878"/>
      <c r="AO166" s="851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253731.07014562469</v>
      </c>
      <c r="F168" s="879"/>
      <c r="G168" s="880"/>
      <c r="H168" s="860">
        <v>-6343.2125470964584</v>
      </c>
      <c r="I168" s="879"/>
      <c r="J168" s="880"/>
      <c r="K168" s="860">
        <v>4730.9006447210522</v>
      </c>
      <c r="L168" s="879"/>
      <c r="M168" s="880"/>
      <c r="N168" s="860">
        <v>17548.863412135517</v>
      </c>
      <c r="O168" s="879"/>
      <c r="P168" s="880"/>
      <c r="Q168" s="860">
        <v>34158.344636735565</v>
      </c>
      <c r="R168" s="879"/>
      <c r="S168" s="880"/>
      <c r="T168" s="860">
        <v>44002.876782485859</v>
      </c>
      <c r="U168" s="879"/>
      <c r="V168" s="880"/>
      <c r="W168" s="860">
        <v>35046.155187712575</v>
      </c>
      <c r="X168" s="879"/>
      <c r="Y168" s="880"/>
      <c r="Z168" s="860">
        <v>31044.371943717702</v>
      </c>
      <c r="AA168" s="879"/>
      <c r="AB168" s="880"/>
      <c r="AC168" s="860">
        <v>34739.925355946325</v>
      </c>
      <c r="AD168" s="879"/>
      <c r="AE168" s="880"/>
      <c r="AF168" s="860">
        <v>31998.007747796462</v>
      </c>
      <c r="AG168" s="879"/>
      <c r="AH168" s="880"/>
      <c r="AI168" s="860">
        <v>16991.582472770348</v>
      </c>
      <c r="AJ168" s="879"/>
      <c r="AK168" s="880"/>
      <c r="AL168" s="860">
        <v>12353.532317644273</v>
      </c>
      <c r="AM168" s="879"/>
      <c r="AN168" s="880"/>
      <c r="AO168" s="860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2824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2024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0</v>
      </c>
      <c r="D175" s="883">
        <v>753300</v>
      </c>
      <c r="E175" s="835">
        <v>599626.80000000005</v>
      </c>
      <c r="F175" s="882">
        <v>0</v>
      </c>
      <c r="G175" s="883">
        <v>29150.087781024373</v>
      </c>
      <c r="H175" s="835">
        <v>23203.469873695401</v>
      </c>
      <c r="I175" s="882">
        <v>0</v>
      </c>
      <c r="J175" s="883">
        <v>30799.759303154231</v>
      </c>
      <c r="K175" s="835">
        <v>24516.60840531077</v>
      </c>
      <c r="L175" s="882">
        <v>0</v>
      </c>
      <c r="M175" s="883">
        <v>48118.170212829435</v>
      </c>
      <c r="N175" s="835">
        <v>38302.063489412234</v>
      </c>
      <c r="O175" s="882">
        <v>0</v>
      </c>
      <c r="P175" s="883">
        <v>91459.310732889295</v>
      </c>
      <c r="Q175" s="835">
        <v>72801.611343379889</v>
      </c>
      <c r="R175" s="882">
        <v>0</v>
      </c>
      <c r="S175" s="883">
        <v>98604.961395925638</v>
      </c>
      <c r="T175" s="835">
        <v>78489.549271156808</v>
      </c>
      <c r="U175" s="882">
        <v>0</v>
      </c>
      <c r="V175" s="883">
        <v>63028.546499910459</v>
      </c>
      <c r="W175" s="835">
        <v>50170.723013928728</v>
      </c>
      <c r="X175" s="882">
        <v>0</v>
      </c>
      <c r="Y175" s="883">
        <v>53635.707589127953</v>
      </c>
      <c r="Z175" s="835">
        <v>42694.023240945855</v>
      </c>
      <c r="AA175" s="882">
        <v>0</v>
      </c>
      <c r="AB175" s="883">
        <v>53678.023273975508</v>
      </c>
      <c r="AC175" s="835">
        <v>42727.706526084505</v>
      </c>
      <c r="AD175" s="882">
        <v>0</v>
      </c>
      <c r="AE175" s="883">
        <v>53665.931108825767</v>
      </c>
      <c r="AF175" s="835">
        <v>42718.081162625313</v>
      </c>
      <c r="AG175" s="882">
        <v>0</v>
      </c>
      <c r="AH175" s="883">
        <v>87521.407456008339</v>
      </c>
      <c r="AI175" s="835">
        <v>69667.040334982637</v>
      </c>
      <c r="AJ175" s="882">
        <v>0</v>
      </c>
      <c r="AK175" s="883">
        <v>106868.43520615344</v>
      </c>
      <c r="AL175" s="835">
        <v>85067.274424098141</v>
      </c>
      <c r="AM175" s="882">
        <v>0</v>
      </c>
      <c r="AN175" s="883">
        <v>36769.659440175557</v>
      </c>
      <c r="AO175" s="835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0.79600000000000004</v>
      </c>
      <c r="F176" s="884"/>
      <c r="G176" s="821"/>
      <c r="H176" s="885">
        <v>0.79600000000000004</v>
      </c>
      <c r="I176" s="884"/>
      <c r="J176" s="821"/>
      <c r="K176" s="885">
        <v>0.79600000000000004</v>
      </c>
      <c r="L176" s="884"/>
      <c r="M176" s="821"/>
      <c r="N176" s="885">
        <v>0.79600000000000004</v>
      </c>
      <c r="O176" s="884"/>
      <c r="P176" s="821"/>
      <c r="Q176" s="885">
        <v>0.79600000000000015</v>
      </c>
      <c r="R176" s="884"/>
      <c r="S176" s="821"/>
      <c r="T176" s="885">
        <v>0.79600000000000004</v>
      </c>
      <c r="U176" s="884"/>
      <c r="V176" s="821"/>
      <c r="W176" s="885">
        <v>0.79600000000000004</v>
      </c>
      <c r="X176" s="884"/>
      <c r="Y176" s="821"/>
      <c r="Z176" s="885">
        <v>0.79600000000000004</v>
      </c>
      <c r="AA176" s="884"/>
      <c r="AB176" s="821"/>
      <c r="AC176" s="885">
        <v>0.79600000000000004</v>
      </c>
      <c r="AD176" s="884"/>
      <c r="AE176" s="821"/>
      <c r="AF176" s="885">
        <v>0.79600000000000004</v>
      </c>
      <c r="AG176" s="884"/>
      <c r="AH176" s="821"/>
      <c r="AI176" s="885">
        <v>0.79600000000000004</v>
      </c>
      <c r="AJ176" s="884"/>
      <c r="AK176" s="821"/>
      <c r="AL176" s="885">
        <v>0.79600000000000004</v>
      </c>
      <c r="AM176" s="884"/>
      <c r="AN176" s="821"/>
      <c r="AO176" s="885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0</v>
      </c>
      <c r="E177" s="888"/>
      <c r="F177" s="886"/>
      <c r="G177" s="887">
        <v>0</v>
      </c>
      <c r="H177" s="888"/>
      <c r="I177" s="886"/>
      <c r="J177" s="887">
        <v>0</v>
      </c>
      <c r="K177" s="888"/>
      <c r="L177" s="886"/>
      <c r="M177" s="887">
        <v>0</v>
      </c>
      <c r="N177" s="888"/>
      <c r="O177" s="886"/>
      <c r="P177" s="887">
        <v>0</v>
      </c>
      <c r="Q177" s="888"/>
      <c r="R177" s="886"/>
      <c r="S177" s="887">
        <v>0</v>
      </c>
      <c r="T177" s="888"/>
      <c r="U177" s="886"/>
      <c r="V177" s="887">
        <v>0</v>
      </c>
      <c r="W177" s="888"/>
      <c r="X177" s="886"/>
      <c r="Y177" s="887">
        <v>0</v>
      </c>
      <c r="Z177" s="888"/>
      <c r="AA177" s="886"/>
      <c r="AB177" s="887">
        <v>0</v>
      </c>
      <c r="AC177" s="888"/>
      <c r="AD177" s="886"/>
      <c r="AE177" s="887">
        <v>0</v>
      </c>
      <c r="AF177" s="888"/>
      <c r="AG177" s="886"/>
      <c r="AH177" s="887">
        <v>0</v>
      </c>
      <c r="AI177" s="888"/>
      <c r="AJ177" s="886"/>
      <c r="AK177" s="887">
        <v>0</v>
      </c>
      <c r="AL177" s="888"/>
      <c r="AM177" s="886"/>
      <c r="AN177" s="887">
        <v>0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0</v>
      </c>
      <c r="D178" s="890">
        <v>362500.00000000006</v>
      </c>
      <c r="E178" s="845">
        <v>261362.49999999997</v>
      </c>
      <c r="F178" s="889">
        <v>0</v>
      </c>
      <c r="G178" s="890">
        <v>23226.608496155295</v>
      </c>
      <c r="H178" s="845">
        <v>16746.384725727967</v>
      </c>
      <c r="I178" s="889">
        <v>0</v>
      </c>
      <c r="J178" s="890">
        <v>23607.422337819564</v>
      </c>
      <c r="K178" s="845">
        <v>17020.951505567904</v>
      </c>
      <c r="L178" s="889">
        <v>0</v>
      </c>
      <c r="M178" s="890">
        <v>29749.48504881093</v>
      </c>
      <c r="N178" s="845">
        <v>21449.378720192679</v>
      </c>
      <c r="O178" s="889">
        <v>0</v>
      </c>
      <c r="P178" s="890">
        <v>27921.832539270315</v>
      </c>
      <c r="Q178" s="845">
        <v>20131.641260813896</v>
      </c>
      <c r="R178" s="889">
        <v>0</v>
      </c>
      <c r="S178" s="890">
        <v>34631.537736300394</v>
      </c>
      <c r="T178" s="845">
        <v>24969.338707872583</v>
      </c>
      <c r="U178" s="889">
        <v>0</v>
      </c>
      <c r="V178" s="890">
        <v>33303.272233769181</v>
      </c>
      <c r="W178" s="845">
        <v>24011.659280547578</v>
      </c>
      <c r="X178" s="889">
        <v>0</v>
      </c>
      <c r="Y178" s="890">
        <v>31954.832594655505</v>
      </c>
      <c r="Z178" s="845">
        <v>23039.43430074662</v>
      </c>
      <c r="AA178" s="889">
        <v>0</v>
      </c>
      <c r="AB178" s="890">
        <v>37779.627052116484</v>
      </c>
      <c r="AC178" s="845">
        <v>27239.111104575983</v>
      </c>
      <c r="AD178" s="889">
        <v>0</v>
      </c>
      <c r="AE178" s="890">
        <v>32235.573387709155</v>
      </c>
      <c r="AF178" s="845">
        <v>23241.8484125383</v>
      </c>
      <c r="AG178" s="889">
        <v>0</v>
      </c>
      <c r="AH178" s="890">
        <v>30319.365826513371</v>
      </c>
      <c r="AI178" s="845">
        <v>21860.262760916139</v>
      </c>
      <c r="AJ178" s="889">
        <v>0</v>
      </c>
      <c r="AK178" s="890">
        <v>32960.631535414002</v>
      </c>
      <c r="AL178" s="845">
        <v>23764.615337033494</v>
      </c>
      <c r="AM178" s="889">
        <v>0</v>
      </c>
      <c r="AN178" s="890">
        <v>24809.811211465814</v>
      </c>
      <c r="AO178" s="845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0.72099999999999975</v>
      </c>
      <c r="F179" s="813"/>
      <c r="G179" s="821"/>
      <c r="H179" s="885">
        <v>0.72099999999999997</v>
      </c>
      <c r="I179" s="813"/>
      <c r="J179" s="821"/>
      <c r="K179" s="885">
        <v>0.72099999999999997</v>
      </c>
      <c r="L179" s="813"/>
      <c r="M179" s="821"/>
      <c r="N179" s="885">
        <v>0.72099999999999997</v>
      </c>
      <c r="O179" s="813"/>
      <c r="P179" s="821"/>
      <c r="Q179" s="885">
        <v>0.72099999999999997</v>
      </c>
      <c r="R179" s="813"/>
      <c r="S179" s="821"/>
      <c r="T179" s="885">
        <v>0.72099999999999997</v>
      </c>
      <c r="U179" s="813"/>
      <c r="V179" s="821"/>
      <c r="W179" s="885">
        <v>0.72099999999999997</v>
      </c>
      <c r="X179" s="813"/>
      <c r="Y179" s="821"/>
      <c r="Z179" s="885">
        <v>0.72099999999999997</v>
      </c>
      <c r="AA179" s="813"/>
      <c r="AB179" s="821"/>
      <c r="AC179" s="885">
        <v>0.72099999999999997</v>
      </c>
      <c r="AD179" s="813"/>
      <c r="AE179" s="821"/>
      <c r="AF179" s="885">
        <v>0.72099999999999997</v>
      </c>
      <c r="AG179" s="813"/>
      <c r="AH179" s="821"/>
      <c r="AI179" s="885">
        <v>0.72099999999999997</v>
      </c>
      <c r="AJ179" s="813"/>
      <c r="AK179" s="821"/>
      <c r="AL179" s="885">
        <v>0.72099999999999997</v>
      </c>
      <c r="AM179" s="813"/>
      <c r="AN179" s="821"/>
      <c r="AO179" s="885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0</v>
      </c>
      <c r="E180" s="888"/>
      <c r="F180" s="839"/>
      <c r="G180" s="887">
        <v>0</v>
      </c>
      <c r="H180" s="888"/>
      <c r="I180" s="839"/>
      <c r="J180" s="887">
        <v>0</v>
      </c>
      <c r="K180" s="888"/>
      <c r="L180" s="839"/>
      <c r="M180" s="887">
        <v>0</v>
      </c>
      <c r="N180" s="888"/>
      <c r="O180" s="839"/>
      <c r="P180" s="887">
        <v>0</v>
      </c>
      <c r="Q180" s="888"/>
      <c r="R180" s="839"/>
      <c r="S180" s="887">
        <v>0</v>
      </c>
      <c r="T180" s="888"/>
      <c r="U180" s="839"/>
      <c r="V180" s="887">
        <v>0</v>
      </c>
      <c r="W180" s="888"/>
      <c r="X180" s="839"/>
      <c r="Y180" s="887">
        <v>0</v>
      </c>
      <c r="Z180" s="888"/>
      <c r="AA180" s="839"/>
      <c r="AB180" s="887">
        <v>0</v>
      </c>
      <c r="AC180" s="888"/>
      <c r="AD180" s="839"/>
      <c r="AE180" s="887">
        <v>0</v>
      </c>
      <c r="AF180" s="888"/>
      <c r="AG180" s="839"/>
      <c r="AH180" s="887">
        <v>0</v>
      </c>
      <c r="AI180" s="888"/>
      <c r="AJ180" s="839"/>
      <c r="AK180" s="887">
        <v>0</v>
      </c>
      <c r="AL180" s="888"/>
      <c r="AM180" s="839"/>
      <c r="AN180" s="887">
        <v>0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0</v>
      </c>
      <c r="D181" s="883">
        <v>457800</v>
      </c>
      <c r="E181" s="835">
        <v>282920.39999999997</v>
      </c>
      <c r="F181" s="882">
        <v>0</v>
      </c>
      <c r="G181" s="883">
        <v>19635.398056284746</v>
      </c>
      <c r="H181" s="835">
        <v>12134.675998783972</v>
      </c>
      <c r="I181" s="882">
        <v>0</v>
      </c>
      <c r="J181" s="883">
        <v>25220.940170528134</v>
      </c>
      <c r="K181" s="835">
        <v>15586.541025386387</v>
      </c>
      <c r="L181" s="882">
        <v>0</v>
      </c>
      <c r="M181" s="883">
        <v>46634.409113420515</v>
      </c>
      <c r="N181" s="835">
        <v>28820.064832093878</v>
      </c>
      <c r="O181" s="882">
        <v>0</v>
      </c>
      <c r="P181" s="883">
        <v>47824.028760260728</v>
      </c>
      <c r="Q181" s="835">
        <v>29555.249773841129</v>
      </c>
      <c r="R181" s="882">
        <v>0</v>
      </c>
      <c r="S181" s="883">
        <v>51841.353960612578</v>
      </c>
      <c r="T181" s="835">
        <v>32037.956747658573</v>
      </c>
      <c r="U181" s="882">
        <v>0</v>
      </c>
      <c r="V181" s="883">
        <v>43757.631967158552</v>
      </c>
      <c r="W181" s="835">
        <v>27042.216555703984</v>
      </c>
      <c r="X181" s="882">
        <v>0</v>
      </c>
      <c r="Y181" s="883">
        <v>38048.94246961271</v>
      </c>
      <c r="Z181" s="835">
        <v>23514.246446220655</v>
      </c>
      <c r="AA181" s="882">
        <v>0</v>
      </c>
      <c r="AB181" s="883">
        <v>43013.323438856823</v>
      </c>
      <c r="AC181" s="835">
        <v>26582.233885213518</v>
      </c>
      <c r="AD181" s="882">
        <v>0</v>
      </c>
      <c r="AE181" s="883">
        <v>35848.810769582196</v>
      </c>
      <c r="AF181" s="835">
        <v>22154.565055601797</v>
      </c>
      <c r="AG181" s="882">
        <v>0</v>
      </c>
      <c r="AH181" s="883">
        <v>38221.307136367548</v>
      </c>
      <c r="AI181" s="835">
        <v>23620.767810275145</v>
      </c>
      <c r="AJ181" s="882">
        <v>0</v>
      </c>
      <c r="AK181" s="883">
        <v>36469.666943191805</v>
      </c>
      <c r="AL181" s="835">
        <v>22538.254170892535</v>
      </c>
      <c r="AM181" s="882">
        <v>0</v>
      </c>
      <c r="AN181" s="883">
        <v>31284.187214123664</v>
      </c>
      <c r="AO181" s="835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0.61799999999999988</v>
      </c>
      <c r="F182" s="884"/>
      <c r="G182" s="891"/>
      <c r="H182" s="885">
        <v>0.61799999999999999</v>
      </c>
      <c r="I182" s="884"/>
      <c r="J182" s="891"/>
      <c r="K182" s="885">
        <v>0.61799999999999999</v>
      </c>
      <c r="L182" s="884"/>
      <c r="M182" s="891"/>
      <c r="N182" s="885">
        <v>0.61799999999999999</v>
      </c>
      <c r="O182" s="884"/>
      <c r="P182" s="891"/>
      <c r="Q182" s="885">
        <v>0.61799999999999999</v>
      </c>
      <c r="R182" s="884"/>
      <c r="S182" s="891"/>
      <c r="T182" s="885">
        <v>0.61799999999999999</v>
      </c>
      <c r="U182" s="884"/>
      <c r="V182" s="891"/>
      <c r="W182" s="885">
        <v>0.61799999999999999</v>
      </c>
      <c r="X182" s="884"/>
      <c r="Y182" s="891"/>
      <c r="Z182" s="885">
        <v>0.61799999999999999</v>
      </c>
      <c r="AA182" s="884"/>
      <c r="AB182" s="891"/>
      <c r="AC182" s="885">
        <v>0.61799999999999999</v>
      </c>
      <c r="AD182" s="884"/>
      <c r="AE182" s="891"/>
      <c r="AF182" s="885">
        <v>0.61799999999999999</v>
      </c>
      <c r="AG182" s="884"/>
      <c r="AH182" s="891"/>
      <c r="AI182" s="885">
        <v>0.61799999999999999</v>
      </c>
      <c r="AJ182" s="884"/>
      <c r="AK182" s="891"/>
      <c r="AL182" s="885">
        <v>0.61799999999999999</v>
      </c>
      <c r="AM182" s="884"/>
      <c r="AN182" s="891"/>
      <c r="AO182" s="885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0</v>
      </c>
      <c r="E183" s="885"/>
      <c r="F183" s="884"/>
      <c r="G183" s="892">
        <v>0</v>
      </c>
      <c r="H183" s="885"/>
      <c r="I183" s="884"/>
      <c r="J183" s="892">
        <v>0</v>
      </c>
      <c r="K183" s="885"/>
      <c r="L183" s="884"/>
      <c r="M183" s="892">
        <v>0</v>
      </c>
      <c r="N183" s="885"/>
      <c r="O183" s="884"/>
      <c r="P183" s="892">
        <v>0</v>
      </c>
      <c r="Q183" s="885"/>
      <c r="R183" s="884"/>
      <c r="S183" s="892">
        <v>0</v>
      </c>
      <c r="T183" s="885"/>
      <c r="U183" s="884"/>
      <c r="V183" s="892">
        <v>0</v>
      </c>
      <c r="W183" s="885"/>
      <c r="X183" s="884"/>
      <c r="Y183" s="892">
        <v>0</v>
      </c>
      <c r="Z183" s="885"/>
      <c r="AA183" s="884"/>
      <c r="AB183" s="892">
        <v>0</v>
      </c>
      <c r="AC183" s="885"/>
      <c r="AD183" s="884"/>
      <c r="AE183" s="892">
        <v>0</v>
      </c>
      <c r="AF183" s="885"/>
      <c r="AG183" s="884"/>
      <c r="AH183" s="892">
        <v>0</v>
      </c>
      <c r="AI183" s="885"/>
      <c r="AJ183" s="884"/>
      <c r="AK183" s="892">
        <v>0</v>
      </c>
      <c r="AL183" s="885"/>
      <c r="AM183" s="884"/>
      <c r="AN183" s="892">
        <v>0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0</v>
      </c>
      <c r="D184" s="890">
        <v>120014.99999999999</v>
      </c>
      <c r="E184" s="845">
        <v>48005.999999999993</v>
      </c>
      <c r="F184" s="889">
        <v>0</v>
      </c>
      <c r="G184" s="890">
        <v>3234.9803447399227</v>
      </c>
      <c r="H184" s="845">
        <v>1293.9921378959691</v>
      </c>
      <c r="I184" s="889">
        <v>0</v>
      </c>
      <c r="J184" s="890">
        <v>4003.8936573429355</v>
      </c>
      <c r="K184" s="845">
        <v>1601.5574629371743</v>
      </c>
      <c r="L184" s="889">
        <v>0</v>
      </c>
      <c r="M184" s="890">
        <v>9864.8288188616407</v>
      </c>
      <c r="N184" s="845">
        <v>3945.9315275446565</v>
      </c>
      <c r="O184" s="889">
        <v>0</v>
      </c>
      <c r="P184" s="890">
        <v>19291.158745703557</v>
      </c>
      <c r="Q184" s="845">
        <v>7716.4634982814232</v>
      </c>
      <c r="R184" s="889">
        <v>0</v>
      </c>
      <c r="S184" s="890">
        <v>17089.18928105462</v>
      </c>
      <c r="T184" s="845">
        <v>6835.6757124218484</v>
      </c>
      <c r="U184" s="889">
        <v>0</v>
      </c>
      <c r="V184" s="890">
        <v>10730.01975387566</v>
      </c>
      <c r="W184" s="845">
        <v>4292.0079015502643</v>
      </c>
      <c r="X184" s="889">
        <v>0</v>
      </c>
      <c r="Y184" s="890">
        <v>9413.3532347075125</v>
      </c>
      <c r="Z184" s="845">
        <v>3765.3412938830052</v>
      </c>
      <c r="AA184" s="889">
        <v>0</v>
      </c>
      <c r="AB184" s="890">
        <v>7003.4178410123104</v>
      </c>
      <c r="AC184" s="845">
        <v>2801.3671364049242</v>
      </c>
      <c r="AD184" s="889">
        <v>0</v>
      </c>
      <c r="AE184" s="890">
        <v>8224.027672521921</v>
      </c>
      <c r="AF184" s="845">
        <v>3289.6110690087685</v>
      </c>
      <c r="AG184" s="889">
        <v>0</v>
      </c>
      <c r="AH184" s="890">
        <v>13288.953996823771</v>
      </c>
      <c r="AI184" s="845">
        <v>5315.5815987295091</v>
      </c>
      <c r="AJ184" s="889">
        <v>0</v>
      </c>
      <c r="AK184" s="890">
        <v>12315.067942412468</v>
      </c>
      <c r="AL184" s="845">
        <v>4926.027176964988</v>
      </c>
      <c r="AM184" s="889">
        <v>0</v>
      </c>
      <c r="AN184" s="890">
        <v>5556.108710943673</v>
      </c>
      <c r="AO184" s="845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0.39999999999999997</v>
      </c>
      <c r="F185" s="893"/>
      <c r="G185" s="894">
        <v>0</v>
      </c>
      <c r="H185" s="885">
        <v>0.4</v>
      </c>
      <c r="I185" s="893"/>
      <c r="J185" s="894">
        <v>0</v>
      </c>
      <c r="K185" s="885">
        <v>0.4</v>
      </c>
      <c r="L185" s="893"/>
      <c r="M185" s="894">
        <v>0</v>
      </c>
      <c r="N185" s="885">
        <v>0.4</v>
      </c>
      <c r="O185" s="893"/>
      <c r="P185" s="894">
        <v>0</v>
      </c>
      <c r="Q185" s="885">
        <v>0.4</v>
      </c>
      <c r="R185" s="893"/>
      <c r="S185" s="894">
        <v>0</v>
      </c>
      <c r="T185" s="885">
        <v>0.4</v>
      </c>
      <c r="U185" s="893"/>
      <c r="V185" s="894">
        <v>0</v>
      </c>
      <c r="W185" s="885">
        <v>0.4</v>
      </c>
      <c r="X185" s="893"/>
      <c r="Y185" s="894">
        <v>0</v>
      </c>
      <c r="Z185" s="885">
        <v>0.4</v>
      </c>
      <c r="AA185" s="893"/>
      <c r="AB185" s="894">
        <v>0</v>
      </c>
      <c r="AC185" s="885">
        <v>0.4</v>
      </c>
      <c r="AD185" s="893"/>
      <c r="AE185" s="894">
        <v>0</v>
      </c>
      <c r="AF185" s="885">
        <v>0.4</v>
      </c>
      <c r="AG185" s="893"/>
      <c r="AH185" s="894">
        <v>0</v>
      </c>
      <c r="AI185" s="885">
        <v>0.4</v>
      </c>
      <c r="AJ185" s="893"/>
      <c r="AK185" s="894">
        <v>0</v>
      </c>
      <c r="AL185" s="885">
        <v>0.40000000000000008</v>
      </c>
      <c r="AM185" s="893"/>
      <c r="AN185" s="894">
        <v>0</v>
      </c>
      <c r="AO185" s="885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0</v>
      </c>
      <c r="E186" s="888"/>
      <c r="F186" s="895"/>
      <c r="G186" s="896">
        <v>0</v>
      </c>
      <c r="H186" s="888"/>
      <c r="I186" s="895"/>
      <c r="J186" s="896">
        <v>0</v>
      </c>
      <c r="K186" s="888"/>
      <c r="L186" s="895"/>
      <c r="M186" s="896">
        <v>0</v>
      </c>
      <c r="N186" s="888"/>
      <c r="O186" s="895"/>
      <c r="P186" s="896">
        <v>0</v>
      </c>
      <c r="Q186" s="888"/>
      <c r="R186" s="895"/>
      <c r="S186" s="896">
        <v>0</v>
      </c>
      <c r="T186" s="888"/>
      <c r="U186" s="895"/>
      <c r="V186" s="896">
        <v>0</v>
      </c>
      <c r="W186" s="888"/>
      <c r="X186" s="895"/>
      <c r="Y186" s="896">
        <v>0</v>
      </c>
      <c r="Z186" s="888"/>
      <c r="AA186" s="895"/>
      <c r="AB186" s="896">
        <v>0</v>
      </c>
      <c r="AC186" s="888"/>
      <c r="AD186" s="895"/>
      <c r="AE186" s="896">
        <v>0</v>
      </c>
      <c r="AF186" s="888"/>
      <c r="AG186" s="895"/>
      <c r="AH186" s="896">
        <v>0</v>
      </c>
      <c r="AI186" s="888"/>
      <c r="AJ186" s="895"/>
      <c r="AK186" s="896">
        <v>0</v>
      </c>
      <c r="AL186" s="888"/>
      <c r="AM186" s="895"/>
      <c r="AN186" s="896">
        <v>0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-25084.964999999993</v>
      </c>
      <c r="F187" s="882"/>
      <c r="G187" s="883"/>
      <c r="H187" s="835">
        <v>-1093.4275971050502</v>
      </c>
      <c r="I187" s="882"/>
      <c r="J187" s="883"/>
      <c r="K187" s="835">
        <v>-1245.3178534821313</v>
      </c>
      <c r="L187" s="882"/>
      <c r="M187" s="883"/>
      <c r="N187" s="835">
        <v>-2092.4727312339519</v>
      </c>
      <c r="O187" s="882"/>
      <c r="P187" s="883"/>
      <c r="Q187" s="835">
        <v>-2814.5682450903769</v>
      </c>
      <c r="R187" s="882"/>
      <c r="S187" s="883"/>
      <c r="T187" s="835">
        <v>-2991.7260967391708</v>
      </c>
      <c r="U187" s="882"/>
      <c r="V187" s="883"/>
      <c r="W187" s="835">
        <v>-2265.1431851491625</v>
      </c>
      <c r="X187" s="882"/>
      <c r="Y187" s="883"/>
      <c r="Z187" s="835">
        <v>-2001.9895303153758</v>
      </c>
      <c r="AA187" s="882"/>
      <c r="AB187" s="883"/>
      <c r="AC187" s="835">
        <v>-2106.1986476841098</v>
      </c>
      <c r="AD187" s="882"/>
      <c r="AE187" s="883"/>
      <c r="AF187" s="835">
        <v>-1928.5118619432426</v>
      </c>
      <c r="AG187" s="882"/>
      <c r="AH187" s="883"/>
      <c r="AI187" s="835">
        <v>-2444.36909554048</v>
      </c>
      <c r="AJ187" s="882"/>
      <c r="AK187" s="883"/>
      <c r="AL187" s="835">
        <v>-2615.8815259091284</v>
      </c>
      <c r="AM187" s="882"/>
      <c r="AN187" s="883"/>
      <c r="AO187" s="835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0</v>
      </c>
      <c r="D188" s="898">
        <v>1693615</v>
      </c>
      <c r="E188" s="899">
        <v>1166830.7349999999</v>
      </c>
      <c r="F188" s="897">
        <v>0</v>
      </c>
      <c r="G188" s="898">
        <v>75247.074678204328</v>
      </c>
      <c r="H188" s="899">
        <v>52285.095138998266</v>
      </c>
      <c r="I188" s="897">
        <v>0</v>
      </c>
      <c r="J188" s="898">
        <v>83632.015468844867</v>
      </c>
      <c r="K188" s="899">
        <v>57480.340545720101</v>
      </c>
      <c r="L188" s="897">
        <v>0</v>
      </c>
      <c r="M188" s="898">
        <v>134366.8931939225</v>
      </c>
      <c r="N188" s="899">
        <v>90424.965838009492</v>
      </c>
      <c r="O188" s="897">
        <v>0</v>
      </c>
      <c r="P188" s="898">
        <v>186496.3307781239</v>
      </c>
      <c r="Q188" s="899">
        <v>127390.39763122596</v>
      </c>
      <c r="R188" s="897">
        <v>0</v>
      </c>
      <c r="S188" s="898">
        <v>202167.04237389326</v>
      </c>
      <c r="T188" s="899">
        <v>139340.79434237065</v>
      </c>
      <c r="U188" s="897">
        <v>0</v>
      </c>
      <c r="V188" s="898">
        <v>150819.47045471382</v>
      </c>
      <c r="W188" s="899">
        <v>103251.4635665814</v>
      </c>
      <c r="X188" s="897">
        <v>0</v>
      </c>
      <c r="Y188" s="898">
        <v>133052.83588810367</v>
      </c>
      <c r="Z188" s="899">
        <v>91011.055751480759</v>
      </c>
      <c r="AA188" s="897">
        <v>0</v>
      </c>
      <c r="AB188" s="898">
        <v>141474.39160596114</v>
      </c>
      <c r="AC188" s="899">
        <v>97244.220004594812</v>
      </c>
      <c r="AD188" s="897">
        <v>0</v>
      </c>
      <c r="AE188" s="898">
        <v>129974.34293863903</v>
      </c>
      <c r="AF188" s="899">
        <v>89475.593837830922</v>
      </c>
      <c r="AG188" s="897">
        <v>0</v>
      </c>
      <c r="AH188" s="898">
        <v>169351.03441571305</v>
      </c>
      <c r="AI188" s="899">
        <v>118019.28340936296</v>
      </c>
      <c r="AJ188" s="897">
        <v>0</v>
      </c>
      <c r="AK188" s="898">
        <v>188613.80162717175</v>
      </c>
      <c r="AL188" s="899">
        <v>133680.28958308004</v>
      </c>
      <c r="AM188" s="897">
        <v>0</v>
      </c>
      <c r="AN188" s="898">
        <v>98419.766576708716</v>
      </c>
      <c r="AO188" s="899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0</v>
      </c>
      <c r="E189" s="902">
        <v>0.68895866829238039</v>
      </c>
      <c r="F189" s="900"/>
      <c r="G189" s="901">
        <v>0</v>
      </c>
      <c r="H189" s="902">
        <v>0.69484555197124354</v>
      </c>
      <c r="I189" s="900"/>
      <c r="J189" s="901">
        <v>0</v>
      </c>
      <c r="K189" s="902">
        <v>0.68730067335436917</v>
      </c>
      <c r="L189" s="900"/>
      <c r="M189" s="901">
        <v>0</v>
      </c>
      <c r="N189" s="902">
        <v>0.67297057845570152</v>
      </c>
      <c r="O189" s="900"/>
      <c r="P189" s="901">
        <v>0</v>
      </c>
      <c r="Q189" s="902">
        <v>0.68307187117146706</v>
      </c>
      <c r="R189" s="900"/>
      <c r="S189" s="901">
        <v>0</v>
      </c>
      <c r="T189" s="902">
        <v>0.68923595412089955</v>
      </c>
      <c r="U189" s="900"/>
      <c r="V189" s="901">
        <v>0</v>
      </c>
      <c r="W189" s="902">
        <v>0.68460301083993302</v>
      </c>
      <c r="X189" s="900"/>
      <c r="Y189" s="901">
        <v>0</v>
      </c>
      <c r="Z189" s="902">
        <v>0.68402191613578456</v>
      </c>
      <c r="AA189" s="900"/>
      <c r="AB189" s="901">
        <v>0</v>
      </c>
      <c r="AC189" s="902">
        <v>0.6873627014805791</v>
      </c>
      <c r="AD189" s="900"/>
      <c r="AE189" s="901">
        <v>0</v>
      </c>
      <c r="AF189" s="902">
        <v>0.6884096646679907</v>
      </c>
      <c r="AG189" s="900"/>
      <c r="AH189" s="901">
        <v>0</v>
      </c>
      <c r="AI189" s="902">
        <v>0.6968914232886001</v>
      </c>
      <c r="AJ189" s="900"/>
      <c r="AK189" s="901">
        <v>0</v>
      </c>
      <c r="AL189" s="902">
        <v>0.70875136617691725</v>
      </c>
      <c r="AM189" s="900"/>
      <c r="AN189" s="901">
        <v>0</v>
      </c>
      <c r="AO189" s="902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54000</v>
      </c>
      <c r="E191" s="835">
        <v>9234.0000000000018</v>
      </c>
      <c r="F191" s="882">
        <v>0</v>
      </c>
      <c r="G191" s="904">
        <v>5651.0237662200743</v>
      </c>
      <c r="H191" s="835">
        <v>966.32506402363276</v>
      </c>
      <c r="I191" s="882">
        <v>0</v>
      </c>
      <c r="J191" s="904">
        <v>7123.0807094389911</v>
      </c>
      <c r="K191" s="835">
        <v>1218.0468013140676</v>
      </c>
      <c r="L191" s="882">
        <v>0</v>
      </c>
      <c r="M191" s="904">
        <v>2761.4410301103508</v>
      </c>
      <c r="N191" s="835">
        <v>472.20641614887001</v>
      </c>
      <c r="O191" s="882">
        <v>0</v>
      </c>
      <c r="P191" s="904">
        <v>3723.0847765048825</v>
      </c>
      <c r="Q191" s="835">
        <v>636.647496782335</v>
      </c>
      <c r="R191" s="882">
        <v>0</v>
      </c>
      <c r="S191" s="904">
        <v>5195.4004662893567</v>
      </c>
      <c r="T191" s="835">
        <v>888.41347973548011</v>
      </c>
      <c r="U191" s="882">
        <v>0</v>
      </c>
      <c r="V191" s="904">
        <v>5645.9567159259104</v>
      </c>
      <c r="W191" s="835">
        <v>965.45859842333073</v>
      </c>
      <c r="X191" s="882">
        <v>0</v>
      </c>
      <c r="Y191" s="904">
        <v>4512.6097702047173</v>
      </c>
      <c r="Z191" s="835">
        <v>771.6562707050067</v>
      </c>
      <c r="AA191" s="882">
        <v>0</v>
      </c>
      <c r="AB191" s="904">
        <v>3535.0863292151193</v>
      </c>
      <c r="AC191" s="835">
        <v>604.49976229578544</v>
      </c>
      <c r="AD191" s="882">
        <v>0</v>
      </c>
      <c r="AE191" s="904">
        <v>3833.2253788490943</v>
      </c>
      <c r="AF191" s="835">
        <v>655.48153978319522</v>
      </c>
      <c r="AG191" s="882">
        <v>0</v>
      </c>
      <c r="AH191" s="904">
        <v>3572.6947879141785</v>
      </c>
      <c r="AI191" s="835">
        <v>610.93080873332462</v>
      </c>
      <c r="AJ191" s="882">
        <v>0</v>
      </c>
      <c r="AK191" s="904">
        <v>4975.497989718152</v>
      </c>
      <c r="AL191" s="835">
        <v>850.81015624180407</v>
      </c>
      <c r="AM191" s="882">
        <v>0</v>
      </c>
      <c r="AN191" s="904">
        <v>3470.8982796091709</v>
      </c>
      <c r="AO191" s="835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0.17100000000000004</v>
      </c>
      <c r="F192" s="884"/>
      <c r="G192" s="891"/>
      <c r="H192" s="885">
        <v>0.17100000000000001</v>
      </c>
      <c r="I192" s="884"/>
      <c r="J192" s="891"/>
      <c r="K192" s="885">
        <v>0.17100000000000001</v>
      </c>
      <c r="L192" s="884"/>
      <c r="M192" s="891"/>
      <c r="N192" s="885">
        <v>0.17100000000000001</v>
      </c>
      <c r="O192" s="884"/>
      <c r="P192" s="891"/>
      <c r="Q192" s="885">
        <v>0.17100000000000001</v>
      </c>
      <c r="R192" s="884"/>
      <c r="S192" s="891"/>
      <c r="T192" s="885">
        <v>0.17100000000000001</v>
      </c>
      <c r="U192" s="884"/>
      <c r="V192" s="891"/>
      <c r="W192" s="885">
        <v>0.17100000000000001</v>
      </c>
      <c r="X192" s="884"/>
      <c r="Y192" s="891"/>
      <c r="Z192" s="885">
        <v>0.17100000000000001</v>
      </c>
      <c r="AA192" s="884"/>
      <c r="AB192" s="891"/>
      <c r="AC192" s="885">
        <v>0.17100000000000001</v>
      </c>
      <c r="AD192" s="884"/>
      <c r="AE192" s="891"/>
      <c r="AF192" s="885">
        <v>0.17100000000000001</v>
      </c>
      <c r="AG192" s="884"/>
      <c r="AH192" s="891"/>
      <c r="AI192" s="885">
        <v>0.17100000000000004</v>
      </c>
      <c r="AJ192" s="884"/>
      <c r="AK192" s="891"/>
      <c r="AL192" s="885">
        <v>0.17100000000000001</v>
      </c>
      <c r="AM192" s="884"/>
      <c r="AN192" s="891"/>
      <c r="AO192" s="885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1747615</v>
      </c>
      <c r="E197" s="825">
        <v>1176064.7349999999</v>
      </c>
      <c r="F197" s="823"/>
      <c r="G197" s="910">
        <v>80898.098444424395</v>
      </c>
      <c r="H197" s="825">
        <v>53251.420203021895</v>
      </c>
      <c r="I197" s="823"/>
      <c r="J197" s="910">
        <v>90755.096178283857</v>
      </c>
      <c r="K197" s="825">
        <v>58698.387347034171</v>
      </c>
      <c r="L197" s="823"/>
      <c r="M197" s="910">
        <v>137128.33422403285</v>
      </c>
      <c r="N197" s="825">
        <v>90897.172254158359</v>
      </c>
      <c r="O197" s="823"/>
      <c r="P197" s="910">
        <v>190219.41555462879</v>
      </c>
      <c r="Q197" s="825">
        <v>128027.04512800829</v>
      </c>
      <c r="R197" s="823"/>
      <c r="S197" s="910">
        <v>207362.44284018263</v>
      </c>
      <c r="T197" s="825">
        <v>140229.20782210614</v>
      </c>
      <c r="U197" s="823"/>
      <c r="V197" s="910">
        <v>156465.42717063974</v>
      </c>
      <c r="W197" s="825">
        <v>104216.92216500473</v>
      </c>
      <c r="X197" s="823"/>
      <c r="Y197" s="910">
        <v>137565.4456583084</v>
      </c>
      <c r="Z197" s="825">
        <v>91782.712022185762</v>
      </c>
      <c r="AA197" s="823"/>
      <c r="AB197" s="910">
        <v>145009.47793517626</v>
      </c>
      <c r="AC197" s="825">
        <v>97848.719766890601</v>
      </c>
      <c r="AD197" s="823"/>
      <c r="AE197" s="910">
        <v>133807.56831748813</v>
      </c>
      <c r="AF197" s="825">
        <v>90131.075377614121</v>
      </c>
      <c r="AG197" s="823"/>
      <c r="AH197" s="910">
        <v>172923.72920362721</v>
      </c>
      <c r="AI197" s="825">
        <v>118630.21421809628</v>
      </c>
      <c r="AJ197" s="823"/>
      <c r="AK197" s="910">
        <v>193589.29961688991</v>
      </c>
      <c r="AL197" s="825">
        <v>134531.09973932186</v>
      </c>
      <c r="AM197" s="823"/>
      <c r="AN197" s="910">
        <v>101890.66485631789</v>
      </c>
      <c r="AO197" s="825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0.67295413177387464</v>
      </c>
      <c r="F198" s="826"/>
      <c r="G198" s="827"/>
      <c r="H198" s="911">
        <v>0.65825305201215212</v>
      </c>
      <c r="I198" s="826"/>
      <c r="J198" s="827"/>
      <c r="K198" s="911">
        <v>0.64677786503277035</v>
      </c>
      <c r="L198" s="826"/>
      <c r="M198" s="827"/>
      <c r="N198" s="911">
        <v>0.66286207564991984</v>
      </c>
      <c r="O198" s="826"/>
      <c r="P198" s="827"/>
      <c r="Q198" s="911">
        <v>0.6730493033779742</v>
      </c>
      <c r="R198" s="826"/>
      <c r="S198" s="827"/>
      <c r="T198" s="911">
        <v>0.67625171608430035</v>
      </c>
      <c r="U198" s="826"/>
      <c r="V198" s="827"/>
      <c r="W198" s="911">
        <v>0.66606996861579348</v>
      </c>
      <c r="X198" s="826"/>
      <c r="Y198" s="827"/>
      <c r="Z198" s="911">
        <v>0.66719307005452544</v>
      </c>
      <c r="AA198" s="826"/>
      <c r="AB198" s="827"/>
      <c r="AC198" s="911">
        <v>0.67477465032066397</v>
      </c>
      <c r="AD198" s="826"/>
      <c r="AE198" s="827"/>
      <c r="AF198" s="911">
        <v>0.67358727545035535</v>
      </c>
      <c r="AG198" s="826"/>
      <c r="AH198" s="827"/>
      <c r="AI198" s="911">
        <v>0.68602623112761274</v>
      </c>
      <c r="AJ198" s="826"/>
      <c r="AK198" s="827"/>
      <c r="AL198" s="911">
        <v>0.69493045331305359</v>
      </c>
      <c r="AM198" s="826"/>
      <c r="AN198" s="827"/>
      <c r="AO198" s="911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116061.70000000001</v>
      </c>
      <c r="F201" s="813"/>
      <c r="G201" s="821"/>
      <c r="H201" s="835">
        <v>9894.0984096692118</v>
      </c>
      <c r="I201" s="813"/>
      <c r="J201" s="821"/>
      <c r="K201" s="835">
        <v>9513.0297073791353</v>
      </c>
      <c r="L201" s="813"/>
      <c r="M201" s="821"/>
      <c r="N201" s="835">
        <v>9513.0297073791353</v>
      </c>
      <c r="O201" s="813"/>
      <c r="P201" s="821"/>
      <c r="Q201" s="835">
        <v>9703.5640585241727</v>
      </c>
      <c r="R201" s="813"/>
      <c r="S201" s="821"/>
      <c r="T201" s="835">
        <v>9894.0984096692118</v>
      </c>
      <c r="U201" s="813"/>
      <c r="V201" s="821"/>
      <c r="W201" s="835">
        <v>9322.4953562340961</v>
      </c>
      <c r="X201" s="813"/>
      <c r="Y201" s="821"/>
      <c r="Z201" s="835">
        <v>9894.0984096692118</v>
      </c>
      <c r="AA201" s="813"/>
      <c r="AB201" s="821"/>
      <c r="AC201" s="835">
        <v>9703.5640585241727</v>
      </c>
      <c r="AD201" s="813"/>
      <c r="AE201" s="821"/>
      <c r="AF201" s="835">
        <v>9513.0297073791353</v>
      </c>
      <c r="AG201" s="813"/>
      <c r="AH201" s="821"/>
      <c r="AI201" s="835">
        <v>9894.0984096692118</v>
      </c>
      <c r="AJ201" s="813"/>
      <c r="AK201" s="821"/>
      <c r="AL201" s="835">
        <v>9513.0297073791353</v>
      </c>
      <c r="AM201" s="813"/>
      <c r="AN201" s="821"/>
      <c r="AO201" s="835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60664.15</v>
      </c>
      <c r="F202" s="813"/>
      <c r="G202" s="821"/>
      <c r="H202" s="835">
        <v>5158.1075699745543</v>
      </c>
      <c r="I202" s="813"/>
      <c r="J202" s="821"/>
      <c r="K202" s="835">
        <v>4981.9445928753184</v>
      </c>
      <c r="L202" s="813"/>
      <c r="M202" s="821"/>
      <c r="N202" s="835">
        <v>4981.9445928753184</v>
      </c>
      <c r="O202" s="813"/>
      <c r="P202" s="821"/>
      <c r="Q202" s="835">
        <v>5070.0260814249359</v>
      </c>
      <c r="R202" s="813"/>
      <c r="S202" s="821"/>
      <c r="T202" s="835">
        <v>5158.1075699745543</v>
      </c>
      <c r="U202" s="813"/>
      <c r="V202" s="821"/>
      <c r="W202" s="835">
        <v>4893.8631043257001</v>
      </c>
      <c r="X202" s="813"/>
      <c r="Y202" s="821"/>
      <c r="Z202" s="835">
        <v>5158.1075699745543</v>
      </c>
      <c r="AA202" s="813"/>
      <c r="AB202" s="821"/>
      <c r="AC202" s="835">
        <v>5070.0260814249359</v>
      </c>
      <c r="AD202" s="813"/>
      <c r="AE202" s="821"/>
      <c r="AF202" s="835">
        <v>4981.9445928753184</v>
      </c>
      <c r="AG202" s="813"/>
      <c r="AH202" s="821"/>
      <c r="AI202" s="835">
        <v>5158.1075699745543</v>
      </c>
      <c r="AJ202" s="813"/>
      <c r="AK202" s="821"/>
      <c r="AL202" s="835">
        <v>4981.9445928753184</v>
      </c>
      <c r="AM202" s="813"/>
      <c r="AN202" s="821"/>
      <c r="AO202" s="835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61066</v>
      </c>
      <c r="F203" s="843"/>
      <c r="G203" s="844"/>
      <c r="H203" s="845">
        <v>4622.2290076335885</v>
      </c>
      <c r="I203" s="843"/>
      <c r="J203" s="844"/>
      <c r="K203" s="845">
        <v>4322.1221374045799</v>
      </c>
      <c r="L203" s="843"/>
      <c r="M203" s="844"/>
      <c r="N203" s="845">
        <v>4322.1221374045799</v>
      </c>
      <c r="O203" s="843"/>
      <c r="P203" s="844"/>
      <c r="Q203" s="845">
        <v>4472.1755725190842</v>
      </c>
      <c r="R203" s="843"/>
      <c r="S203" s="844"/>
      <c r="T203" s="845">
        <v>4622.2290076335885</v>
      </c>
      <c r="U203" s="843"/>
      <c r="V203" s="844"/>
      <c r="W203" s="845">
        <v>4172.0687022900765</v>
      </c>
      <c r="X203" s="843"/>
      <c r="Y203" s="844"/>
      <c r="Z203" s="845">
        <v>4622.2290076335885</v>
      </c>
      <c r="AA203" s="843"/>
      <c r="AB203" s="844"/>
      <c r="AC203" s="845">
        <v>4472.1755725190842</v>
      </c>
      <c r="AD203" s="843"/>
      <c r="AE203" s="844"/>
      <c r="AF203" s="845">
        <v>4322.1221374045799</v>
      </c>
      <c r="AG203" s="843"/>
      <c r="AH203" s="844"/>
      <c r="AI203" s="845">
        <v>8647.2290076335885</v>
      </c>
      <c r="AJ203" s="843"/>
      <c r="AK203" s="844"/>
      <c r="AL203" s="845">
        <v>7997.1221374045799</v>
      </c>
      <c r="AM203" s="843"/>
      <c r="AN203" s="844"/>
      <c r="AO203" s="845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141979.6030534351</v>
      </c>
      <c r="F204" s="813"/>
      <c r="G204" s="821"/>
      <c r="H204" s="835">
        <v>6963.5101781170479</v>
      </c>
      <c r="I204" s="813"/>
      <c r="J204" s="821"/>
      <c r="K204" s="835">
        <v>6680.3498727735368</v>
      </c>
      <c r="L204" s="813"/>
      <c r="M204" s="821"/>
      <c r="N204" s="835">
        <v>13283.797831091724</v>
      </c>
      <c r="O204" s="813"/>
      <c r="P204" s="821"/>
      <c r="Q204" s="835">
        <v>13563.745330702255</v>
      </c>
      <c r="R204" s="813"/>
      <c r="S204" s="821"/>
      <c r="T204" s="835">
        <v>13843.692830312786</v>
      </c>
      <c r="U204" s="813"/>
      <c r="V204" s="821"/>
      <c r="W204" s="835">
        <v>13003.850331481193</v>
      </c>
      <c r="X204" s="813"/>
      <c r="Y204" s="821"/>
      <c r="Z204" s="835">
        <v>13843.692830312786</v>
      </c>
      <c r="AA204" s="813"/>
      <c r="AB204" s="821"/>
      <c r="AC204" s="835">
        <v>13563.745330702255</v>
      </c>
      <c r="AD204" s="813"/>
      <c r="AE204" s="821"/>
      <c r="AF204" s="835">
        <v>13283.797831091724</v>
      </c>
      <c r="AG204" s="813"/>
      <c r="AH204" s="821"/>
      <c r="AI204" s="835">
        <v>13843.692830312786</v>
      </c>
      <c r="AJ204" s="813"/>
      <c r="AK204" s="821"/>
      <c r="AL204" s="835">
        <v>13283.797831091724</v>
      </c>
      <c r="AM204" s="813"/>
      <c r="AN204" s="821"/>
      <c r="AO204" s="835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85561.786822258611</v>
      </c>
      <c r="F208" s="813"/>
      <c r="G208" s="821"/>
      <c r="H208" s="835">
        <v>6096.5122547474184</v>
      </c>
      <c r="I208" s="813"/>
      <c r="J208" s="821"/>
      <c r="K208" s="835">
        <v>5361.9306403633818</v>
      </c>
      <c r="L208" s="813"/>
      <c r="M208" s="821"/>
      <c r="N208" s="835">
        <v>6514.3387196614513</v>
      </c>
      <c r="O208" s="813"/>
      <c r="P208" s="821"/>
      <c r="Q208" s="835">
        <v>7772.8074175562506</v>
      </c>
      <c r="R208" s="813"/>
      <c r="S208" s="821"/>
      <c r="T208" s="835">
        <v>8049.6285467121852</v>
      </c>
      <c r="U208" s="813"/>
      <c r="V208" s="821"/>
      <c r="W208" s="835">
        <v>7219.1651592443795</v>
      </c>
      <c r="X208" s="813"/>
      <c r="Y208" s="821"/>
      <c r="Z208" s="835">
        <v>8049.6285467121852</v>
      </c>
      <c r="AA208" s="813"/>
      <c r="AB208" s="821"/>
      <c r="AC208" s="835">
        <v>7296.570819625048</v>
      </c>
      <c r="AD208" s="813"/>
      <c r="AE208" s="821"/>
      <c r="AF208" s="835">
        <v>7495.9862884003151</v>
      </c>
      <c r="AG208" s="813"/>
      <c r="AH208" s="821"/>
      <c r="AI208" s="835">
        <v>8464.6679697891086</v>
      </c>
      <c r="AJ208" s="813"/>
      <c r="AK208" s="821"/>
      <c r="AL208" s="835">
        <v>7390.1260733684594</v>
      </c>
      <c r="AM208" s="813"/>
      <c r="AN208" s="821"/>
      <c r="AO208" s="835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113555.04344172454</v>
      </c>
      <c r="F209" s="843"/>
      <c r="G209" s="844"/>
      <c r="H209" s="845">
        <v>7723.850710421666</v>
      </c>
      <c r="I209" s="843"/>
      <c r="J209" s="844"/>
      <c r="K209" s="845">
        <v>7719.9216840661593</v>
      </c>
      <c r="L209" s="843"/>
      <c r="M209" s="844"/>
      <c r="N209" s="845">
        <v>9379.1188495974311</v>
      </c>
      <c r="O209" s="843"/>
      <c r="P209" s="844"/>
      <c r="Q209" s="845">
        <v>10251.640070301715</v>
      </c>
      <c r="R209" s="843"/>
      <c r="S209" s="844"/>
      <c r="T209" s="845">
        <v>10538.678179395662</v>
      </c>
      <c r="U209" s="843"/>
      <c r="V209" s="844"/>
      <c r="W209" s="845">
        <v>9451.4247329159916</v>
      </c>
      <c r="X209" s="843"/>
      <c r="Y209" s="844"/>
      <c r="Z209" s="845">
        <v>10460.613896585324</v>
      </c>
      <c r="AA209" s="843"/>
      <c r="AB209" s="844"/>
      <c r="AC209" s="845">
        <v>10350.859051103162</v>
      </c>
      <c r="AD209" s="843"/>
      <c r="AE209" s="844"/>
      <c r="AF209" s="845">
        <v>9668.4522884327816</v>
      </c>
      <c r="AG209" s="843"/>
      <c r="AH209" s="844"/>
      <c r="AI209" s="845">
        <v>10813.465254968518</v>
      </c>
      <c r="AJ209" s="843"/>
      <c r="AK209" s="844"/>
      <c r="AL209" s="845">
        <v>10248.868890856349</v>
      </c>
      <c r="AM209" s="843"/>
      <c r="AN209" s="844"/>
      <c r="AO209" s="845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52560.664990627251</v>
      </c>
      <c r="F210" s="813"/>
      <c r="G210" s="821"/>
      <c r="H210" s="835">
        <v>3521.1672356334061</v>
      </c>
      <c r="I210" s="813"/>
      <c r="J210" s="821"/>
      <c r="K210" s="835">
        <v>3519.3760618536899</v>
      </c>
      <c r="L210" s="813"/>
      <c r="M210" s="821"/>
      <c r="N210" s="835">
        <v>4275.7747696694169</v>
      </c>
      <c r="O210" s="813"/>
      <c r="P210" s="821"/>
      <c r="Q210" s="835">
        <v>4673.5417967551939</v>
      </c>
      <c r="R210" s="813"/>
      <c r="S210" s="821"/>
      <c r="T210" s="835">
        <v>4839.9855342409701</v>
      </c>
      <c r="U210" s="813"/>
      <c r="V210" s="821"/>
      <c r="W210" s="835">
        <v>4340.6543217836397</v>
      </c>
      <c r="X210" s="813"/>
      <c r="Y210" s="821"/>
      <c r="Z210" s="835">
        <v>4839.9855342409701</v>
      </c>
      <c r="AA210" s="813"/>
      <c r="AB210" s="821"/>
      <c r="AC210" s="835">
        <v>4789.2034415551934</v>
      </c>
      <c r="AD210" s="813"/>
      <c r="AE210" s="821"/>
      <c r="AF210" s="835">
        <v>4507.0980592694168</v>
      </c>
      <c r="AG210" s="813"/>
      <c r="AH210" s="821"/>
      <c r="AI210" s="835">
        <v>5089.5355342409703</v>
      </c>
      <c r="AJ210" s="813"/>
      <c r="AK210" s="821"/>
      <c r="AL210" s="835">
        <v>4850.6097040694167</v>
      </c>
      <c r="AM210" s="813"/>
      <c r="AN210" s="821"/>
      <c r="AO210" s="835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11868.537255948093</v>
      </c>
      <c r="F211" s="813"/>
      <c r="G211" s="821"/>
      <c r="H211" s="835">
        <v>795.10227901399503</v>
      </c>
      <c r="I211" s="813"/>
      <c r="J211" s="821"/>
      <c r="K211" s="835">
        <v>794.69782041857513</v>
      </c>
      <c r="L211" s="813"/>
      <c r="M211" s="821"/>
      <c r="N211" s="835">
        <v>965.49752863502965</v>
      </c>
      <c r="O211" s="813"/>
      <c r="P211" s="821"/>
      <c r="Q211" s="835">
        <v>1055.3158895898825</v>
      </c>
      <c r="R211" s="813"/>
      <c r="S211" s="821"/>
      <c r="T211" s="835">
        <v>1092.8999593447354</v>
      </c>
      <c r="U211" s="813"/>
      <c r="V211" s="821"/>
      <c r="W211" s="835">
        <v>980.14775008017682</v>
      </c>
      <c r="X211" s="813"/>
      <c r="Y211" s="821"/>
      <c r="Z211" s="835">
        <v>1092.8999593447354</v>
      </c>
      <c r="AA211" s="813"/>
      <c r="AB211" s="821"/>
      <c r="AC211" s="835">
        <v>1081.4330351898825</v>
      </c>
      <c r="AD211" s="813"/>
      <c r="AE211" s="821"/>
      <c r="AF211" s="835">
        <v>1017.7318198350297</v>
      </c>
      <c r="AG211" s="813"/>
      <c r="AH211" s="821"/>
      <c r="AI211" s="835">
        <v>1149.2499593447353</v>
      </c>
      <c r="AJ211" s="813"/>
      <c r="AK211" s="821"/>
      <c r="AL211" s="835">
        <v>1095.2989654350297</v>
      </c>
      <c r="AM211" s="813"/>
      <c r="AN211" s="821"/>
      <c r="AO211" s="835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0.54700856714659807</v>
      </c>
      <c r="E213" s="842">
        <v>643317.48556399345</v>
      </c>
      <c r="F213" s="840" t="s">
        <v>162</v>
      </c>
      <c r="G213" s="841">
        <v>0.84081471394578955</v>
      </c>
      <c r="H213" s="842">
        <v>44774.577645210891</v>
      </c>
      <c r="I213" s="840" t="s">
        <v>162</v>
      </c>
      <c r="J213" s="841">
        <v>0.7307419241953268</v>
      </c>
      <c r="K213" s="842">
        <v>42893.372517134376</v>
      </c>
      <c r="L213" s="840" t="s">
        <v>162</v>
      </c>
      <c r="M213" s="841">
        <v>0.58566864970740229</v>
      </c>
      <c r="N213" s="842">
        <v>53235.62413631408</v>
      </c>
      <c r="O213" s="840" t="s">
        <v>162</v>
      </c>
      <c r="P213" s="841">
        <v>0.44180365297675156</v>
      </c>
      <c r="Q213" s="842">
        <v>56562.816217373489</v>
      </c>
      <c r="R213" s="840" t="s">
        <v>162</v>
      </c>
      <c r="S213" s="841">
        <v>0.41388895322657743</v>
      </c>
      <c r="T213" s="842">
        <v>58039.320037283695</v>
      </c>
      <c r="U213" s="840" t="s">
        <v>162</v>
      </c>
      <c r="V213" s="841">
        <v>0.5122360970690909</v>
      </c>
      <c r="W213" s="842">
        <v>53383.669458355253</v>
      </c>
      <c r="X213" s="840" t="s">
        <v>162</v>
      </c>
      <c r="Y213" s="841">
        <v>0.63150515470127899</v>
      </c>
      <c r="Z213" s="842">
        <v>57961.255754473357</v>
      </c>
      <c r="AA213" s="840" t="s">
        <v>162</v>
      </c>
      <c r="AB213" s="841">
        <v>0.57565983004003995</v>
      </c>
      <c r="AC213" s="842">
        <v>56327.577390643739</v>
      </c>
      <c r="AD213" s="840" t="s">
        <v>162</v>
      </c>
      <c r="AE213" s="841">
        <v>0.60789425284385934</v>
      </c>
      <c r="AF213" s="842">
        <v>54790.162724688307</v>
      </c>
      <c r="AG213" s="840" t="s">
        <v>162</v>
      </c>
      <c r="AH213" s="841">
        <v>0.53156817554084856</v>
      </c>
      <c r="AI213" s="842">
        <v>63060.04653593347</v>
      </c>
      <c r="AJ213" s="840" t="s">
        <v>162</v>
      </c>
      <c r="AK213" s="841">
        <v>0.44124219617249999</v>
      </c>
      <c r="AL213" s="842">
        <v>59360.797902480015</v>
      </c>
      <c r="AM213" s="840" t="s">
        <v>162</v>
      </c>
      <c r="AN213" s="841">
        <v>0.63296645311209798</v>
      </c>
      <c r="AO213" s="842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60418.799999999996</v>
      </c>
      <c r="F214" s="813"/>
      <c r="G214" s="821"/>
      <c r="H214" s="835">
        <v>4152.7665696779477</v>
      </c>
      <c r="I214" s="813"/>
      <c r="J214" s="821"/>
      <c r="K214" s="835">
        <v>5781.1828547894875</v>
      </c>
      <c r="L214" s="813"/>
      <c r="M214" s="821"/>
      <c r="N214" s="835">
        <v>5817.0473457215103</v>
      </c>
      <c r="O214" s="813"/>
      <c r="P214" s="821"/>
      <c r="Q214" s="835">
        <v>5906.8019975352545</v>
      </c>
      <c r="R214" s="813"/>
      <c r="S214" s="821"/>
      <c r="T214" s="835">
        <v>4296.59984040574</v>
      </c>
      <c r="U214" s="813"/>
      <c r="V214" s="821"/>
      <c r="W214" s="835">
        <v>4222.9250664275323</v>
      </c>
      <c r="X214" s="813"/>
      <c r="Y214" s="821"/>
      <c r="Z214" s="835">
        <v>4203.4735481734233</v>
      </c>
      <c r="AA214" s="813"/>
      <c r="AB214" s="821"/>
      <c r="AC214" s="835">
        <v>4203.5611792212958</v>
      </c>
      <c r="AD214" s="813"/>
      <c r="AE214" s="821"/>
      <c r="AF214" s="835">
        <v>4203.5361377004756</v>
      </c>
      <c r="AG214" s="813"/>
      <c r="AH214" s="821"/>
      <c r="AI214" s="835">
        <v>5898.6470405301643</v>
      </c>
      <c r="AJ214" s="813"/>
      <c r="AK214" s="821"/>
      <c r="AL214" s="835">
        <v>5938.7125699211465</v>
      </c>
      <c r="AM214" s="813"/>
      <c r="AN214" s="821"/>
      <c r="AO214" s="835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44400</v>
      </c>
      <c r="F215" s="813"/>
      <c r="G215" s="821"/>
      <c r="H215" s="835">
        <v>3700</v>
      </c>
      <c r="I215" s="813"/>
      <c r="J215" s="821"/>
      <c r="K215" s="835">
        <v>3700</v>
      </c>
      <c r="L215" s="813"/>
      <c r="M215" s="821"/>
      <c r="N215" s="835">
        <v>3700</v>
      </c>
      <c r="O215" s="813"/>
      <c r="P215" s="821"/>
      <c r="Q215" s="835">
        <v>3700</v>
      </c>
      <c r="R215" s="813"/>
      <c r="S215" s="821"/>
      <c r="T215" s="835">
        <v>3700</v>
      </c>
      <c r="U215" s="813"/>
      <c r="V215" s="821"/>
      <c r="W215" s="835">
        <v>3700</v>
      </c>
      <c r="X215" s="813"/>
      <c r="Y215" s="821"/>
      <c r="Z215" s="835">
        <v>3700</v>
      </c>
      <c r="AA215" s="813"/>
      <c r="AB215" s="821"/>
      <c r="AC215" s="835">
        <v>3700</v>
      </c>
      <c r="AD215" s="813"/>
      <c r="AE215" s="821"/>
      <c r="AF215" s="835">
        <v>3700</v>
      </c>
      <c r="AG215" s="813"/>
      <c r="AH215" s="821"/>
      <c r="AI215" s="835">
        <v>3700</v>
      </c>
      <c r="AJ215" s="813"/>
      <c r="AK215" s="821"/>
      <c r="AL215" s="835">
        <v>3700</v>
      </c>
      <c r="AM215" s="813"/>
      <c r="AN215" s="821"/>
      <c r="AO215" s="835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57872.500000000022</v>
      </c>
      <c r="F216" s="839"/>
      <c r="G216" s="846"/>
      <c r="H216" s="838">
        <v>4822.7083333333339</v>
      </c>
      <c r="I216" s="839"/>
      <c r="J216" s="846"/>
      <c r="K216" s="838">
        <v>4822.7083333333339</v>
      </c>
      <c r="L216" s="839"/>
      <c r="M216" s="846"/>
      <c r="N216" s="838">
        <v>4822.7083333333339</v>
      </c>
      <c r="O216" s="839"/>
      <c r="P216" s="846"/>
      <c r="Q216" s="838">
        <v>4822.7083333333339</v>
      </c>
      <c r="R216" s="839"/>
      <c r="S216" s="846"/>
      <c r="T216" s="838">
        <v>4822.7083333333339</v>
      </c>
      <c r="U216" s="839"/>
      <c r="V216" s="846"/>
      <c r="W216" s="838">
        <v>4822.7083333333339</v>
      </c>
      <c r="X216" s="839"/>
      <c r="Y216" s="846"/>
      <c r="Z216" s="838">
        <v>4822.7083333333339</v>
      </c>
      <c r="AA216" s="839"/>
      <c r="AB216" s="846"/>
      <c r="AC216" s="838">
        <v>4822.7083333333339</v>
      </c>
      <c r="AD216" s="839"/>
      <c r="AE216" s="846"/>
      <c r="AF216" s="838">
        <v>4822.7083333333339</v>
      </c>
      <c r="AG216" s="839"/>
      <c r="AH216" s="846"/>
      <c r="AI216" s="838">
        <v>4822.7083333333339</v>
      </c>
      <c r="AJ216" s="839"/>
      <c r="AK216" s="846"/>
      <c r="AL216" s="838">
        <v>4822.7083333333339</v>
      </c>
      <c r="AM216" s="839"/>
      <c r="AN216" s="846"/>
      <c r="AO216" s="838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66324.3</v>
      </c>
      <c r="F217" s="813"/>
      <c r="G217" s="821"/>
      <c r="H217" s="835">
        <v>5527.0249999999996</v>
      </c>
      <c r="I217" s="813"/>
      <c r="J217" s="821"/>
      <c r="K217" s="835">
        <v>5527.0249999999996</v>
      </c>
      <c r="L217" s="813"/>
      <c r="M217" s="821"/>
      <c r="N217" s="835">
        <v>5527.0249999999996</v>
      </c>
      <c r="O217" s="813"/>
      <c r="P217" s="821"/>
      <c r="Q217" s="835">
        <v>5527.0249999999996</v>
      </c>
      <c r="R217" s="813"/>
      <c r="S217" s="821"/>
      <c r="T217" s="835">
        <v>5527.0249999999996</v>
      </c>
      <c r="U217" s="813"/>
      <c r="V217" s="821"/>
      <c r="W217" s="835">
        <v>5527.0249999999996</v>
      </c>
      <c r="X217" s="813"/>
      <c r="Y217" s="821"/>
      <c r="Z217" s="835">
        <v>5527.0249999999996</v>
      </c>
      <c r="AA217" s="813"/>
      <c r="AB217" s="821"/>
      <c r="AC217" s="835">
        <v>5527.0249999999996</v>
      </c>
      <c r="AD217" s="813"/>
      <c r="AE217" s="821"/>
      <c r="AF217" s="835">
        <v>5527.0249999999996</v>
      </c>
      <c r="AG217" s="813"/>
      <c r="AH217" s="821"/>
      <c r="AI217" s="835">
        <v>5527.0249999999996</v>
      </c>
      <c r="AJ217" s="813"/>
      <c r="AK217" s="821"/>
      <c r="AL217" s="835">
        <v>5527.0249999999996</v>
      </c>
      <c r="AM217" s="813"/>
      <c r="AN217" s="821"/>
      <c r="AO217" s="835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4935.6000000000013</v>
      </c>
      <c r="F218" s="813"/>
      <c r="G218" s="821"/>
      <c r="H218" s="835">
        <v>411.3</v>
      </c>
      <c r="I218" s="813"/>
      <c r="J218" s="821"/>
      <c r="K218" s="835">
        <v>411.3</v>
      </c>
      <c r="L218" s="813"/>
      <c r="M218" s="821"/>
      <c r="N218" s="835">
        <v>411.3</v>
      </c>
      <c r="O218" s="813"/>
      <c r="P218" s="821"/>
      <c r="Q218" s="835">
        <v>411.3</v>
      </c>
      <c r="R218" s="813"/>
      <c r="S218" s="821"/>
      <c r="T218" s="835">
        <v>411.3</v>
      </c>
      <c r="U218" s="813"/>
      <c r="V218" s="821"/>
      <c r="W218" s="835">
        <v>411.3</v>
      </c>
      <c r="X218" s="813"/>
      <c r="Y218" s="821"/>
      <c r="Z218" s="835">
        <v>411.3</v>
      </c>
      <c r="AA218" s="813"/>
      <c r="AB218" s="821"/>
      <c r="AC218" s="835">
        <v>411.3</v>
      </c>
      <c r="AD218" s="813"/>
      <c r="AE218" s="821"/>
      <c r="AF218" s="835">
        <v>411.3</v>
      </c>
      <c r="AG218" s="813"/>
      <c r="AH218" s="821"/>
      <c r="AI218" s="835">
        <v>411.3</v>
      </c>
      <c r="AJ218" s="813"/>
      <c r="AK218" s="821"/>
      <c r="AL218" s="835">
        <v>411.3</v>
      </c>
      <c r="AM218" s="813"/>
      <c r="AN218" s="821"/>
      <c r="AO218" s="835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65426.69999999999</v>
      </c>
      <c r="F219" s="839"/>
      <c r="G219" s="846"/>
      <c r="H219" s="838">
        <v>5452.2250000000004</v>
      </c>
      <c r="I219" s="839"/>
      <c r="J219" s="846"/>
      <c r="K219" s="838">
        <v>5452.2250000000004</v>
      </c>
      <c r="L219" s="839"/>
      <c r="M219" s="846"/>
      <c r="N219" s="838">
        <v>5452.2250000000004</v>
      </c>
      <c r="O219" s="839"/>
      <c r="P219" s="846"/>
      <c r="Q219" s="838">
        <v>5452.2250000000004</v>
      </c>
      <c r="R219" s="839"/>
      <c r="S219" s="846"/>
      <c r="T219" s="838">
        <v>5452.2250000000004</v>
      </c>
      <c r="U219" s="839"/>
      <c r="V219" s="846"/>
      <c r="W219" s="838">
        <v>5452.2250000000004</v>
      </c>
      <c r="X219" s="839"/>
      <c r="Y219" s="846"/>
      <c r="Z219" s="838">
        <v>5452.2250000000004</v>
      </c>
      <c r="AA219" s="839"/>
      <c r="AB219" s="846"/>
      <c r="AC219" s="838">
        <v>5452.2250000000004</v>
      </c>
      <c r="AD219" s="839"/>
      <c r="AE219" s="846"/>
      <c r="AF219" s="838">
        <v>5452.2250000000004</v>
      </c>
      <c r="AG219" s="839"/>
      <c r="AH219" s="846"/>
      <c r="AI219" s="838">
        <v>5452.2250000000004</v>
      </c>
      <c r="AJ219" s="839"/>
      <c r="AK219" s="846"/>
      <c r="AL219" s="838">
        <v>5452.2250000000004</v>
      </c>
      <c r="AM219" s="839"/>
      <c r="AN219" s="846"/>
      <c r="AO219" s="838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14599.999999999996</v>
      </c>
      <c r="F221" s="813"/>
      <c r="G221" s="821"/>
      <c r="H221" s="835">
        <v>1231.3253012048192</v>
      </c>
      <c r="I221" s="813"/>
      <c r="J221" s="821"/>
      <c r="K221" s="835">
        <v>1172.6907630522087</v>
      </c>
      <c r="L221" s="813"/>
      <c r="M221" s="821"/>
      <c r="N221" s="835">
        <v>1289.9598393574297</v>
      </c>
      <c r="O221" s="813"/>
      <c r="P221" s="821"/>
      <c r="Q221" s="835">
        <v>1231.3253012048192</v>
      </c>
      <c r="R221" s="813"/>
      <c r="S221" s="821"/>
      <c r="T221" s="835">
        <v>1172.6907630522087</v>
      </c>
      <c r="U221" s="813"/>
      <c r="V221" s="821"/>
      <c r="W221" s="835">
        <v>1231.3253012048192</v>
      </c>
      <c r="X221" s="813"/>
      <c r="Y221" s="821"/>
      <c r="Z221" s="835">
        <v>1289.9598393574297</v>
      </c>
      <c r="AA221" s="813"/>
      <c r="AB221" s="821"/>
      <c r="AC221" s="835">
        <v>1231.3253012048192</v>
      </c>
      <c r="AD221" s="813"/>
      <c r="AE221" s="821"/>
      <c r="AF221" s="835">
        <v>1231.3253012048192</v>
      </c>
      <c r="AG221" s="813"/>
      <c r="AH221" s="821"/>
      <c r="AI221" s="835">
        <v>1231.3253012048192</v>
      </c>
      <c r="AJ221" s="813"/>
      <c r="AK221" s="821"/>
      <c r="AL221" s="835">
        <v>1231.3253012048192</v>
      </c>
      <c r="AM221" s="813"/>
      <c r="AN221" s="821"/>
      <c r="AO221" s="835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11400</v>
      </c>
      <c r="F222" s="813"/>
      <c r="G222" s="821"/>
      <c r="H222" s="835">
        <v>950</v>
      </c>
      <c r="I222" s="813"/>
      <c r="J222" s="821"/>
      <c r="K222" s="835">
        <v>950</v>
      </c>
      <c r="L222" s="813"/>
      <c r="M222" s="821"/>
      <c r="N222" s="835">
        <v>950</v>
      </c>
      <c r="O222" s="813"/>
      <c r="P222" s="821"/>
      <c r="Q222" s="835">
        <v>950</v>
      </c>
      <c r="R222" s="813"/>
      <c r="S222" s="821"/>
      <c r="T222" s="835">
        <v>950</v>
      </c>
      <c r="U222" s="813"/>
      <c r="V222" s="821"/>
      <c r="W222" s="835">
        <v>950</v>
      </c>
      <c r="X222" s="813"/>
      <c r="Y222" s="821"/>
      <c r="Z222" s="835">
        <v>950</v>
      </c>
      <c r="AA222" s="813"/>
      <c r="AB222" s="821"/>
      <c r="AC222" s="835">
        <v>950</v>
      </c>
      <c r="AD222" s="813"/>
      <c r="AE222" s="821"/>
      <c r="AF222" s="835">
        <v>950</v>
      </c>
      <c r="AG222" s="813"/>
      <c r="AH222" s="821"/>
      <c r="AI222" s="835">
        <v>950</v>
      </c>
      <c r="AJ222" s="813"/>
      <c r="AK222" s="821"/>
      <c r="AL222" s="835">
        <v>950</v>
      </c>
      <c r="AM222" s="813"/>
      <c r="AN222" s="821"/>
      <c r="AO222" s="835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4725</v>
      </c>
      <c r="F223" s="813"/>
      <c r="G223" s="821"/>
      <c r="H223" s="835">
        <v>393.75</v>
      </c>
      <c r="I223" s="813"/>
      <c r="J223" s="821"/>
      <c r="K223" s="835">
        <v>393.75</v>
      </c>
      <c r="L223" s="813"/>
      <c r="M223" s="821"/>
      <c r="N223" s="835">
        <v>393.75</v>
      </c>
      <c r="O223" s="813"/>
      <c r="P223" s="821"/>
      <c r="Q223" s="835">
        <v>393.75</v>
      </c>
      <c r="R223" s="813"/>
      <c r="S223" s="821"/>
      <c r="T223" s="835">
        <v>393.75</v>
      </c>
      <c r="U223" s="813"/>
      <c r="V223" s="821"/>
      <c r="W223" s="835">
        <v>393.75</v>
      </c>
      <c r="X223" s="813"/>
      <c r="Y223" s="821"/>
      <c r="Z223" s="835">
        <v>393.75</v>
      </c>
      <c r="AA223" s="813"/>
      <c r="AB223" s="821"/>
      <c r="AC223" s="835">
        <v>393.75</v>
      </c>
      <c r="AD223" s="813"/>
      <c r="AE223" s="821"/>
      <c r="AF223" s="835">
        <v>393.75</v>
      </c>
      <c r="AG223" s="813"/>
      <c r="AH223" s="821"/>
      <c r="AI223" s="835">
        <v>393.75</v>
      </c>
      <c r="AJ223" s="813"/>
      <c r="AK223" s="821"/>
      <c r="AL223" s="835">
        <v>393.75</v>
      </c>
      <c r="AM223" s="813"/>
      <c r="AN223" s="821"/>
      <c r="AO223" s="835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1334.4000000000003</v>
      </c>
      <c r="F224" s="813"/>
      <c r="G224" s="821"/>
      <c r="H224" s="835">
        <v>111.2</v>
      </c>
      <c r="I224" s="813"/>
      <c r="J224" s="821"/>
      <c r="K224" s="835">
        <v>111.2</v>
      </c>
      <c r="L224" s="813"/>
      <c r="M224" s="821"/>
      <c r="N224" s="835">
        <v>111.2</v>
      </c>
      <c r="O224" s="813"/>
      <c r="P224" s="821"/>
      <c r="Q224" s="835">
        <v>111.2</v>
      </c>
      <c r="R224" s="813"/>
      <c r="S224" s="821"/>
      <c r="T224" s="835">
        <v>111.2</v>
      </c>
      <c r="U224" s="813"/>
      <c r="V224" s="821"/>
      <c r="W224" s="835">
        <v>111.2</v>
      </c>
      <c r="X224" s="813"/>
      <c r="Y224" s="821"/>
      <c r="Z224" s="835">
        <v>111.2</v>
      </c>
      <c r="AA224" s="813"/>
      <c r="AB224" s="821"/>
      <c r="AC224" s="835">
        <v>111.2</v>
      </c>
      <c r="AD224" s="813"/>
      <c r="AE224" s="821"/>
      <c r="AF224" s="835">
        <v>111.2</v>
      </c>
      <c r="AG224" s="813"/>
      <c r="AH224" s="821"/>
      <c r="AI224" s="835">
        <v>111.2</v>
      </c>
      <c r="AJ224" s="813"/>
      <c r="AK224" s="821"/>
      <c r="AL224" s="835">
        <v>111.2</v>
      </c>
      <c r="AM224" s="813"/>
      <c r="AN224" s="821"/>
      <c r="AO224" s="835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1350</v>
      </c>
      <c r="F225" s="813"/>
      <c r="G225" s="821"/>
      <c r="H225" s="835">
        <v>112.5</v>
      </c>
      <c r="I225" s="813"/>
      <c r="J225" s="821"/>
      <c r="K225" s="835">
        <v>112.5</v>
      </c>
      <c r="L225" s="813"/>
      <c r="M225" s="821"/>
      <c r="N225" s="835">
        <v>112.5</v>
      </c>
      <c r="O225" s="813"/>
      <c r="P225" s="821"/>
      <c r="Q225" s="835">
        <v>112.5</v>
      </c>
      <c r="R225" s="813"/>
      <c r="S225" s="821"/>
      <c r="T225" s="835">
        <v>112.5</v>
      </c>
      <c r="U225" s="813"/>
      <c r="V225" s="821"/>
      <c r="W225" s="835">
        <v>112.5</v>
      </c>
      <c r="X225" s="813"/>
      <c r="Y225" s="821"/>
      <c r="Z225" s="835">
        <v>112.5</v>
      </c>
      <c r="AA225" s="813"/>
      <c r="AB225" s="821"/>
      <c r="AC225" s="835">
        <v>112.5</v>
      </c>
      <c r="AD225" s="813"/>
      <c r="AE225" s="821"/>
      <c r="AF225" s="835">
        <v>112.5</v>
      </c>
      <c r="AG225" s="813"/>
      <c r="AH225" s="821"/>
      <c r="AI225" s="835">
        <v>112.5</v>
      </c>
      <c r="AJ225" s="813"/>
      <c r="AK225" s="821"/>
      <c r="AL225" s="835">
        <v>112.5</v>
      </c>
      <c r="AM225" s="813"/>
      <c r="AN225" s="821"/>
      <c r="AO225" s="835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5016.6000000000013</v>
      </c>
      <c r="F226" s="813"/>
      <c r="G226" s="821"/>
      <c r="H226" s="835">
        <v>418.05</v>
      </c>
      <c r="I226" s="813"/>
      <c r="J226" s="821"/>
      <c r="K226" s="835">
        <v>418.05</v>
      </c>
      <c r="L226" s="813"/>
      <c r="M226" s="821"/>
      <c r="N226" s="835">
        <v>418.05</v>
      </c>
      <c r="O226" s="813"/>
      <c r="P226" s="821"/>
      <c r="Q226" s="835">
        <v>418.05</v>
      </c>
      <c r="R226" s="813"/>
      <c r="S226" s="821"/>
      <c r="T226" s="835">
        <v>418.05</v>
      </c>
      <c r="U226" s="813"/>
      <c r="V226" s="821"/>
      <c r="W226" s="835">
        <v>418.05</v>
      </c>
      <c r="X226" s="813"/>
      <c r="Y226" s="821"/>
      <c r="Z226" s="835">
        <v>418.05</v>
      </c>
      <c r="AA226" s="813"/>
      <c r="AB226" s="821"/>
      <c r="AC226" s="835">
        <v>418.05</v>
      </c>
      <c r="AD226" s="813"/>
      <c r="AE226" s="821"/>
      <c r="AF226" s="835">
        <v>418.05</v>
      </c>
      <c r="AG226" s="813"/>
      <c r="AH226" s="821"/>
      <c r="AI226" s="835">
        <v>418.05</v>
      </c>
      <c r="AJ226" s="813"/>
      <c r="AK226" s="821"/>
      <c r="AL226" s="835">
        <v>418.05</v>
      </c>
      <c r="AM226" s="813"/>
      <c r="AN226" s="821"/>
      <c r="AO226" s="835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20742.98288</v>
      </c>
      <c r="F227" s="813"/>
      <c r="G227" s="821"/>
      <c r="H227" s="835">
        <v>1728.5819066666668</v>
      </c>
      <c r="I227" s="813"/>
      <c r="J227" s="821"/>
      <c r="K227" s="835">
        <v>1728.5819066666668</v>
      </c>
      <c r="L227" s="813"/>
      <c r="M227" s="821"/>
      <c r="N227" s="835">
        <v>1728.5819066666668</v>
      </c>
      <c r="O227" s="813"/>
      <c r="P227" s="821"/>
      <c r="Q227" s="835">
        <v>1728.5819066666668</v>
      </c>
      <c r="R227" s="813"/>
      <c r="S227" s="821"/>
      <c r="T227" s="835">
        <v>1728.5819066666668</v>
      </c>
      <c r="U227" s="813"/>
      <c r="V227" s="821"/>
      <c r="W227" s="835">
        <v>1728.5819066666668</v>
      </c>
      <c r="X227" s="813"/>
      <c r="Y227" s="821"/>
      <c r="Z227" s="835">
        <v>1728.5819066666668</v>
      </c>
      <c r="AA227" s="813"/>
      <c r="AB227" s="821"/>
      <c r="AC227" s="835">
        <v>1728.5819066666668</v>
      </c>
      <c r="AD227" s="813"/>
      <c r="AE227" s="821"/>
      <c r="AF227" s="835">
        <v>1728.5819066666668</v>
      </c>
      <c r="AG227" s="813"/>
      <c r="AH227" s="821"/>
      <c r="AI227" s="835">
        <v>1728.5819066666668</v>
      </c>
      <c r="AJ227" s="813"/>
      <c r="AK227" s="821"/>
      <c r="AL227" s="835">
        <v>1728.5819066666668</v>
      </c>
      <c r="AM227" s="813"/>
      <c r="AN227" s="821"/>
      <c r="AO227" s="835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15351.371302422416</v>
      </c>
      <c r="F228" s="813"/>
      <c r="G228" s="821"/>
      <c r="H228" s="835">
        <v>648.82179709088302</v>
      </c>
      <c r="I228" s="813"/>
      <c r="J228" s="821"/>
      <c r="K228" s="835">
        <v>807.65036431984925</v>
      </c>
      <c r="L228" s="813"/>
      <c r="M228" s="821"/>
      <c r="N228" s="835">
        <v>1536.9989844597915</v>
      </c>
      <c r="O228" s="813"/>
      <c r="P228" s="821"/>
      <c r="Q228" s="835">
        <v>1762.1320673852995</v>
      </c>
      <c r="R228" s="813"/>
      <c r="S228" s="821"/>
      <c r="T228" s="835">
        <v>1794.3185788843939</v>
      </c>
      <c r="U228" s="813"/>
      <c r="V228" s="821"/>
      <c r="W228" s="835">
        <v>1391.0405093684756</v>
      </c>
      <c r="X228" s="813"/>
      <c r="Y228" s="821"/>
      <c r="Z228" s="835">
        <v>1230.7723446480975</v>
      </c>
      <c r="AA228" s="813"/>
      <c r="AB228" s="821"/>
      <c r="AC228" s="835">
        <v>1391.7231946530299</v>
      </c>
      <c r="AD228" s="813"/>
      <c r="AE228" s="821"/>
      <c r="AF228" s="835">
        <v>1507.4919766278301</v>
      </c>
      <c r="AG228" s="813"/>
      <c r="AH228" s="821"/>
      <c r="AI228" s="835">
        <v>1180.4057128605114</v>
      </c>
      <c r="AJ228" s="813"/>
      <c r="AK228" s="821"/>
      <c r="AL228" s="835">
        <v>1214.2564602369255</v>
      </c>
      <c r="AM228" s="813"/>
      <c r="AN228" s="821"/>
      <c r="AO228" s="835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0.31792319168759237</v>
      </c>
      <c r="E232" s="842">
        <v>373898.25418242248</v>
      </c>
      <c r="F232" s="840" t="s">
        <v>162</v>
      </c>
      <c r="G232" s="841">
        <v>0.55698521832644943</v>
      </c>
      <c r="H232" s="842">
        <v>29660.253907973653</v>
      </c>
      <c r="I232" s="840" t="s">
        <v>162</v>
      </c>
      <c r="J232" s="841">
        <v>0.5347483234349456</v>
      </c>
      <c r="K232" s="842">
        <v>31388.864222161545</v>
      </c>
      <c r="L232" s="840" t="s">
        <v>162</v>
      </c>
      <c r="M232" s="841">
        <v>0.35503135696349875</v>
      </c>
      <c r="N232" s="842">
        <v>32271.346409538732</v>
      </c>
      <c r="O232" s="840" t="s">
        <v>162</v>
      </c>
      <c r="P232" s="841">
        <v>0.25406818983912766</v>
      </c>
      <c r="Q232" s="842">
        <v>32527.599606125375</v>
      </c>
      <c r="R232" s="840" t="s">
        <v>162</v>
      </c>
      <c r="S232" s="841">
        <v>0.22028898188978149</v>
      </c>
      <c r="T232" s="842">
        <v>30890.949422342346</v>
      </c>
      <c r="U232" s="840" t="s">
        <v>162</v>
      </c>
      <c r="V232" s="841">
        <v>0.29239619136663886</v>
      </c>
      <c r="W232" s="842">
        <v>30472.63111700083</v>
      </c>
      <c r="X232" s="840" t="s">
        <v>162</v>
      </c>
      <c r="Y232" s="841">
        <v>0.33068913854759879</v>
      </c>
      <c r="Z232" s="842">
        <v>30351.545972178948</v>
      </c>
      <c r="AA232" s="840" t="s">
        <v>162</v>
      </c>
      <c r="AB232" s="841">
        <v>0.31123503697984972</v>
      </c>
      <c r="AC232" s="842">
        <v>30453.949915079149</v>
      </c>
      <c r="AD232" s="840" t="s">
        <v>162</v>
      </c>
      <c r="AE232" s="841">
        <v>0.33916929901765858</v>
      </c>
      <c r="AF232" s="842">
        <v>30569.693655533127</v>
      </c>
      <c r="AG232" s="840" t="s">
        <v>162</v>
      </c>
      <c r="AH232" s="841">
        <v>0.2692207757113162</v>
      </c>
      <c r="AI232" s="842">
        <v>31937.718294595496</v>
      </c>
      <c r="AJ232" s="840" t="s">
        <v>162</v>
      </c>
      <c r="AK232" s="841">
        <v>0.23794969812475458</v>
      </c>
      <c r="AL232" s="842">
        <v>32011.634571362887</v>
      </c>
      <c r="AM232" s="840" t="s">
        <v>162</v>
      </c>
      <c r="AN232" s="841">
        <v>0.46242577598724777</v>
      </c>
      <c r="AO232" s="842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0.86493175883419049</v>
      </c>
      <c r="E234" s="851">
        <v>1017215.739746416</v>
      </c>
      <c r="F234" s="840" t="s">
        <v>108</v>
      </c>
      <c r="G234" s="878">
        <v>1.397799932272239</v>
      </c>
      <c r="H234" s="851">
        <v>74434.831553184544</v>
      </c>
      <c r="I234" s="840" t="s">
        <v>108</v>
      </c>
      <c r="J234" s="878">
        <v>1.2654902476302723</v>
      </c>
      <c r="K234" s="851">
        <v>74282.236739295913</v>
      </c>
      <c r="L234" s="840" t="s">
        <v>108</v>
      </c>
      <c r="M234" s="878">
        <v>0.94070000667090115</v>
      </c>
      <c r="N234" s="851">
        <v>85506.970545852819</v>
      </c>
      <c r="O234" s="840" t="s">
        <v>108</v>
      </c>
      <c r="P234" s="878">
        <v>0.69587184281587922</v>
      </c>
      <c r="Q234" s="851">
        <v>89090.415823498857</v>
      </c>
      <c r="R234" s="840" t="s">
        <v>108</v>
      </c>
      <c r="S234" s="878">
        <v>0.63417793511635889</v>
      </c>
      <c r="T234" s="851">
        <v>88930.269459626041</v>
      </c>
      <c r="U234" s="840" t="s">
        <v>108</v>
      </c>
      <c r="V234" s="878">
        <v>0.80463228843572987</v>
      </c>
      <c r="W234" s="851">
        <v>83856.300575356086</v>
      </c>
      <c r="X234" s="840" t="s">
        <v>108</v>
      </c>
      <c r="Y234" s="878">
        <v>0.96219429324887784</v>
      </c>
      <c r="Z234" s="851">
        <v>88312.801726652309</v>
      </c>
      <c r="AA234" s="840" t="s">
        <v>108</v>
      </c>
      <c r="AB234" s="878">
        <v>0.88689486701988973</v>
      </c>
      <c r="AC234" s="851">
        <v>86781.527305722891</v>
      </c>
      <c r="AD234" s="840" t="s">
        <v>108</v>
      </c>
      <c r="AE234" s="878">
        <v>0.94706355186151792</v>
      </c>
      <c r="AF234" s="851">
        <v>85359.856380221434</v>
      </c>
      <c r="AG234" s="840" t="s">
        <v>108</v>
      </c>
      <c r="AH234" s="878">
        <v>0.80078895125216476</v>
      </c>
      <c r="AI234" s="851">
        <v>94997.764830528962</v>
      </c>
      <c r="AJ234" s="840" t="s">
        <v>108</v>
      </c>
      <c r="AK234" s="878">
        <v>0.67919189429725457</v>
      </c>
      <c r="AL234" s="851">
        <v>91372.432473842899</v>
      </c>
      <c r="AM234" s="840" t="s">
        <v>108</v>
      </c>
      <c r="AN234" s="878">
        <v>1.0953922290993456</v>
      </c>
      <c r="AO234" s="851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158848.99525358388</v>
      </c>
      <c r="F236" s="879"/>
      <c r="G236" s="880"/>
      <c r="H236" s="860">
        <v>-21183.411350162649</v>
      </c>
      <c r="I236" s="879"/>
      <c r="J236" s="880"/>
      <c r="K236" s="860">
        <v>-15583.849392261742</v>
      </c>
      <c r="L236" s="879"/>
      <c r="M236" s="880"/>
      <c r="N236" s="860">
        <v>5390.2017083055398</v>
      </c>
      <c r="O236" s="879"/>
      <c r="P236" s="880"/>
      <c r="Q236" s="860">
        <v>38936.629304509435</v>
      </c>
      <c r="R236" s="879"/>
      <c r="S236" s="880"/>
      <c r="T236" s="860">
        <v>51298.938362480098</v>
      </c>
      <c r="U236" s="879"/>
      <c r="V236" s="880"/>
      <c r="W236" s="860">
        <v>20360.621589648639</v>
      </c>
      <c r="X236" s="879"/>
      <c r="Y236" s="880"/>
      <c r="Z236" s="860">
        <v>3469.9102955334529</v>
      </c>
      <c r="AA236" s="879"/>
      <c r="AB236" s="880"/>
      <c r="AC236" s="860">
        <v>11067.19246116771</v>
      </c>
      <c r="AD236" s="879"/>
      <c r="AE236" s="880"/>
      <c r="AF236" s="860">
        <v>4771.218997392687</v>
      </c>
      <c r="AG236" s="879"/>
      <c r="AH236" s="880"/>
      <c r="AI236" s="860">
        <v>23632.449387567322</v>
      </c>
      <c r="AJ236" s="879"/>
      <c r="AK236" s="880"/>
      <c r="AL236" s="860">
        <v>43158.667265478958</v>
      </c>
      <c r="AM236" s="879"/>
      <c r="AN236" s="880"/>
      <c r="AO236" s="860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2824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2024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0</v>
      </c>
      <c r="D244" s="883">
        <v>50000</v>
      </c>
      <c r="E244" s="835">
        <v>9000</v>
      </c>
      <c r="F244" s="882">
        <v>0</v>
      </c>
      <c r="G244" s="883">
        <v>1589.053920870417</v>
      </c>
      <c r="H244" s="835">
        <v>286.02970575667507</v>
      </c>
      <c r="I244" s="882">
        <v>0</v>
      </c>
      <c r="J244" s="883">
        <v>1695.1805234875633</v>
      </c>
      <c r="K244" s="835">
        <v>305.13249422776141</v>
      </c>
      <c r="L244" s="882">
        <v>0</v>
      </c>
      <c r="M244" s="883">
        <v>2019.347511064113</v>
      </c>
      <c r="N244" s="835">
        <v>363.48255199154033</v>
      </c>
      <c r="O244" s="882">
        <v>0</v>
      </c>
      <c r="P244" s="883">
        <v>1565.8512052804426</v>
      </c>
      <c r="Q244" s="835">
        <v>281.85321695047969</v>
      </c>
      <c r="R244" s="882">
        <v>0</v>
      </c>
      <c r="S244" s="883">
        <v>4678.3263940875004</v>
      </c>
      <c r="T244" s="835">
        <v>842.09875093574999</v>
      </c>
      <c r="U244" s="882">
        <v>0</v>
      </c>
      <c r="V244" s="883">
        <v>3431.1793248406088</v>
      </c>
      <c r="W244" s="835">
        <v>617.61227847130954</v>
      </c>
      <c r="X244" s="882">
        <v>0</v>
      </c>
      <c r="Y244" s="883">
        <v>2318.8162338570964</v>
      </c>
      <c r="Z244" s="835">
        <v>417.38692209427734</v>
      </c>
      <c r="AA244" s="882">
        <v>0</v>
      </c>
      <c r="AB244" s="883">
        <v>1796.5080460213487</v>
      </c>
      <c r="AC244" s="835">
        <v>323.37144828384277</v>
      </c>
      <c r="AD244" s="882">
        <v>0</v>
      </c>
      <c r="AE244" s="883">
        <v>1787.0152440361242</v>
      </c>
      <c r="AF244" s="835">
        <v>321.66274392650234</v>
      </c>
      <c r="AG244" s="882">
        <v>0</v>
      </c>
      <c r="AH244" s="883">
        <v>2531.0485439636054</v>
      </c>
      <c r="AI244" s="835">
        <v>455.58873791344899</v>
      </c>
      <c r="AJ244" s="882">
        <v>0</v>
      </c>
      <c r="AK244" s="883">
        <v>3879.1160101521928</v>
      </c>
      <c r="AL244" s="835">
        <v>698.24088182739467</v>
      </c>
      <c r="AM244" s="882">
        <v>0</v>
      </c>
      <c r="AN244" s="883">
        <v>22708.557042338987</v>
      </c>
      <c r="AO244" s="835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0.18</v>
      </c>
      <c r="F245" s="884"/>
      <c r="G245" s="821"/>
      <c r="H245" s="885">
        <v>0.18000000000000002</v>
      </c>
      <c r="I245" s="884"/>
      <c r="J245" s="821"/>
      <c r="K245" s="885">
        <v>0.18000000000000002</v>
      </c>
      <c r="L245" s="884"/>
      <c r="M245" s="821"/>
      <c r="N245" s="885">
        <v>0.18</v>
      </c>
      <c r="O245" s="884"/>
      <c r="P245" s="821"/>
      <c r="Q245" s="885">
        <v>0.18000000000000002</v>
      </c>
      <c r="R245" s="884"/>
      <c r="S245" s="821"/>
      <c r="T245" s="885">
        <v>0.18</v>
      </c>
      <c r="U245" s="884"/>
      <c r="V245" s="821"/>
      <c r="W245" s="885">
        <v>0.18</v>
      </c>
      <c r="X245" s="884"/>
      <c r="Y245" s="821"/>
      <c r="Z245" s="885">
        <v>0.18</v>
      </c>
      <c r="AA245" s="884"/>
      <c r="AB245" s="821"/>
      <c r="AC245" s="885">
        <v>0.18</v>
      </c>
      <c r="AD245" s="884"/>
      <c r="AE245" s="821"/>
      <c r="AF245" s="885">
        <v>0.18</v>
      </c>
      <c r="AG245" s="884"/>
      <c r="AH245" s="821"/>
      <c r="AI245" s="885">
        <v>0.18</v>
      </c>
      <c r="AJ245" s="884"/>
      <c r="AK245" s="821"/>
      <c r="AL245" s="885">
        <v>0.18</v>
      </c>
      <c r="AM245" s="884"/>
      <c r="AN245" s="821"/>
      <c r="AO245" s="885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/>
      <c r="G247" s="890"/>
      <c r="H247" s="845"/>
      <c r="I247" s="889"/>
      <c r="J247" s="890"/>
      <c r="K247" s="845"/>
      <c r="L247" s="889"/>
      <c r="M247" s="890"/>
      <c r="N247" s="845"/>
      <c r="O247" s="889"/>
      <c r="P247" s="890"/>
      <c r="Q247" s="845"/>
      <c r="R247" s="889"/>
      <c r="S247" s="890"/>
      <c r="T247" s="845"/>
      <c r="U247" s="889"/>
      <c r="V247" s="890"/>
      <c r="W247" s="845"/>
      <c r="X247" s="889"/>
      <c r="Y247" s="890"/>
      <c r="Z247" s="845"/>
      <c r="AA247" s="889"/>
      <c r="AB247" s="890"/>
      <c r="AC247" s="845"/>
      <c r="AD247" s="889"/>
      <c r="AE247" s="890"/>
      <c r="AF247" s="845"/>
      <c r="AG247" s="889"/>
      <c r="AH247" s="890"/>
      <c r="AI247" s="845"/>
      <c r="AJ247" s="889"/>
      <c r="AK247" s="890"/>
      <c r="AL247" s="845"/>
      <c r="AM247" s="889"/>
      <c r="AN247" s="890"/>
      <c r="AO247" s="845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/>
      <c r="G250" s="890"/>
      <c r="H250" s="845"/>
      <c r="I250" s="889"/>
      <c r="J250" s="890"/>
      <c r="K250" s="845"/>
      <c r="L250" s="889"/>
      <c r="M250" s="890"/>
      <c r="N250" s="845"/>
      <c r="O250" s="889"/>
      <c r="P250" s="890"/>
      <c r="Q250" s="845"/>
      <c r="R250" s="889"/>
      <c r="S250" s="890"/>
      <c r="T250" s="845"/>
      <c r="U250" s="889"/>
      <c r="V250" s="890"/>
      <c r="W250" s="845"/>
      <c r="X250" s="889"/>
      <c r="Y250" s="890"/>
      <c r="Z250" s="845"/>
      <c r="AA250" s="889"/>
      <c r="AB250" s="890"/>
      <c r="AC250" s="845"/>
      <c r="AD250" s="889"/>
      <c r="AE250" s="890"/>
      <c r="AF250" s="845"/>
      <c r="AG250" s="889"/>
      <c r="AH250" s="890"/>
      <c r="AI250" s="845"/>
      <c r="AJ250" s="889"/>
      <c r="AK250" s="890"/>
      <c r="AL250" s="845"/>
      <c r="AM250" s="889"/>
      <c r="AN250" s="890"/>
      <c r="AO250" s="845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50000</v>
      </c>
      <c r="E253" s="825">
        <v>9000</v>
      </c>
      <c r="F253" s="823"/>
      <c r="G253" s="910">
        <v>1589.053920870417</v>
      </c>
      <c r="H253" s="825">
        <v>286.02970575667507</v>
      </c>
      <c r="I253" s="823"/>
      <c r="J253" s="910">
        <v>1695.1805234875633</v>
      </c>
      <c r="K253" s="825">
        <v>305.13249422776141</v>
      </c>
      <c r="L253" s="823"/>
      <c r="M253" s="910">
        <v>2019.347511064113</v>
      </c>
      <c r="N253" s="825">
        <v>363.48255199154033</v>
      </c>
      <c r="O253" s="823"/>
      <c r="P253" s="910">
        <v>1565.8512052804426</v>
      </c>
      <c r="Q253" s="825">
        <v>281.85321695047969</v>
      </c>
      <c r="R253" s="823"/>
      <c r="S253" s="910">
        <v>4678.3263940875004</v>
      </c>
      <c r="T253" s="825">
        <v>842.09875093574999</v>
      </c>
      <c r="U253" s="823"/>
      <c r="V253" s="910">
        <v>3431.1793248406088</v>
      </c>
      <c r="W253" s="825">
        <v>617.61227847130954</v>
      </c>
      <c r="X253" s="823"/>
      <c r="Y253" s="910">
        <v>2318.8162338570964</v>
      </c>
      <c r="Z253" s="825">
        <v>417.38692209427734</v>
      </c>
      <c r="AA253" s="823"/>
      <c r="AB253" s="910">
        <v>1796.5080460213487</v>
      </c>
      <c r="AC253" s="825">
        <v>323.37144828384277</v>
      </c>
      <c r="AD253" s="823"/>
      <c r="AE253" s="910">
        <v>1787.0152440361242</v>
      </c>
      <c r="AF253" s="825">
        <v>321.66274392650234</v>
      </c>
      <c r="AG253" s="823"/>
      <c r="AH253" s="910">
        <v>2531.0485439636054</v>
      </c>
      <c r="AI253" s="825">
        <v>455.58873791344899</v>
      </c>
      <c r="AJ253" s="823"/>
      <c r="AK253" s="910">
        <v>3879.1160101521928</v>
      </c>
      <c r="AL253" s="825">
        <v>698.24088182739467</v>
      </c>
      <c r="AM253" s="823"/>
      <c r="AN253" s="910">
        <v>22708.557042338987</v>
      </c>
      <c r="AO253" s="825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0.18</v>
      </c>
      <c r="F254" s="826"/>
      <c r="G254" s="827"/>
      <c r="H254" s="911">
        <v>0.18000000000000002</v>
      </c>
      <c r="I254" s="826"/>
      <c r="J254" s="827"/>
      <c r="K254" s="911">
        <v>0.18000000000000002</v>
      </c>
      <c r="L254" s="826"/>
      <c r="M254" s="827"/>
      <c r="N254" s="911">
        <v>0.18</v>
      </c>
      <c r="O254" s="826"/>
      <c r="P254" s="827"/>
      <c r="Q254" s="911">
        <v>0.18000000000000002</v>
      </c>
      <c r="R254" s="826"/>
      <c r="S254" s="827"/>
      <c r="T254" s="911">
        <v>0.18</v>
      </c>
      <c r="U254" s="826"/>
      <c r="V254" s="827"/>
      <c r="W254" s="911">
        <v>0.18</v>
      </c>
      <c r="X254" s="826"/>
      <c r="Y254" s="827"/>
      <c r="Z254" s="911">
        <v>0.18</v>
      </c>
      <c r="AA254" s="826"/>
      <c r="AB254" s="827"/>
      <c r="AC254" s="911">
        <v>0.18</v>
      </c>
      <c r="AD254" s="826"/>
      <c r="AE254" s="827"/>
      <c r="AF254" s="911">
        <v>0.18</v>
      </c>
      <c r="AG254" s="826"/>
      <c r="AH254" s="827"/>
      <c r="AI254" s="911">
        <v>0.18</v>
      </c>
      <c r="AJ254" s="826"/>
      <c r="AK254" s="827"/>
      <c r="AL254" s="911">
        <v>0.18</v>
      </c>
      <c r="AM254" s="826"/>
      <c r="AN254" s="827"/>
      <c r="AO254" s="911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3651.3000000000006</v>
      </c>
      <c r="F257" s="813"/>
      <c r="G257" s="821"/>
      <c r="H257" s="835">
        <v>304.27500000000003</v>
      </c>
      <c r="I257" s="813"/>
      <c r="J257" s="821"/>
      <c r="K257" s="835">
        <v>304.27500000000003</v>
      </c>
      <c r="L257" s="813"/>
      <c r="M257" s="821"/>
      <c r="N257" s="835">
        <v>304.27500000000003</v>
      </c>
      <c r="O257" s="813"/>
      <c r="P257" s="821"/>
      <c r="Q257" s="835">
        <v>304.27500000000003</v>
      </c>
      <c r="R257" s="813"/>
      <c r="S257" s="821"/>
      <c r="T257" s="835">
        <v>304.27500000000003</v>
      </c>
      <c r="U257" s="813"/>
      <c r="V257" s="821"/>
      <c r="W257" s="835">
        <v>304.27500000000003</v>
      </c>
      <c r="X257" s="813"/>
      <c r="Y257" s="821"/>
      <c r="Z257" s="835">
        <v>304.27500000000003</v>
      </c>
      <c r="AA257" s="813"/>
      <c r="AB257" s="821"/>
      <c r="AC257" s="835">
        <v>304.27500000000003</v>
      </c>
      <c r="AD257" s="813"/>
      <c r="AE257" s="821"/>
      <c r="AF257" s="835">
        <v>304.27500000000003</v>
      </c>
      <c r="AG257" s="813"/>
      <c r="AH257" s="821"/>
      <c r="AI257" s="835">
        <v>304.27500000000003</v>
      </c>
      <c r="AJ257" s="813"/>
      <c r="AK257" s="821"/>
      <c r="AL257" s="835">
        <v>304.27500000000003</v>
      </c>
      <c r="AM257" s="813"/>
      <c r="AN257" s="821"/>
      <c r="AO257" s="835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4140.3500000000004</v>
      </c>
      <c r="F258" s="813"/>
      <c r="G258" s="821"/>
      <c r="H258" s="835">
        <v>356.44713740458019</v>
      </c>
      <c r="I258" s="813"/>
      <c r="J258" s="821"/>
      <c r="K258" s="835">
        <v>336.87347328244277</v>
      </c>
      <c r="L258" s="813"/>
      <c r="M258" s="821"/>
      <c r="N258" s="835">
        <v>336.87347328244277</v>
      </c>
      <c r="O258" s="813"/>
      <c r="P258" s="821"/>
      <c r="Q258" s="835">
        <v>346.66030534351142</v>
      </c>
      <c r="R258" s="813"/>
      <c r="S258" s="821"/>
      <c r="T258" s="835">
        <v>356.44713740458019</v>
      </c>
      <c r="U258" s="813"/>
      <c r="V258" s="821"/>
      <c r="W258" s="835">
        <v>327.08664122137407</v>
      </c>
      <c r="X258" s="813"/>
      <c r="Y258" s="821"/>
      <c r="Z258" s="835">
        <v>356.44713740458019</v>
      </c>
      <c r="AA258" s="813"/>
      <c r="AB258" s="821"/>
      <c r="AC258" s="835">
        <v>346.66030534351142</v>
      </c>
      <c r="AD258" s="813"/>
      <c r="AE258" s="821"/>
      <c r="AF258" s="835">
        <v>336.87347328244277</v>
      </c>
      <c r="AG258" s="813"/>
      <c r="AH258" s="821"/>
      <c r="AI258" s="835">
        <v>356.44713740458019</v>
      </c>
      <c r="AJ258" s="813"/>
      <c r="AK258" s="821"/>
      <c r="AL258" s="835">
        <v>336.87347328244277</v>
      </c>
      <c r="AM258" s="813"/>
      <c r="AN258" s="821"/>
      <c r="AO258" s="835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1266.6038152510291</v>
      </c>
      <c r="F264" s="813"/>
      <c r="G264" s="821"/>
      <c r="H264" s="835">
        <v>114.77004005737426</v>
      </c>
      <c r="I264" s="813"/>
      <c r="J264" s="821"/>
      <c r="K264" s="835">
        <v>96.825156155424963</v>
      </c>
      <c r="L264" s="813"/>
      <c r="M264" s="821"/>
      <c r="N264" s="835">
        <v>96.825156155424963</v>
      </c>
      <c r="O264" s="813"/>
      <c r="P264" s="821"/>
      <c r="Q264" s="835">
        <v>107.97205855536799</v>
      </c>
      <c r="R264" s="813"/>
      <c r="S264" s="821"/>
      <c r="T264" s="835">
        <v>110.24667767603741</v>
      </c>
      <c r="U264" s="813"/>
      <c r="V264" s="821"/>
      <c r="W264" s="835">
        <v>103.42282031402918</v>
      </c>
      <c r="X264" s="813"/>
      <c r="Y264" s="821"/>
      <c r="Z264" s="835">
        <v>110.24667767603741</v>
      </c>
      <c r="AA264" s="813"/>
      <c r="AB264" s="821"/>
      <c r="AC264" s="835">
        <v>98.908842881715017</v>
      </c>
      <c r="AD264" s="813"/>
      <c r="AE264" s="821"/>
      <c r="AF264" s="835">
        <v>105.69743943469859</v>
      </c>
      <c r="AG264" s="813"/>
      <c r="AH264" s="821"/>
      <c r="AI264" s="835">
        <v>110.24667767603741</v>
      </c>
      <c r="AJ264" s="813"/>
      <c r="AK264" s="821"/>
      <c r="AL264" s="835">
        <v>96.825156155424963</v>
      </c>
      <c r="AM264" s="813"/>
      <c r="AN264" s="821"/>
      <c r="AO264" s="835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1677.5112868667293</v>
      </c>
      <c r="F265" s="843"/>
      <c r="G265" s="844"/>
      <c r="H265" s="845">
        <v>145.40553982188297</v>
      </c>
      <c r="I265" s="843"/>
      <c r="J265" s="844"/>
      <c r="K265" s="845">
        <v>139.4055001272265</v>
      </c>
      <c r="L265" s="843"/>
      <c r="M265" s="844"/>
      <c r="N265" s="845">
        <v>139.4055001272265</v>
      </c>
      <c r="O265" s="843"/>
      <c r="P265" s="844"/>
      <c r="Q265" s="845">
        <v>142.40551997455472</v>
      </c>
      <c r="R265" s="843"/>
      <c r="S265" s="844"/>
      <c r="T265" s="845">
        <v>144.33638144083972</v>
      </c>
      <c r="U265" s="843"/>
      <c r="V265" s="844"/>
      <c r="W265" s="845">
        <v>135.40249880725193</v>
      </c>
      <c r="X265" s="843"/>
      <c r="Y265" s="844"/>
      <c r="Z265" s="845">
        <v>143.26722305979646</v>
      </c>
      <c r="AA265" s="843"/>
      <c r="AB265" s="844"/>
      <c r="AC265" s="845">
        <v>140.31132115139951</v>
      </c>
      <c r="AD265" s="843"/>
      <c r="AE265" s="844"/>
      <c r="AF265" s="845">
        <v>136.33037880089063</v>
      </c>
      <c r="AG265" s="843"/>
      <c r="AH265" s="844"/>
      <c r="AI265" s="845">
        <v>140.8382021339043</v>
      </c>
      <c r="AJ265" s="843"/>
      <c r="AK265" s="844"/>
      <c r="AL265" s="845">
        <v>134.28029791666668</v>
      </c>
      <c r="AM265" s="843"/>
      <c r="AN265" s="844"/>
      <c r="AO265" s="845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776.3066500000001</v>
      </c>
      <c r="F266" s="813"/>
      <c r="G266" s="821"/>
      <c r="H266" s="835">
        <v>66.287819624681944</v>
      </c>
      <c r="I266" s="813"/>
      <c r="J266" s="821"/>
      <c r="K266" s="835">
        <v>63.552507410941487</v>
      </c>
      <c r="L266" s="813"/>
      <c r="M266" s="821"/>
      <c r="N266" s="835">
        <v>63.552507410941487</v>
      </c>
      <c r="O266" s="813"/>
      <c r="P266" s="821"/>
      <c r="Q266" s="835">
        <v>64.920163517811702</v>
      </c>
      <c r="R266" s="813"/>
      <c r="S266" s="821"/>
      <c r="T266" s="835">
        <v>66.287819624681944</v>
      </c>
      <c r="U266" s="813"/>
      <c r="V266" s="821"/>
      <c r="W266" s="835">
        <v>62.184851304071252</v>
      </c>
      <c r="X266" s="813"/>
      <c r="Y266" s="821"/>
      <c r="Z266" s="835">
        <v>66.287819624681944</v>
      </c>
      <c r="AA266" s="813"/>
      <c r="AB266" s="821"/>
      <c r="AC266" s="835">
        <v>64.920163517811702</v>
      </c>
      <c r="AD266" s="813"/>
      <c r="AE266" s="821"/>
      <c r="AF266" s="835">
        <v>63.552507410941487</v>
      </c>
      <c r="AG266" s="813"/>
      <c r="AH266" s="821"/>
      <c r="AI266" s="835">
        <v>66.287819624681944</v>
      </c>
      <c r="AJ266" s="813"/>
      <c r="AK266" s="821"/>
      <c r="AL266" s="835">
        <v>63.552507410941487</v>
      </c>
      <c r="AM266" s="813"/>
      <c r="AN266" s="821"/>
      <c r="AO266" s="835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175.29505000000006</v>
      </c>
      <c r="F267" s="813"/>
      <c r="G267" s="821"/>
      <c r="H267" s="835">
        <v>14.968217334605599</v>
      </c>
      <c r="I267" s="813"/>
      <c r="J267" s="821"/>
      <c r="K267" s="835">
        <v>14.350566189567433</v>
      </c>
      <c r="L267" s="813"/>
      <c r="M267" s="821"/>
      <c r="N267" s="835">
        <v>14.350566189567433</v>
      </c>
      <c r="O267" s="813"/>
      <c r="P267" s="821"/>
      <c r="Q267" s="835">
        <v>14.659391762086514</v>
      </c>
      <c r="R267" s="813"/>
      <c r="S267" s="821"/>
      <c r="T267" s="835">
        <v>14.968217334605599</v>
      </c>
      <c r="U267" s="813"/>
      <c r="V267" s="821"/>
      <c r="W267" s="835">
        <v>14.041740617048347</v>
      </c>
      <c r="X267" s="813"/>
      <c r="Y267" s="821"/>
      <c r="Z267" s="835">
        <v>14.968217334605599</v>
      </c>
      <c r="AA267" s="813"/>
      <c r="AB267" s="821"/>
      <c r="AC267" s="835">
        <v>14.659391762086514</v>
      </c>
      <c r="AD267" s="813"/>
      <c r="AE267" s="821"/>
      <c r="AF267" s="835">
        <v>14.350566189567433</v>
      </c>
      <c r="AG267" s="813"/>
      <c r="AH267" s="821"/>
      <c r="AI267" s="835">
        <v>14.968217334605599</v>
      </c>
      <c r="AJ267" s="813"/>
      <c r="AK267" s="821"/>
      <c r="AL267" s="835">
        <v>14.350566189567433</v>
      </c>
      <c r="AM267" s="813"/>
      <c r="AN267" s="821"/>
      <c r="AO267" s="835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11915.366802117762</v>
      </c>
      <c r="F269" s="840" t="s">
        <v>108</v>
      </c>
      <c r="G269" s="841">
        <v>0</v>
      </c>
      <c r="H269" s="842">
        <v>1021.1537542431249</v>
      </c>
      <c r="I269" s="840" t="s">
        <v>108</v>
      </c>
      <c r="J269" s="841">
        <v>0</v>
      </c>
      <c r="K269" s="842">
        <v>974.28220316560339</v>
      </c>
      <c r="L269" s="840" t="s">
        <v>108</v>
      </c>
      <c r="M269" s="841">
        <v>0</v>
      </c>
      <c r="N269" s="842">
        <v>974.28220316560339</v>
      </c>
      <c r="O269" s="840" t="s">
        <v>108</v>
      </c>
      <c r="P269" s="841">
        <v>0</v>
      </c>
      <c r="Q269" s="842">
        <v>999.89243915333248</v>
      </c>
      <c r="R269" s="840" t="s">
        <v>108</v>
      </c>
      <c r="S269" s="841">
        <v>0</v>
      </c>
      <c r="T269" s="842">
        <v>1015.5612334807449</v>
      </c>
      <c r="U269" s="840" t="s">
        <v>108</v>
      </c>
      <c r="V269" s="841">
        <v>0</v>
      </c>
      <c r="W269" s="842">
        <v>965.41355226377493</v>
      </c>
      <c r="X269" s="840" t="s">
        <v>108</v>
      </c>
      <c r="Y269" s="841">
        <v>0</v>
      </c>
      <c r="Z269" s="842">
        <v>1014.4920750997017</v>
      </c>
      <c r="AA269" s="840" t="s">
        <v>108</v>
      </c>
      <c r="AB269" s="841">
        <v>0</v>
      </c>
      <c r="AC269" s="842">
        <v>988.73502465652427</v>
      </c>
      <c r="AD269" s="840" t="s">
        <v>108</v>
      </c>
      <c r="AE269" s="841">
        <v>0</v>
      </c>
      <c r="AF269" s="842">
        <v>980.07936511854098</v>
      </c>
      <c r="AG269" s="840" t="s">
        <v>108</v>
      </c>
      <c r="AH269" s="841">
        <v>0</v>
      </c>
      <c r="AI269" s="842">
        <v>1012.0630541738094</v>
      </c>
      <c r="AJ269" s="840" t="s">
        <v>108</v>
      </c>
      <c r="AK269" s="841">
        <v>0</v>
      </c>
      <c r="AL269" s="842">
        <v>969.15700095504349</v>
      </c>
      <c r="AM269" s="840" t="s">
        <v>108</v>
      </c>
      <c r="AN269" s="841">
        <v>0</v>
      </c>
      <c r="AO269" s="842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0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0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0</v>
      </c>
      <c r="AG270" s="813"/>
      <c r="AH270" s="821"/>
      <c r="AI270" s="835">
        <v>0</v>
      </c>
      <c r="AJ270" s="813"/>
      <c r="AK270" s="821"/>
      <c r="AL270" s="835">
        <v>0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0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0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0</v>
      </c>
      <c r="AA271" s="813"/>
      <c r="AB271" s="821"/>
      <c r="AC271" s="835">
        <v>0</v>
      </c>
      <c r="AD271" s="813"/>
      <c r="AE271" s="821"/>
      <c r="AF271" s="835">
        <v>0</v>
      </c>
      <c r="AG271" s="813"/>
      <c r="AH271" s="821"/>
      <c r="AI271" s="835">
        <v>0</v>
      </c>
      <c r="AJ271" s="813"/>
      <c r="AK271" s="821"/>
      <c r="AL271" s="835">
        <v>0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1432.5</v>
      </c>
      <c r="F272" s="839"/>
      <c r="G272" s="846"/>
      <c r="H272" s="838">
        <v>119.375</v>
      </c>
      <c r="I272" s="839"/>
      <c r="J272" s="846"/>
      <c r="K272" s="838">
        <v>119.375</v>
      </c>
      <c r="L272" s="839"/>
      <c r="M272" s="846"/>
      <c r="N272" s="838">
        <v>119.375</v>
      </c>
      <c r="O272" s="839"/>
      <c r="P272" s="846"/>
      <c r="Q272" s="838">
        <v>119.375</v>
      </c>
      <c r="R272" s="839"/>
      <c r="S272" s="846"/>
      <c r="T272" s="838">
        <v>119.375</v>
      </c>
      <c r="U272" s="839"/>
      <c r="V272" s="846"/>
      <c r="W272" s="838">
        <v>119.375</v>
      </c>
      <c r="X272" s="839"/>
      <c r="Y272" s="846"/>
      <c r="Z272" s="838">
        <v>119.375</v>
      </c>
      <c r="AA272" s="839"/>
      <c r="AB272" s="846"/>
      <c r="AC272" s="838">
        <v>119.375</v>
      </c>
      <c r="AD272" s="839"/>
      <c r="AE272" s="846"/>
      <c r="AF272" s="838">
        <v>119.375</v>
      </c>
      <c r="AG272" s="839"/>
      <c r="AH272" s="846"/>
      <c r="AI272" s="838">
        <v>119.375</v>
      </c>
      <c r="AJ272" s="839"/>
      <c r="AK272" s="846"/>
      <c r="AL272" s="838">
        <v>119.375</v>
      </c>
      <c r="AM272" s="839"/>
      <c r="AN272" s="846"/>
      <c r="AO272" s="838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2870.6999999999994</v>
      </c>
      <c r="F273" s="813"/>
      <c r="G273" s="821"/>
      <c r="H273" s="835">
        <v>239.22500000000002</v>
      </c>
      <c r="I273" s="813"/>
      <c r="J273" s="821"/>
      <c r="K273" s="835">
        <v>239.22500000000002</v>
      </c>
      <c r="L273" s="813"/>
      <c r="M273" s="821"/>
      <c r="N273" s="835">
        <v>239.22500000000002</v>
      </c>
      <c r="O273" s="813"/>
      <c r="P273" s="821"/>
      <c r="Q273" s="835">
        <v>239.22500000000002</v>
      </c>
      <c r="R273" s="813"/>
      <c r="S273" s="821"/>
      <c r="T273" s="835">
        <v>239.22500000000002</v>
      </c>
      <c r="U273" s="813"/>
      <c r="V273" s="821"/>
      <c r="W273" s="835">
        <v>239.22500000000002</v>
      </c>
      <c r="X273" s="813"/>
      <c r="Y273" s="821"/>
      <c r="Z273" s="835">
        <v>239.22500000000002</v>
      </c>
      <c r="AA273" s="813"/>
      <c r="AB273" s="821"/>
      <c r="AC273" s="835">
        <v>239.22500000000002</v>
      </c>
      <c r="AD273" s="813"/>
      <c r="AE273" s="821"/>
      <c r="AF273" s="835">
        <v>239.22500000000002</v>
      </c>
      <c r="AG273" s="813"/>
      <c r="AH273" s="821"/>
      <c r="AI273" s="835">
        <v>239.22500000000002</v>
      </c>
      <c r="AJ273" s="813"/>
      <c r="AK273" s="821"/>
      <c r="AL273" s="835">
        <v>239.22500000000002</v>
      </c>
      <c r="AM273" s="813"/>
      <c r="AN273" s="821"/>
      <c r="AO273" s="835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548.4</v>
      </c>
      <c r="F274" s="813"/>
      <c r="G274" s="821"/>
      <c r="H274" s="835">
        <v>45.7</v>
      </c>
      <c r="I274" s="813"/>
      <c r="J274" s="821"/>
      <c r="K274" s="835">
        <v>45.7</v>
      </c>
      <c r="L274" s="813"/>
      <c r="M274" s="821"/>
      <c r="N274" s="835">
        <v>45.7</v>
      </c>
      <c r="O274" s="813"/>
      <c r="P274" s="821"/>
      <c r="Q274" s="835">
        <v>45.7</v>
      </c>
      <c r="R274" s="813"/>
      <c r="S274" s="821"/>
      <c r="T274" s="835">
        <v>45.7</v>
      </c>
      <c r="U274" s="813"/>
      <c r="V274" s="821"/>
      <c r="W274" s="835">
        <v>45.7</v>
      </c>
      <c r="X274" s="813"/>
      <c r="Y274" s="821"/>
      <c r="Z274" s="835">
        <v>45.7</v>
      </c>
      <c r="AA274" s="813"/>
      <c r="AB274" s="821"/>
      <c r="AC274" s="835">
        <v>45.7</v>
      </c>
      <c r="AD274" s="813"/>
      <c r="AE274" s="821"/>
      <c r="AF274" s="835">
        <v>45.7</v>
      </c>
      <c r="AG274" s="813"/>
      <c r="AH274" s="821"/>
      <c r="AI274" s="835">
        <v>45.7</v>
      </c>
      <c r="AJ274" s="813"/>
      <c r="AK274" s="821"/>
      <c r="AL274" s="835">
        <v>45.7</v>
      </c>
      <c r="AM274" s="813"/>
      <c r="AN274" s="821"/>
      <c r="AO274" s="835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1836.3000000000004</v>
      </c>
      <c r="F275" s="839"/>
      <c r="G275" s="846"/>
      <c r="H275" s="838">
        <v>153.02500000000001</v>
      </c>
      <c r="I275" s="839"/>
      <c r="J275" s="846"/>
      <c r="K275" s="838">
        <v>153.02500000000001</v>
      </c>
      <c r="L275" s="839"/>
      <c r="M275" s="846"/>
      <c r="N275" s="838">
        <v>153.02500000000001</v>
      </c>
      <c r="O275" s="839"/>
      <c r="P275" s="846"/>
      <c r="Q275" s="838">
        <v>153.02500000000001</v>
      </c>
      <c r="R275" s="839"/>
      <c r="S275" s="846"/>
      <c r="T275" s="838">
        <v>153.02500000000001</v>
      </c>
      <c r="U275" s="839"/>
      <c r="V275" s="846"/>
      <c r="W275" s="838">
        <v>153.02500000000001</v>
      </c>
      <c r="X275" s="839"/>
      <c r="Y275" s="846"/>
      <c r="Z275" s="838">
        <v>153.02500000000001</v>
      </c>
      <c r="AA275" s="839"/>
      <c r="AB275" s="846"/>
      <c r="AC275" s="838">
        <v>153.02500000000001</v>
      </c>
      <c r="AD275" s="839"/>
      <c r="AE275" s="846"/>
      <c r="AF275" s="838">
        <v>153.02500000000001</v>
      </c>
      <c r="AG275" s="839"/>
      <c r="AH275" s="846"/>
      <c r="AI275" s="838">
        <v>153.02500000000001</v>
      </c>
      <c r="AJ275" s="839"/>
      <c r="AK275" s="846"/>
      <c r="AL275" s="838">
        <v>153.02500000000001</v>
      </c>
      <c r="AM275" s="839"/>
      <c r="AN275" s="846"/>
      <c r="AO275" s="838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29.999999999999996</v>
      </c>
      <c r="F277" s="813"/>
      <c r="G277" s="821"/>
      <c r="H277" s="835">
        <v>2.5301204819277108</v>
      </c>
      <c r="I277" s="813"/>
      <c r="J277" s="821"/>
      <c r="K277" s="835">
        <v>2.4096385542168672</v>
      </c>
      <c r="L277" s="813"/>
      <c r="M277" s="821"/>
      <c r="N277" s="835">
        <v>2.6506024096385543</v>
      </c>
      <c r="O277" s="813"/>
      <c r="P277" s="821"/>
      <c r="Q277" s="835">
        <v>2.5301204819277108</v>
      </c>
      <c r="R277" s="813"/>
      <c r="S277" s="821"/>
      <c r="T277" s="835">
        <v>2.4096385542168672</v>
      </c>
      <c r="U277" s="813"/>
      <c r="V277" s="821"/>
      <c r="W277" s="835">
        <v>2.5301204819277108</v>
      </c>
      <c r="X277" s="813"/>
      <c r="Y277" s="821"/>
      <c r="Z277" s="835">
        <v>2.6506024096385543</v>
      </c>
      <c r="AA277" s="813"/>
      <c r="AB277" s="821"/>
      <c r="AC277" s="835">
        <v>2.5301204819277108</v>
      </c>
      <c r="AD277" s="813"/>
      <c r="AE277" s="821"/>
      <c r="AF277" s="835">
        <v>2.5301204819277108</v>
      </c>
      <c r="AG277" s="813"/>
      <c r="AH277" s="821"/>
      <c r="AI277" s="835">
        <v>2.5301204819277108</v>
      </c>
      <c r="AJ277" s="813"/>
      <c r="AK277" s="821"/>
      <c r="AL277" s="835">
        <v>2.5301204819277108</v>
      </c>
      <c r="AM277" s="813"/>
      <c r="AN277" s="821"/>
      <c r="AO277" s="835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0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0</v>
      </c>
      <c r="O278" s="813"/>
      <c r="P278" s="821"/>
      <c r="Q278" s="835">
        <v>0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525</v>
      </c>
      <c r="F279" s="813"/>
      <c r="G279" s="821"/>
      <c r="H279" s="835">
        <v>43.75</v>
      </c>
      <c r="I279" s="813"/>
      <c r="J279" s="821"/>
      <c r="K279" s="835">
        <v>43.75</v>
      </c>
      <c r="L279" s="813"/>
      <c r="M279" s="821"/>
      <c r="N279" s="835">
        <v>43.75</v>
      </c>
      <c r="O279" s="813"/>
      <c r="P279" s="821"/>
      <c r="Q279" s="835">
        <v>43.75</v>
      </c>
      <c r="R279" s="813"/>
      <c r="S279" s="821"/>
      <c r="T279" s="835">
        <v>43.75</v>
      </c>
      <c r="U279" s="813"/>
      <c r="V279" s="821"/>
      <c r="W279" s="835">
        <v>43.75</v>
      </c>
      <c r="X279" s="813"/>
      <c r="Y279" s="821"/>
      <c r="Z279" s="835">
        <v>43.75</v>
      </c>
      <c r="AA279" s="813"/>
      <c r="AB279" s="821"/>
      <c r="AC279" s="835">
        <v>43.75</v>
      </c>
      <c r="AD279" s="813"/>
      <c r="AE279" s="821"/>
      <c r="AF279" s="835">
        <v>43.75</v>
      </c>
      <c r="AG279" s="813"/>
      <c r="AH279" s="821"/>
      <c r="AI279" s="835">
        <v>43.75</v>
      </c>
      <c r="AJ279" s="813"/>
      <c r="AK279" s="821"/>
      <c r="AL279" s="835">
        <v>43.75</v>
      </c>
      <c r="AM279" s="813"/>
      <c r="AN279" s="821"/>
      <c r="AO279" s="835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105.59999999999998</v>
      </c>
      <c r="F280" s="813"/>
      <c r="G280" s="821"/>
      <c r="H280" s="835">
        <v>8.8000000000000007</v>
      </c>
      <c r="I280" s="813"/>
      <c r="J280" s="821"/>
      <c r="K280" s="835">
        <v>8.8000000000000007</v>
      </c>
      <c r="L280" s="813"/>
      <c r="M280" s="821"/>
      <c r="N280" s="835">
        <v>8.8000000000000007</v>
      </c>
      <c r="O280" s="813"/>
      <c r="P280" s="821"/>
      <c r="Q280" s="835">
        <v>8.8000000000000007</v>
      </c>
      <c r="R280" s="813"/>
      <c r="S280" s="821"/>
      <c r="T280" s="835">
        <v>8.8000000000000007</v>
      </c>
      <c r="U280" s="813"/>
      <c r="V280" s="821"/>
      <c r="W280" s="835">
        <v>8.8000000000000007</v>
      </c>
      <c r="X280" s="813"/>
      <c r="Y280" s="821"/>
      <c r="Z280" s="835">
        <v>8.8000000000000007</v>
      </c>
      <c r="AA280" s="813"/>
      <c r="AB280" s="821"/>
      <c r="AC280" s="835">
        <v>8.8000000000000007</v>
      </c>
      <c r="AD280" s="813"/>
      <c r="AE280" s="821"/>
      <c r="AF280" s="835">
        <v>8.8000000000000007</v>
      </c>
      <c r="AG280" s="813"/>
      <c r="AH280" s="821"/>
      <c r="AI280" s="835">
        <v>8.8000000000000007</v>
      </c>
      <c r="AJ280" s="813"/>
      <c r="AK280" s="821"/>
      <c r="AL280" s="835">
        <v>8.8000000000000007</v>
      </c>
      <c r="AM280" s="813"/>
      <c r="AN280" s="821"/>
      <c r="AO280" s="835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150</v>
      </c>
      <c r="F281" s="813"/>
      <c r="G281" s="821"/>
      <c r="H281" s="835">
        <v>12.5</v>
      </c>
      <c r="I281" s="813"/>
      <c r="J281" s="821"/>
      <c r="K281" s="835">
        <v>12.5</v>
      </c>
      <c r="L281" s="813"/>
      <c r="M281" s="821"/>
      <c r="N281" s="835">
        <v>12.5</v>
      </c>
      <c r="O281" s="813"/>
      <c r="P281" s="821"/>
      <c r="Q281" s="835">
        <v>12.5</v>
      </c>
      <c r="R281" s="813"/>
      <c r="S281" s="821"/>
      <c r="T281" s="835">
        <v>12.5</v>
      </c>
      <c r="U281" s="813"/>
      <c r="V281" s="821"/>
      <c r="W281" s="835">
        <v>12.5</v>
      </c>
      <c r="X281" s="813"/>
      <c r="Y281" s="821"/>
      <c r="Z281" s="835">
        <v>12.5</v>
      </c>
      <c r="AA281" s="813"/>
      <c r="AB281" s="821"/>
      <c r="AC281" s="835">
        <v>12.5</v>
      </c>
      <c r="AD281" s="813"/>
      <c r="AE281" s="821"/>
      <c r="AF281" s="835">
        <v>12.5</v>
      </c>
      <c r="AG281" s="813"/>
      <c r="AH281" s="821"/>
      <c r="AI281" s="835">
        <v>12.5</v>
      </c>
      <c r="AJ281" s="813"/>
      <c r="AK281" s="821"/>
      <c r="AL281" s="835">
        <v>12.5</v>
      </c>
      <c r="AM281" s="813"/>
      <c r="AN281" s="821"/>
      <c r="AO281" s="835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557.4</v>
      </c>
      <c r="F282" s="813"/>
      <c r="G282" s="821"/>
      <c r="H282" s="835">
        <v>46.45</v>
      </c>
      <c r="I282" s="813"/>
      <c r="J282" s="821"/>
      <c r="K282" s="835">
        <v>46.45</v>
      </c>
      <c r="L282" s="813"/>
      <c r="M282" s="821"/>
      <c r="N282" s="835">
        <v>46.45</v>
      </c>
      <c r="O282" s="813"/>
      <c r="P282" s="821"/>
      <c r="Q282" s="835">
        <v>46.45</v>
      </c>
      <c r="R282" s="813"/>
      <c r="S282" s="821"/>
      <c r="T282" s="835">
        <v>46.45</v>
      </c>
      <c r="U282" s="813"/>
      <c r="V282" s="821"/>
      <c r="W282" s="835">
        <v>46.45</v>
      </c>
      <c r="X282" s="813"/>
      <c r="Y282" s="821"/>
      <c r="Z282" s="835">
        <v>46.45</v>
      </c>
      <c r="AA282" s="813"/>
      <c r="AB282" s="821"/>
      <c r="AC282" s="835">
        <v>46.45</v>
      </c>
      <c r="AD282" s="813"/>
      <c r="AE282" s="821"/>
      <c r="AF282" s="835">
        <v>46.45</v>
      </c>
      <c r="AG282" s="813"/>
      <c r="AH282" s="821"/>
      <c r="AI282" s="835">
        <v>46.45</v>
      </c>
      <c r="AJ282" s="813"/>
      <c r="AK282" s="821"/>
      <c r="AL282" s="835">
        <v>46.45</v>
      </c>
      <c r="AM282" s="813"/>
      <c r="AN282" s="821"/>
      <c r="AO282" s="835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249.22031999999999</v>
      </c>
      <c r="F283" s="813"/>
      <c r="G283" s="821"/>
      <c r="H283" s="835">
        <v>20.768359999999994</v>
      </c>
      <c r="I283" s="813"/>
      <c r="J283" s="821"/>
      <c r="K283" s="835">
        <v>20.768359999999994</v>
      </c>
      <c r="L283" s="813"/>
      <c r="M283" s="821"/>
      <c r="N283" s="835">
        <v>20.768359999999994</v>
      </c>
      <c r="O283" s="813"/>
      <c r="P283" s="821"/>
      <c r="Q283" s="835">
        <v>20.768359999999994</v>
      </c>
      <c r="R283" s="813"/>
      <c r="S283" s="821"/>
      <c r="T283" s="835">
        <v>20.768359999999994</v>
      </c>
      <c r="U283" s="813"/>
      <c r="V283" s="821"/>
      <c r="W283" s="835">
        <v>20.768359999999994</v>
      </c>
      <c r="X283" s="813"/>
      <c r="Y283" s="821"/>
      <c r="Z283" s="835">
        <v>20.768359999999994</v>
      </c>
      <c r="AA283" s="813"/>
      <c r="AB283" s="821"/>
      <c r="AC283" s="835">
        <v>20.768359999999994</v>
      </c>
      <c r="AD283" s="813"/>
      <c r="AE283" s="821"/>
      <c r="AF283" s="835">
        <v>20.768359999999994</v>
      </c>
      <c r="AG283" s="813"/>
      <c r="AH283" s="821"/>
      <c r="AI283" s="835">
        <v>20.768359999999994</v>
      </c>
      <c r="AJ283" s="813"/>
      <c r="AK283" s="821"/>
      <c r="AL283" s="835">
        <v>20.768359999999994</v>
      </c>
      <c r="AM283" s="813"/>
      <c r="AN283" s="821"/>
      <c r="AO283" s="835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1705.7079224913796</v>
      </c>
      <c r="F284" s="813"/>
      <c r="G284" s="821"/>
      <c r="H284" s="835">
        <v>72.091310787875884</v>
      </c>
      <c r="I284" s="813"/>
      <c r="J284" s="821"/>
      <c r="K284" s="835">
        <v>89.738929368872149</v>
      </c>
      <c r="L284" s="813"/>
      <c r="M284" s="821"/>
      <c r="N284" s="835">
        <v>170.77766493997683</v>
      </c>
      <c r="O284" s="813"/>
      <c r="P284" s="821"/>
      <c r="Q284" s="835">
        <v>195.79245193169993</v>
      </c>
      <c r="R284" s="813"/>
      <c r="S284" s="821"/>
      <c r="T284" s="835">
        <v>199.36873098715489</v>
      </c>
      <c r="U284" s="813"/>
      <c r="V284" s="821"/>
      <c r="W284" s="835">
        <v>154.56005659649728</v>
      </c>
      <c r="X284" s="813"/>
      <c r="Y284" s="821"/>
      <c r="Z284" s="835">
        <v>136.75248273867749</v>
      </c>
      <c r="AA284" s="813"/>
      <c r="AB284" s="821"/>
      <c r="AC284" s="835">
        <v>154.63591051700334</v>
      </c>
      <c r="AD284" s="813"/>
      <c r="AE284" s="821"/>
      <c r="AF284" s="835">
        <v>167.49910851420336</v>
      </c>
      <c r="AG284" s="813"/>
      <c r="AH284" s="821"/>
      <c r="AI284" s="835">
        <v>131.15619031783461</v>
      </c>
      <c r="AJ284" s="813"/>
      <c r="AK284" s="821"/>
      <c r="AL284" s="835">
        <v>134.91738447076952</v>
      </c>
      <c r="AM284" s="813"/>
      <c r="AN284" s="821"/>
      <c r="AO284" s="835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10010.828242491378</v>
      </c>
      <c r="F288" s="852" t="s">
        <v>108</v>
      </c>
      <c r="G288" s="853">
        <v>0</v>
      </c>
      <c r="H288" s="854">
        <v>764.21479126980364</v>
      </c>
      <c r="I288" s="852" t="s">
        <v>108</v>
      </c>
      <c r="J288" s="853">
        <v>0</v>
      </c>
      <c r="K288" s="854">
        <v>781.74192792308907</v>
      </c>
      <c r="L288" s="852" t="s">
        <v>108</v>
      </c>
      <c r="M288" s="853">
        <v>0</v>
      </c>
      <c r="N288" s="854">
        <v>863.02162734961541</v>
      </c>
      <c r="O288" s="852" t="s">
        <v>108</v>
      </c>
      <c r="P288" s="853">
        <v>0</v>
      </c>
      <c r="Q288" s="854">
        <v>887.91593241362773</v>
      </c>
      <c r="R288" s="852" t="s">
        <v>108</v>
      </c>
      <c r="S288" s="853">
        <v>0</v>
      </c>
      <c r="T288" s="854">
        <v>891.37172954137179</v>
      </c>
      <c r="U288" s="852" t="s">
        <v>108</v>
      </c>
      <c r="V288" s="853">
        <v>0</v>
      </c>
      <c r="W288" s="854">
        <v>846.68353707842505</v>
      </c>
      <c r="X288" s="852" t="s">
        <v>108</v>
      </c>
      <c r="Y288" s="853">
        <v>0</v>
      </c>
      <c r="Z288" s="854">
        <v>828.99644514831607</v>
      </c>
      <c r="AA288" s="852" t="s">
        <v>108</v>
      </c>
      <c r="AB288" s="853">
        <v>0</v>
      </c>
      <c r="AC288" s="854">
        <v>846.75939099893117</v>
      </c>
      <c r="AD288" s="852" t="s">
        <v>108</v>
      </c>
      <c r="AE288" s="853">
        <v>0</v>
      </c>
      <c r="AF288" s="854">
        <v>859.62258899613119</v>
      </c>
      <c r="AG288" s="852" t="s">
        <v>108</v>
      </c>
      <c r="AH288" s="853">
        <v>0</v>
      </c>
      <c r="AI288" s="854">
        <v>823.27967079976247</v>
      </c>
      <c r="AJ288" s="852" t="s">
        <v>108</v>
      </c>
      <c r="AK288" s="853">
        <v>0</v>
      </c>
      <c r="AL288" s="854">
        <v>827.04086495269735</v>
      </c>
      <c r="AM288" s="852" t="s">
        <v>108</v>
      </c>
      <c r="AN288" s="853">
        <v>0</v>
      </c>
      <c r="AO288" s="854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21926.19504460914</v>
      </c>
      <c r="F290" s="840" t="s">
        <v>108</v>
      </c>
      <c r="G290" s="878">
        <v>0</v>
      </c>
      <c r="H290" s="851">
        <v>1785.3685455129284</v>
      </c>
      <c r="I290" s="840" t="s">
        <v>108</v>
      </c>
      <c r="J290" s="878">
        <v>0</v>
      </c>
      <c r="K290" s="851">
        <v>1756.0241310886925</v>
      </c>
      <c r="L290" s="840" t="s">
        <v>108</v>
      </c>
      <c r="M290" s="878">
        <v>0</v>
      </c>
      <c r="N290" s="851">
        <v>1837.3038305152188</v>
      </c>
      <c r="O290" s="840" t="s">
        <v>108</v>
      </c>
      <c r="P290" s="878">
        <v>0</v>
      </c>
      <c r="Q290" s="851">
        <v>1887.8083715669602</v>
      </c>
      <c r="R290" s="840" t="s">
        <v>108</v>
      </c>
      <c r="S290" s="878">
        <v>0</v>
      </c>
      <c r="T290" s="851">
        <v>1906.9329630221168</v>
      </c>
      <c r="U290" s="840" t="s">
        <v>108</v>
      </c>
      <c r="V290" s="878">
        <v>0</v>
      </c>
      <c r="W290" s="851">
        <v>1812.0970893422</v>
      </c>
      <c r="X290" s="840" t="s">
        <v>108</v>
      </c>
      <c r="Y290" s="878">
        <v>0</v>
      </c>
      <c r="Z290" s="851">
        <v>1843.4885202480177</v>
      </c>
      <c r="AA290" s="840" t="s">
        <v>108</v>
      </c>
      <c r="AB290" s="878">
        <v>0</v>
      </c>
      <c r="AC290" s="851">
        <v>1835.4944156554554</v>
      </c>
      <c r="AD290" s="840" t="s">
        <v>108</v>
      </c>
      <c r="AE290" s="878">
        <v>0</v>
      </c>
      <c r="AF290" s="851">
        <v>1839.7019541146722</v>
      </c>
      <c r="AG290" s="840" t="s">
        <v>108</v>
      </c>
      <c r="AH290" s="878">
        <v>0</v>
      </c>
      <c r="AI290" s="851">
        <v>1835.3427249735719</v>
      </c>
      <c r="AJ290" s="840" t="s">
        <v>108</v>
      </c>
      <c r="AK290" s="878">
        <v>0</v>
      </c>
      <c r="AL290" s="851">
        <v>1796.1978659077408</v>
      </c>
      <c r="AM290" s="840" t="s">
        <v>108</v>
      </c>
      <c r="AN290" s="878">
        <v>0</v>
      </c>
      <c r="AO290" s="851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-12926.19504460914</v>
      </c>
      <c r="F292" s="879"/>
      <c r="G292" s="880"/>
      <c r="H292" s="860">
        <v>-1499.3388397562535</v>
      </c>
      <c r="I292" s="879"/>
      <c r="J292" s="880"/>
      <c r="K292" s="860">
        <v>-1450.8916368609312</v>
      </c>
      <c r="L292" s="879"/>
      <c r="M292" s="880"/>
      <c r="N292" s="860">
        <v>-1473.8212785236785</v>
      </c>
      <c r="O292" s="879"/>
      <c r="P292" s="880"/>
      <c r="Q292" s="860">
        <v>-1605.9551546164805</v>
      </c>
      <c r="R292" s="879"/>
      <c r="S292" s="880"/>
      <c r="T292" s="860">
        <v>-1064.8342120863667</v>
      </c>
      <c r="U292" s="879"/>
      <c r="V292" s="880"/>
      <c r="W292" s="860">
        <v>-1194.4848108708904</v>
      </c>
      <c r="X292" s="879"/>
      <c r="Y292" s="880"/>
      <c r="Z292" s="860">
        <v>-1426.1015981537403</v>
      </c>
      <c r="AA292" s="879"/>
      <c r="AB292" s="880"/>
      <c r="AC292" s="860">
        <v>-1512.1229673716127</v>
      </c>
      <c r="AD292" s="879"/>
      <c r="AE292" s="880"/>
      <c r="AF292" s="860">
        <v>-1518.0392101881698</v>
      </c>
      <c r="AG292" s="879"/>
      <c r="AH292" s="880"/>
      <c r="AI292" s="860">
        <v>-1379.7539870601229</v>
      </c>
      <c r="AJ292" s="879"/>
      <c r="AK292" s="880"/>
      <c r="AL292" s="860">
        <v>-1097.956984080346</v>
      </c>
      <c r="AM292" s="879"/>
      <c r="AN292" s="880"/>
      <c r="AO292" s="860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2824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2024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700000</v>
      </c>
      <c r="D298" s="876">
        <v>0.41799999999999993</v>
      </c>
      <c r="E298" s="835">
        <v>292599.99999999994</v>
      </c>
      <c r="F298" s="882">
        <v>35259.018086226351</v>
      </c>
      <c r="G298" s="876">
        <v>0.41799999999999998</v>
      </c>
      <c r="H298" s="835">
        <v>14738.269560042614</v>
      </c>
      <c r="I298" s="882">
        <v>33580.84893187548</v>
      </c>
      <c r="J298" s="876">
        <v>0.41799999999999998</v>
      </c>
      <c r="K298" s="835">
        <v>14036.79485352395</v>
      </c>
      <c r="L298" s="882">
        <v>54494.940404979148</v>
      </c>
      <c r="M298" s="876">
        <v>0.41799999999999998</v>
      </c>
      <c r="N298" s="835">
        <v>22778.885089281284</v>
      </c>
      <c r="O298" s="882">
        <v>50580.028154357387</v>
      </c>
      <c r="P298" s="876">
        <v>0.41799999999999998</v>
      </c>
      <c r="Q298" s="835">
        <v>21142.451768521387</v>
      </c>
      <c r="R298" s="882">
        <v>94141.149728135875</v>
      </c>
      <c r="S298" s="876">
        <v>0.41799999999999998</v>
      </c>
      <c r="T298" s="835">
        <v>39351.000586360795</v>
      </c>
      <c r="U298" s="882">
        <v>67995.962632215334</v>
      </c>
      <c r="V298" s="876">
        <v>0.41799999999999998</v>
      </c>
      <c r="W298" s="835">
        <v>28422.312380266008</v>
      </c>
      <c r="X298" s="882">
        <v>70021.293723753013</v>
      </c>
      <c r="Y298" s="876">
        <v>0.41799999999999998</v>
      </c>
      <c r="Z298" s="835">
        <v>29268.900776528757</v>
      </c>
      <c r="AA298" s="882">
        <v>59700.698236231758</v>
      </c>
      <c r="AB298" s="876">
        <v>0.41799999999999998</v>
      </c>
      <c r="AC298" s="835">
        <v>24954.891862744873</v>
      </c>
      <c r="AD298" s="882">
        <v>59678.867118553928</v>
      </c>
      <c r="AE298" s="876">
        <v>0.41799999999999998</v>
      </c>
      <c r="AF298" s="835">
        <v>24945.766455555542</v>
      </c>
      <c r="AG298" s="882">
        <v>63444.770161518172</v>
      </c>
      <c r="AH298" s="876">
        <v>0.41799999999999998</v>
      </c>
      <c r="AI298" s="835">
        <v>26519.913927514594</v>
      </c>
      <c r="AJ298" s="882">
        <v>75092.095801150601</v>
      </c>
      <c r="AK298" s="876">
        <v>0.41799999999999998</v>
      </c>
      <c r="AL298" s="835">
        <v>31388.496044880951</v>
      </c>
      <c r="AM298" s="882">
        <v>36010.327021002944</v>
      </c>
      <c r="AN298" s="876">
        <v>0.41799999999999998</v>
      </c>
      <c r="AO298" s="835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10000</v>
      </c>
      <c r="D299" s="876">
        <v>0.34</v>
      </c>
      <c r="E299" s="835">
        <v>3400</v>
      </c>
      <c r="F299" s="882">
        <v>833</v>
      </c>
      <c r="G299" s="876">
        <v>0.34</v>
      </c>
      <c r="H299" s="835">
        <v>283.22000000000003</v>
      </c>
      <c r="I299" s="882">
        <v>834</v>
      </c>
      <c r="J299" s="876">
        <v>0.34</v>
      </c>
      <c r="K299" s="835">
        <v>283.56</v>
      </c>
      <c r="L299" s="882">
        <v>833</v>
      </c>
      <c r="M299" s="876">
        <v>0.34</v>
      </c>
      <c r="N299" s="835">
        <v>283.22000000000003</v>
      </c>
      <c r="O299" s="882">
        <v>833</v>
      </c>
      <c r="P299" s="876">
        <v>0.34</v>
      </c>
      <c r="Q299" s="835">
        <v>283.22000000000003</v>
      </c>
      <c r="R299" s="882">
        <v>834</v>
      </c>
      <c r="S299" s="876">
        <v>0.34</v>
      </c>
      <c r="T299" s="835">
        <v>283.56</v>
      </c>
      <c r="U299" s="882">
        <v>833</v>
      </c>
      <c r="V299" s="876">
        <v>0.34</v>
      </c>
      <c r="W299" s="835">
        <v>283.22000000000003</v>
      </c>
      <c r="X299" s="882">
        <v>833</v>
      </c>
      <c r="Y299" s="876">
        <v>0.34</v>
      </c>
      <c r="Z299" s="835">
        <v>283.22000000000003</v>
      </c>
      <c r="AA299" s="882">
        <v>834</v>
      </c>
      <c r="AB299" s="876">
        <v>0.34</v>
      </c>
      <c r="AC299" s="835">
        <v>283.56</v>
      </c>
      <c r="AD299" s="882">
        <v>833</v>
      </c>
      <c r="AE299" s="876">
        <v>0.34</v>
      </c>
      <c r="AF299" s="835">
        <v>283.22000000000003</v>
      </c>
      <c r="AG299" s="882">
        <v>833</v>
      </c>
      <c r="AH299" s="876">
        <v>0.34</v>
      </c>
      <c r="AI299" s="835">
        <v>283.22000000000003</v>
      </c>
      <c r="AJ299" s="882">
        <v>834</v>
      </c>
      <c r="AK299" s="876">
        <v>0.34</v>
      </c>
      <c r="AL299" s="835">
        <v>283.56</v>
      </c>
      <c r="AM299" s="882">
        <v>833</v>
      </c>
      <c r="AN299" s="876">
        <v>0.34</v>
      </c>
      <c r="AO299" s="835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700000</v>
      </c>
      <c r="D300" s="876">
        <v>0.28799999999999998</v>
      </c>
      <c r="E300" s="835">
        <v>201600</v>
      </c>
      <c r="F300" s="882">
        <v>48022.858843443086</v>
      </c>
      <c r="G300" s="876">
        <v>0.28799999999999998</v>
      </c>
      <c r="H300" s="835">
        <v>13830.583346911608</v>
      </c>
      <c r="I300" s="882">
        <v>40152.606364255764</v>
      </c>
      <c r="J300" s="876">
        <v>0.28799999999999998</v>
      </c>
      <c r="K300" s="835">
        <v>11563.950632905658</v>
      </c>
      <c r="L300" s="882">
        <v>85394.496447612997</v>
      </c>
      <c r="M300" s="876">
        <v>0.28799999999999998</v>
      </c>
      <c r="N300" s="835">
        <v>24593.61497691254</v>
      </c>
      <c r="O300" s="882">
        <v>55629.304537240867</v>
      </c>
      <c r="P300" s="876">
        <v>0.28799999999999998</v>
      </c>
      <c r="Q300" s="835">
        <v>16021.239706725368</v>
      </c>
      <c r="R300" s="882">
        <v>61884.44844450643</v>
      </c>
      <c r="S300" s="876">
        <v>0.28799999999999998</v>
      </c>
      <c r="T300" s="835">
        <v>17822.72115201785</v>
      </c>
      <c r="U300" s="882">
        <v>58458.697915000506</v>
      </c>
      <c r="V300" s="876">
        <v>0.28799999999999992</v>
      </c>
      <c r="W300" s="835">
        <v>16836.104999520143</v>
      </c>
      <c r="X300" s="882">
        <v>56385.226975877304</v>
      </c>
      <c r="Y300" s="876">
        <v>0.28799999999999998</v>
      </c>
      <c r="Z300" s="835">
        <v>16238.945369052662</v>
      </c>
      <c r="AA300" s="882">
        <v>70281.976189741894</v>
      </c>
      <c r="AB300" s="876">
        <v>0.28799999999999998</v>
      </c>
      <c r="AC300" s="835">
        <v>20241.209142645665</v>
      </c>
      <c r="AD300" s="882">
        <v>74638.528485751071</v>
      </c>
      <c r="AE300" s="876">
        <v>0.28799999999999998</v>
      </c>
      <c r="AF300" s="835">
        <v>21495.896203896307</v>
      </c>
      <c r="AG300" s="882">
        <v>55563.233269459277</v>
      </c>
      <c r="AH300" s="876">
        <v>0.28799999999999998</v>
      </c>
      <c r="AI300" s="835">
        <v>16002.211181604271</v>
      </c>
      <c r="AJ300" s="882">
        <v>62273.649122875126</v>
      </c>
      <c r="AK300" s="876">
        <v>0.28799999999999998</v>
      </c>
      <c r="AL300" s="835">
        <v>17934.810947388036</v>
      </c>
      <c r="AM300" s="882">
        <v>31314.973404235658</v>
      </c>
      <c r="AN300" s="876">
        <v>0.28799999999999998</v>
      </c>
      <c r="AO300" s="835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233000</v>
      </c>
      <c r="D301" s="876">
        <v>0.38500000000000006</v>
      </c>
      <c r="E301" s="835">
        <v>89705.000000000015</v>
      </c>
      <c r="F301" s="882">
        <v>12017.634952233851</v>
      </c>
      <c r="G301" s="876">
        <v>0.38500000000000001</v>
      </c>
      <c r="H301" s="835">
        <v>4626.7894566100331</v>
      </c>
      <c r="I301" s="882">
        <v>10040.398707107566</v>
      </c>
      <c r="J301" s="876">
        <v>0.38500000000000001</v>
      </c>
      <c r="K301" s="835">
        <v>3865.5535022364129</v>
      </c>
      <c r="L301" s="882">
        <v>20464.957399099309</v>
      </c>
      <c r="M301" s="876">
        <v>0.38500000000000001</v>
      </c>
      <c r="N301" s="835">
        <v>7879.008598653234</v>
      </c>
      <c r="O301" s="882">
        <v>16483.772258268735</v>
      </c>
      <c r="P301" s="876">
        <v>0.38500000000000001</v>
      </c>
      <c r="Q301" s="835">
        <v>6346.2523194334626</v>
      </c>
      <c r="R301" s="882">
        <v>23765.604833408877</v>
      </c>
      <c r="S301" s="876">
        <v>0.38499999999999995</v>
      </c>
      <c r="T301" s="835">
        <v>9149.7578608624171</v>
      </c>
      <c r="U301" s="882">
        <v>18163.174940769928</v>
      </c>
      <c r="V301" s="876">
        <v>0.38500000000000001</v>
      </c>
      <c r="W301" s="835">
        <v>6992.8223521964228</v>
      </c>
      <c r="X301" s="882">
        <v>20928.92669743139</v>
      </c>
      <c r="Y301" s="876">
        <v>0.38500000000000001</v>
      </c>
      <c r="Z301" s="835">
        <v>8057.6367785110851</v>
      </c>
      <c r="AA301" s="882">
        <v>16428.944487446824</v>
      </c>
      <c r="AB301" s="876">
        <v>0.38500000000000001</v>
      </c>
      <c r="AC301" s="835">
        <v>6325.1436276670274</v>
      </c>
      <c r="AD301" s="882">
        <v>25469.524119855883</v>
      </c>
      <c r="AE301" s="876">
        <v>0.38500000000000001</v>
      </c>
      <c r="AF301" s="835">
        <v>9805.7667861445152</v>
      </c>
      <c r="AG301" s="882">
        <v>21900.664041643777</v>
      </c>
      <c r="AH301" s="876">
        <v>0.38500000000000001</v>
      </c>
      <c r="AI301" s="835">
        <v>8431.7556560328539</v>
      </c>
      <c r="AJ301" s="882">
        <v>28274.405624682811</v>
      </c>
      <c r="AK301" s="876">
        <v>0.38500000000000001</v>
      </c>
      <c r="AL301" s="835">
        <v>10885.646165502883</v>
      </c>
      <c r="AM301" s="882">
        <v>19061.991938051044</v>
      </c>
      <c r="AN301" s="876">
        <v>0.38500000000000001</v>
      </c>
      <c r="AO301" s="835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307000</v>
      </c>
      <c r="D302" s="876">
        <v>0.31</v>
      </c>
      <c r="E302" s="835">
        <v>95170</v>
      </c>
      <c r="F302" s="882">
        <v>15386.613550750359</v>
      </c>
      <c r="G302" s="876">
        <v>0.31</v>
      </c>
      <c r="H302" s="835">
        <v>4769.8502007326115</v>
      </c>
      <c r="I302" s="882">
        <v>25566.437146753058</v>
      </c>
      <c r="J302" s="876">
        <v>0.31</v>
      </c>
      <c r="K302" s="835">
        <v>7925.5955154934481</v>
      </c>
      <c r="L302" s="882">
        <v>24868.578580186488</v>
      </c>
      <c r="M302" s="876">
        <v>0.31</v>
      </c>
      <c r="N302" s="835">
        <v>7709.2593598578114</v>
      </c>
      <c r="O302" s="882">
        <v>31243.64710805309</v>
      </c>
      <c r="P302" s="876">
        <v>0.31</v>
      </c>
      <c r="Q302" s="835">
        <v>9685.5306034964578</v>
      </c>
      <c r="R302" s="882">
        <v>29796.150076849444</v>
      </c>
      <c r="S302" s="876">
        <v>0.31</v>
      </c>
      <c r="T302" s="835">
        <v>9236.8065238233285</v>
      </c>
      <c r="U302" s="882">
        <v>27875.190772795097</v>
      </c>
      <c r="V302" s="876">
        <v>0.31</v>
      </c>
      <c r="W302" s="835">
        <v>8641.3091395664796</v>
      </c>
      <c r="X302" s="882">
        <v>23856.371840743734</v>
      </c>
      <c r="Y302" s="876">
        <v>0.31</v>
      </c>
      <c r="Z302" s="835">
        <v>7395.4752706305571</v>
      </c>
      <c r="AA302" s="882">
        <v>27823.141100513811</v>
      </c>
      <c r="AB302" s="876">
        <v>0.31000000000000005</v>
      </c>
      <c r="AC302" s="835">
        <v>8625.1737411592821</v>
      </c>
      <c r="AD302" s="882">
        <v>29264.906719361636</v>
      </c>
      <c r="AE302" s="876">
        <v>0.31</v>
      </c>
      <c r="AF302" s="835">
        <v>9072.1210830021064</v>
      </c>
      <c r="AG302" s="882">
        <v>24912.902871350689</v>
      </c>
      <c r="AH302" s="876">
        <v>0.31</v>
      </c>
      <c r="AI302" s="835">
        <v>7722.9998901187137</v>
      </c>
      <c r="AJ302" s="882">
        <v>26091.769135123679</v>
      </c>
      <c r="AK302" s="876">
        <v>0.31</v>
      </c>
      <c r="AL302" s="835">
        <v>8088.4484318883406</v>
      </c>
      <c r="AM302" s="882">
        <v>20314.291097518926</v>
      </c>
      <c r="AN302" s="876">
        <v>0.31</v>
      </c>
      <c r="AO302" s="835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784999.99999999988</v>
      </c>
      <c r="D303" s="876">
        <v>0.21299999999999999</v>
      </c>
      <c r="E303" s="835">
        <v>167204.99999999997</v>
      </c>
      <c r="F303" s="882">
        <v>60500.98878990885</v>
      </c>
      <c r="G303" s="876">
        <v>0.21299999999999999</v>
      </c>
      <c r="H303" s="835">
        <v>12886.710612250585</v>
      </c>
      <c r="I303" s="882">
        <v>61053.5006842109</v>
      </c>
      <c r="J303" s="876">
        <v>0.21299999999999997</v>
      </c>
      <c r="K303" s="835">
        <v>13004.39564573692</v>
      </c>
      <c r="L303" s="882">
        <v>70903.57528222783</v>
      </c>
      <c r="M303" s="876">
        <v>0.21299999999999999</v>
      </c>
      <c r="N303" s="835">
        <v>15102.461535114528</v>
      </c>
      <c r="O303" s="882">
        <v>49868.279633354228</v>
      </c>
      <c r="P303" s="876">
        <v>0.21299999999999999</v>
      </c>
      <c r="Q303" s="835">
        <v>10621.943561904451</v>
      </c>
      <c r="R303" s="882">
        <v>81115.349672371303</v>
      </c>
      <c r="S303" s="876">
        <v>0.21299999999999999</v>
      </c>
      <c r="T303" s="835">
        <v>17277.569480215087</v>
      </c>
      <c r="U303" s="882">
        <v>67480.522234823162</v>
      </c>
      <c r="V303" s="876">
        <v>0.21299999999999999</v>
      </c>
      <c r="W303" s="835">
        <v>14373.351236017334</v>
      </c>
      <c r="X303" s="882">
        <v>52781.679940156821</v>
      </c>
      <c r="Y303" s="876">
        <v>0.21299999999999999</v>
      </c>
      <c r="Z303" s="835">
        <v>11242.497827253403</v>
      </c>
      <c r="AA303" s="882">
        <v>63558.350938444746</v>
      </c>
      <c r="AB303" s="876">
        <v>0.21299999999999999</v>
      </c>
      <c r="AC303" s="835">
        <v>13537.92874988873</v>
      </c>
      <c r="AD303" s="882">
        <v>78436.856642368046</v>
      </c>
      <c r="AE303" s="876">
        <v>0.21300000000000002</v>
      </c>
      <c r="AF303" s="835">
        <v>16707.050464824395</v>
      </c>
      <c r="AG303" s="882">
        <v>65943.904886200486</v>
      </c>
      <c r="AH303" s="876">
        <v>0.21299999999999999</v>
      </c>
      <c r="AI303" s="835">
        <v>14046.051740760704</v>
      </c>
      <c r="AJ303" s="882">
        <v>66469.273336407292</v>
      </c>
      <c r="AK303" s="876">
        <v>0.21299999999999999</v>
      </c>
      <c r="AL303" s="835">
        <v>14157.955220654752</v>
      </c>
      <c r="AM303" s="882">
        <v>66887.717959526301</v>
      </c>
      <c r="AN303" s="876">
        <v>0.21299999999999999</v>
      </c>
      <c r="AO303" s="835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68000</v>
      </c>
      <c r="F305" s="882">
        <v>0</v>
      </c>
      <c r="G305" s="876">
        <v>0</v>
      </c>
      <c r="H305" s="835">
        <v>4276.9169166852835</v>
      </c>
      <c r="I305" s="882">
        <v>0</v>
      </c>
      <c r="J305" s="876">
        <v>0</v>
      </c>
      <c r="K305" s="835">
        <v>4257.2174935012017</v>
      </c>
      <c r="L305" s="882">
        <v>0</v>
      </c>
      <c r="M305" s="876">
        <v>0</v>
      </c>
      <c r="N305" s="835">
        <v>6388.756589308663</v>
      </c>
      <c r="O305" s="882">
        <v>0</v>
      </c>
      <c r="P305" s="876">
        <v>0</v>
      </c>
      <c r="Q305" s="835">
        <v>5087.8925612455769</v>
      </c>
      <c r="R305" s="882">
        <v>0</v>
      </c>
      <c r="S305" s="876">
        <v>0</v>
      </c>
      <c r="T305" s="835">
        <v>7248.4445291987176</v>
      </c>
      <c r="U305" s="882">
        <v>0</v>
      </c>
      <c r="V305" s="876">
        <v>0</v>
      </c>
      <c r="W305" s="835">
        <v>5987.1463611338477</v>
      </c>
      <c r="X305" s="882">
        <v>0</v>
      </c>
      <c r="Y305" s="876">
        <v>0</v>
      </c>
      <c r="Z305" s="835">
        <v>5589.3389192326995</v>
      </c>
      <c r="AA305" s="882">
        <v>0</v>
      </c>
      <c r="AB305" s="876">
        <v>0</v>
      </c>
      <c r="AC305" s="835">
        <v>5932.9592485417816</v>
      </c>
      <c r="AD305" s="882">
        <v>0</v>
      </c>
      <c r="AE305" s="876">
        <v>0</v>
      </c>
      <c r="AF305" s="835">
        <v>6671.2520840367679</v>
      </c>
      <c r="AG305" s="882">
        <v>0</v>
      </c>
      <c r="AH305" s="876">
        <v>0</v>
      </c>
      <c r="AI305" s="835">
        <v>5783.0699508781436</v>
      </c>
      <c r="AJ305" s="882">
        <v>0</v>
      </c>
      <c r="AK305" s="876">
        <v>0</v>
      </c>
      <c r="AL305" s="835">
        <v>6440.36311713941</v>
      </c>
      <c r="AM305" s="882">
        <v>0</v>
      </c>
      <c r="AN305" s="876">
        <v>0</v>
      </c>
      <c r="AO305" s="835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0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2735000</v>
      </c>
      <c r="D307" s="915">
        <v>0.33553199268738576</v>
      </c>
      <c r="E307" s="916">
        <v>917680</v>
      </c>
      <c r="F307" s="914">
        <v>172020.11422256252</v>
      </c>
      <c r="G307" s="915">
        <v>0.32212709742500995</v>
      </c>
      <c r="H307" s="916">
        <v>55412.340093232735</v>
      </c>
      <c r="I307" s="914">
        <v>171227.79183420277</v>
      </c>
      <c r="J307" s="915">
        <v>0.32084200266153234</v>
      </c>
      <c r="K307" s="916">
        <v>54937.06764339759</v>
      </c>
      <c r="L307" s="914">
        <v>256959.5481141058</v>
      </c>
      <c r="M307" s="915">
        <v>0.32976087781529112</v>
      </c>
      <c r="N307" s="916">
        <v>84735.206149128062</v>
      </c>
      <c r="O307" s="914">
        <v>204638.03169127429</v>
      </c>
      <c r="P307" s="915">
        <v>0.33810201334279594</v>
      </c>
      <c r="Q307" s="916">
        <v>69188.530521326713</v>
      </c>
      <c r="R307" s="914">
        <v>291536.70275527192</v>
      </c>
      <c r="S307" s="915">
        <v>0.34427864205054431</v>
      </c>
      <c r="T307" s="916">
        <v>100369.86013247819</v>
      </c>
      <c r="U307" s="914">
        <v>240806.54849560402</v>
      </c>
      <c r="V307" s="915">
        <v>0.33859654971213832</v>
      </c>
      <c r="W307" s="916">
        <v>81536.266468700225</v>
      </c>
      <c r="X307" s="914">
        <v>224806.49917796225</v>
      </c>
      <c r="Y307" s="915">
        <v>0.34730319286455463</v>
      </c>
      <c r="Z307" s="916">
        <v>78076.014941209171</v>
      </c>
      <c r="AA307" s="914">
        <v>238627.11095237904</v>
      </c>
      <c r="AB307" s="915">
        <v>0.33483566076694682</v>
      </c>
      <c r="AC307" s="916">
        <v>79900.866372647361</v>
      </c>
      <c r="AD307" s="914">
        <v>268321.6830858906</v>
      </c>
      <c r="AE307" s="915">
        <v>0.33162088152591274</v>
      </c>
      <c r="AF307" s="916">
        <v>88981.07307745963</v>
      </c>
      <c r="AG307" s="914">
        <v>232598.47523017239</v>
      </c>
      <c r="AH307" s="915">
        <v>0.33873490472773671</v>
      </c>
      <c r="AI307" s="916">
        <v>78789.222346909271</v>
      </c>
      <c r="AJ307" s="914">
        <v>259035.1930202395</v>
      </c>
      <c r="AK307" s="915">
        <v>0.34427476393327922</v>
      </c>
      <c r="AL307" s="916">
        <v>89179.279927454365</v>
      </c>
      <c r="AM307" s="914">
        <v>174422.30142033487</v>
      </c>
      <c r="AN307" s="915">
        <v>0.32435228675099315</v>
      </c>
      <c r="AO307" s="916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750500.00000000012</v>
      </c>
      <c r="D310" s="876">
        <v>0.25</v>
      </c>
      <c r="E310" s="835">
        <v>187625.00000000003</v>
      </c>
      <c r="F310" s="882">
        <v>23743.373557648756</v>
      </c>
      <c r="G310" s="876">
        <v>0.25</v>
      </c>
      <c r="H310" s="835">
        <v>5935.843389412189</v>
      </c>
      <c r="I310" s="882">
        <v>38911.1397380622</v>
      </c>
      <c r="J310" s="876">
        <v>0.25</v>
      </c>
      <c r="K310" s="835">
        <v>9727.78493451555</v>
      </c>
      <c r="L310" s="882">
        <v>49555.37477357751</v>
      </c>
      <c r="M310" s="876">
        <v>0.25</v>
      </c>
      <c r="N310" s="835">
        <v>12388.843693394378</v>
      </c>
      <c r="O310" s="882">
        <v>85168.853696404694</v>
      </c>
      <c r="P310" s="876">
        <v>0.25</v>
      </c>
      <c r="Q310" s="835">
        <v>21292.213424101174</v>
      </c>
      <c r="R310" s="882">
        <v>70806.631658636878</v>
      </c>
      <c r="S310" s="876">
        <v>0.25</v>
      </c>
      <c r="T310" s="835">
        <v>17701.657914659219</v>
      </c>
      <c r="U310" s="882">
        <v>50772.025113637625</v>
      </c>
      <c r="V310" s="876">
        <v>0.25</v>
      </c>
      <c r="W310" s="835">
        <v>12693.006278409406</v>
      </c>
      <c r="X310" s="882">
        <v>43693.525485393002</v>
      </c>
      <c r="Y310" s="876">
        <v>0.25</v>
      </c>
      <c r="Z310" s="835">
        <v>10923.38137134825</v>
      </c>
      <c r="AA310" s="882">
        <v>34567.699705862899</v>
      </c>
      <c r="AB310" s="876">
        <v>0.25</v>
      </c>
      <c r="AC310" s="835">
        <v>8641.9249264657246</v>
      </c>
      <c r="AD310" s="882">
        <v>52957.309383849191</v>
      </c>
      <c r="AE310" s="876">
        <v>0.25</v>
      </c>
      <c r="AF310" s="835">
        <v>13239.327345962298</v>
      </c>
      <c r="AG310" s="882">
        <v>104443.33861502256</v>
      </c>
      <c r="AH310" s="876">
        <v>0.25</v>
      </c>
      <c r="AI310" s="835">
        <v>26110.834653755639</v>
      </c>
      <c r="AJ310" s="882">
        <v>144526.35786994311</v>
      </c>
      <c r="AK310" s="876">
        <v>0.25</v>
      </c>
      <c r="AL310" s="835">
        <v>36131.589467485777</v>
      </c>
      <c r="AM310" s="882">
        <v>51354.370401961576</v>
      </c>
      <c r="AN310" s="876">
        <v>0.25</v>
      </c>
      <c r="AO310" s="835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130000</v>
      </c>
      <c r="D311" s="876">
        <v>0.35000000000000003</v>
      </c>
      <c r="E311" s="835">
        <v>45500.000000000007</v>
      </c>
      <c r="F311" s="882">
        <v>6340.7689021983724</v>
      </c>
      <c r="G311" s="876">
        <v>0.35</v>
      </c>
      <c r="H311" s="835">
        <v>2219.2691157694303</v>
      </c>
      <c r="I311" s="882">
        <v>7693.756810855105</v>
      </c>
      <c r="J311" s="876">
        <v>0.35</v>
      </c>
      <c r="K311" s="835">
        <v>2692.8148837992867</v>
      </c>
      <c r="L311" s="882">
        <v>9437.7097551854076</v>
      </c>
      <c r="M311" s="876">
        <v>0.35</v>
      </c>
      <c r="N311" s="835">
        <v>3303.1984143148925</v>
      </c>
      <c r="O311" s="882">
        <v>10817.891548688849</v>
      </c>
      <c r="P311" s="876">
        <v>0.35</v>
      </c>
      <c r="Q311" s="835">
        <v>3786.2620420410967</v>
      </c>
      <c r="R311" s="882">
        <v>13314.411044469352</v>
      </c>
      <c r="S311" s="876">
        <v>0.35</v>
      </c>
      <c r="T311" s="835">
        <v>4660.0438655642729</v>
      </c>
      <c r="U311" s="882">
        <v>13922.298182171084</v>
      </c>
      <c r="V311" s="876">
        <v>0.35000000000000003</v>
      </c>
      <c r="W311" s="835">
        <v>4872.8043637598794</v>
      </c>
      <c r="X311" s="882">
        <v>12107.908790934634</v>
      </c>
      <c r="Y311" s="876">
        <v>0.35</v>
      </c>
      <c r="Z311" s="835">
        <v>4237.7680768271221</v>
      </c>
      <c r="AA311" s="882">
        <v>12121.218658950484</v>
      </c>
      <c r="AB311" s="876">
        <v>0.35</v>
      </c>
      <c r="AC311" s="835">
        <v>4242.4265306326688</v>
      </c>
      <c r="AD311" s="882">
        <v>11603.196851854109</v>
      </c>
      <c r="AE311" s="876">
        <v>0.35</v>
      </c>
      <c r="AF311" s="835">
        <v>4061.1188981489377</v>
      </c>
      <c r="AG311" s="882">
        <v>12149.911420922452</v>
      </c>
      <c r="AH311" s="876">
        <v>0.35</v>
      </c>
      <c r="AI311" s="835">
        <v>4252.4689973228578</v>
      </c>
      <c r="AJ311" s="882">
        <v>12515.909295828927</v>
      </c>
      <c r="AK311" s="876">
        <v>0.35000000000000003</v>
      </c>
      <c r="AL311" s="835">
        <v>4380.5682535401247</v>
      </c>
      <c r="AM311" s="882">
        <v>7975.0187379412191</v>
      </c>
      <c r="AN311" s="876">
        <v>0.35</v>
      </c>
      <c r="AO311" s="835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3615500</v>
      </c>
      <c r="D312" s="915">
        <v>0.31829760752316416</v>
      </c>
      <c r="E312" s="916">
        <v>1150805</v>
      </c>
      <c r="F312" s="914">
        <v>202104.25668240967</v>
      </c>
      <c r="G312" s="915">
        <v>0.31452802450522066</v>
      </c>
      <c r="H312" s="916">
        <v>63567.452598414355</v>
      </c>
      <c r="I312" s="914">
        <v>217832.68838312005</v>
      </c>
      <c r="J312" s="915">
        <v>0.30921744556191227</v>
      </c>
      <c r="K312" s="916">
        <v>67357.667461712423</v>
      </c>
      <c r="L312" s="914">
        <v>315952.63264286873</v>
      </c>
      <c r="M312" s="915">
        <v>0.31785539312265654</v>
      </c>
      <c r="N312" s="916">
        <v>100427.24825683732</v>
      </c>
      <c r="O312" s="914">
        <v>300624.77693636785</v>
      </c>
      <c r="P312" s="915">
        <v>0.31357031495584986</v>
      </c>
      <c r="Q312" s="916">
        <v>94267.005987468976</v>
      </c>
      <c r="R312" s="914">
        <v>375657.74545837811</v>
      </c>
      <c r="S312" s="915">
        <v>0.32671111775678807</v>
      </c>
      <c r="T312" s="916">
        <v>122731.5619127017</v>
      </c>
      <c r="U312" s="914">
        <v>305500.8717914127</v>
      </c>
      <c r="V312" s="915">
        <v>0.32439212539640011</v>
      </c>
      <c r="W312" s="916">
        <v>99102.077110869504</v>
      </c>
      <c r="X312" s="914">
        <v>280607.93345428992</v>
      </c>
      <c r="Y312" s="915">
        <v>0.33226845457159027</v>
      </c>
      <c r="Z312" s="916">
        <v>93237.164389384547</v>
      </c>
      <c r="AA312" s="914">
        <v>285316.02931719238</v>
      </c>
      <c r="AB312" s="915">
        <v>0.32520156000977535</v>
      </c>
      <c r="AC312" s="916">
        <v>92785.217829745758</v>
      </c>
      <c r="AD312" s="914">
        <v>332882.18932159391</v>
      </c>
      <c r="AE312" s="915">
        <v>0.31927667724779785</v>
      </c>
      <c r="AF312" s="916">
        <v>106281.51932157087</v>
      </c>
      <c r="AG312" s="914">
        <v>349191.72526611737</v>
      </c>
      <c r="AH312" s="915">
        <v>0.31258623300653282</v>
      </c>
      <c r="AI312" s="916">
        <v>109152.52599798776</v>
      </c>
      <c r="AJ312" s="914">
        <v>416077.46018601157</v>
      </c>
      <c r="AK312" s="915">
        <v>0.3117002242575227</v>
      </c>
      <c r="AL312" s="916">
        <v>129691.43764848028</v>
      </c>
      <c r="AM312" s="914">
        <v>233751.69056023768</v>
      </c>
      <c r="AN312" s="915">
        <v>0.30889240335234913</v>
      </c>
      <c r="AO312" s="916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3615500</v>
      </c>
      <c r="D317" s="921">
        <v>0.31829760752316416</v>
      </c>
      <c r="E317" s="825">
        <v>1150805</v>
      </c>
      <c r="F317" s="823">
        <v>202104.25668240967</v>
      </c>
      <c r="G317" s="921">
        <v>0.31452802450522066</v>
      </c>
      <c r="H317" s="825">
        <v>63567.452598414355</v>
      </c>
      <c r="I317" s="823">
        <v>217832.68838312005</v>
      </c>
      <c r="J317" s="921">
        <v>0.30921744556191227</v>
      </c>
      <c r="K317" s="825">
        <v>67357.667461712423</v>
      </c>
      <c r="L317" s="823">
        <v>315952.63264286873</v>
      </c>
      <c r="M317" s="921">
        <v>0.31785539312265654</v>
      </c>
      <c r="N317" s="825">
        <v>100427.24825683732</v>
      </c>
      <c r="O317" s="823">
        <v>300624.77693636785</v>
      </c>
      <c r="P317" s="921">
        <v>0.31357031495584986</v>
      </c>
      <c r="Q317" s="825">
        <v>94267.005987468976</v>
      </c>
      <c r="R317" s="823">
        <v>375657.74545837811</v>
      </c>
      <c r="S317" s="921">
        <v>0.32671111775678807</v>
      </c>
      <c r="T317" s="825">
        <v>122731.5619127017</v>
      </c>
      <c r="U317" s="823">
        <v>305500.8717914127</v>
      </c>
      <c r="V317" s="921">
        <v>0.32439212539640011</v>
      </c>
      <c r="W317" s="825">
        <v>99102.077110869504</v>
      </c>
      <c r="X317" s="823">
        <v>280607.93345428992</v>
      </c>
      <c r="Y317" s="921">
        <v>0.33226845457159027</v>
      </c>
      <c r="Z317" s="825">
        <v>93237.164389384547</v>
      </c>
      <c r="AA317" s="823">
        <v>285316.02931719238</v>
      </c>
      <c r="AB317" s="921">
        <v>0.32520156000977535</v>
      </c>
      <c r="AC317" s="825">
        <v>92785.217829745758</v>
      </c>
      <c r="AD317" s="823">
        <v>332882.18932159391</v>
      </c>
      <c r="AE317" s="921">
        <v>0.31927667724779785</v>
      </c>
      <c r="AF317" s="825">
        <v>106281.51932157087</v>
      </c>
      <c r="AG317" s="823">
        <v>349191.72526611737</v>
      </c>
      <c r="AH317" s="921">
        <v>0.31258623300653282</v>
      </c>
      <c r="AI317" s="825">
        <v>109152.52599798776</v>
      </c>
      <c r="AJ317" s="823">
        <v>416077.46018601157</v>
      </c>
      <c r="AK317" s="921">
        <v>0.3117002242575227</v>
      </c>
      <c r="AL317" s="825">
        <v>129691.43764848028</v>
      </c>
      <c r="AM317" s="823">
        <v>233751.69056023768</v>
      </c>
      <c r="AN317" s="921">
        <v>0.30889240335234913</v>
      </c>
      <c r="AO317" s="825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50010.400000000009</v>
      </c>
      <c r="F321" s="813"/>
      <c r="G321" s="821"/>
      <c r="H321" s="835">
        <v>4223.1058524173031</v>
      </c>
      <c r="I321" s="813"/>
      <c r="J321" s="821"/>
      <c r="K321" s="835">
        <v>4127.8386768447835</v>
      </c>
      <c r="L321" s="813"/>
      <c r="M321" s="821"/>
      <c r="N321" s="835">
        <v>4127.8386768447835</v>
      </c>
      <c r="O321" s="813"/>
      <c r="P321" s="821"/>
      <c r="Q321" s="835">
        <v>4175.4722646310438</v>
      </c>
      <c r="R321" s="813"/>
      <c r="S321" s="821"/>
      <c r="T321" s="835">
        <v>4223.1058524173031</v>
      </c>
      <c r="U321" s="813"/>
      <c r="V321" s="821"/>
      <c r="W321" s="835">
        <v>4080.2050890585242</v>
      </c>
      <c r="X321" s="813"/>
      <c r="Y321" s="821"/>
      <c r="Z321" s="835">
        <v>4223.1058524173031</v>
      </c>
      <c r="AA321" s="813"/>
      <c r="AB321" s="821"/>
      <c r="AC321" s="835">
        <v>4175.4722646310438</v>
      </c>
      <c r="AD321" s="813"/>
      <c r="AE321" s="821"/>
      <c r="AF321" s="835">
        <v>4127.8386768447835</v>
      </c>
      <c r="AG321" s="813"/>
      <c r="AH321" s="821"/>
      <c r="AI321" s="835">
        <v>4223.1058524173031</v>
      </c>
      <c r="AJ321" s="813"/>
      <c r="AK321" s="821"/>
      <c r="AL321" s="835">
        <v>4127.8386768447835</v>
      </c>
      <c r="AM321" s="813"/>
      <c r="AN321" s="821"/>
      <c r="AO321" s="835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33122.800000000003</v>
      </c>
      <c r="F322" s="813"/>
      <c r="G322" s="821"/>
      <c r="H322" s="835">
        <v>2851.5770992366415</v>
      </c>
      <c r="I322" s="813"/>
      <c r="J322" s="821"/>
      <c r="K322" s="835">
        <v>2694.9877862595422</v>
      </c>
      <c r="L322" s="813"/>
      <c r="M322" s="821"/>
      <c r="N322" s="835">
        <v>2694.9877862595422</v>
      </c>
      <c r="O322" s="813"/>
      <c r="P322" s="821"/>
      <c r="Q322" s="835">
        <v>2773.2824427480914</v>
      </c>
      <c r="R322" s="813"/>
      <c r="S322" s="821"/>
      <c r="T322" s="835">
        <v>2851.5770992366415</v>
      </c>
      <c r="U322" s="813"/>
      <c r="V322" s="821"/>
      <c r="W322" s="835">
        <v>2616.6931297709925</v>
      </c>
      <c r="X322" s="813"/>
      <c r="Y322" s="821"/>
      <c r="Z322" s="835">
        <v>2851.5770992366415</v>
      </c>
      <c r="AA322" s="813"/>
      <c r="AB322" s="821"/>
      <c r="AC322" s="835">
        <v>2773.2824427480914</v>
      </c>
      <c r="AD322" s="813"/>
      <c r="AE322" s="821"/>
      <c r="AF322" s="835">
        <v>2694.9877862595422</v>
      </c>
      <c r="AG322" s="813"/>
      <c r="AH322" s="821"/>
      <c r="AI322" s="835">
        <v>2851.5770992366415</v>
      </c>
      <c r="AJ322" s="813"/>
      <c r="AK322" s="821"/>
      <c r="AL322" s="835">
        <v>2694.9877862595422</v>
      </c>
      <c r="AM322" s="813"/>
      <c r="AN322" s="821"/>
      <c r="AO322" s="835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168747</v>
      </c>
      <c r="F323" s="843"/>
      <c r="G323" s="844"/>
      <c r="H323" s="845">
        <v>15220.545801526718</v>
      </c>
      <c r="I323" s="843"/>
      <c r="J323" s="844"/>
      <c r="K323" s="845">
        <v>14306.324427480917</v>
      </c>
      <c r="L323" s="843"/>
      <c r="M323" s="844"/>
      <c r="N323" s="845">
        <v>13056.324427480917</v>
      </c>
      <c r="O323" s="843"/>
      <c r="P323" s="844"/>
      <c r="Q323" s="845">
        <v>13513.435114503816</v>
      </c>
      <c r="R323" s="843"/>
      <c r="S323" s="844"/>
      <c r="T323" s="845">
        <v>13970.545801526718</v>
      </c>
      <c r="U323" s="843"/>
      <c r="V323" s="844"/>
      <c r="W323" s="845">
        <v>12599.213740458015</v>
      </c>
      <c r="X323" s="843"/>
      <c r="Y323" s="844"/>
      <c r="Z323" s="845">
        <v>13970.545801526718</v>
      </c>
      <c r="AA323" s="843"/>
      <c r="AB323" s="844"/>
      <c r="AC323" s="845">
        <v>13513.435114503816</v>
      </c>
      <c r="AD323" s="843"/>
      <c r="AE323" s="844"/>
      <c r="AF323" s="845">
        <v>14306.324427480917</v>
      </c>
      <c r="AG323" s="843"/>
      <c r="AH323" s="844"/>
      <c r="AI323" s="845">
        <v>15220.545801526718</v>
      </c>
      <c r="AJ323" s="843"/>
      <c r="AK323" s="844"/>
      <c r="AL323" s="845">
        <v>14306.324427480917</v>
      </c>
      <c r="AM323" s="843"/>
      <c r="AN323" s="844"/>
      <c r="AO323" s="845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29133.635670856529</v>
      </c>
      <c r="F328" s="813"/>
      <c r="G328" s="821"/>
      <c r="H328" s="835">
        <v>2727.7429191573697</v>
      </c>
      <c r="I328" s="813"/>
      <c r="J328" s="821"/>
      <c r="K328" s="835">
        <v>2271.5973084039083</v>
      </c>
      <c r="L328" s="813"/>
      <c r="M328" s="821"/>
      <c r="N328" s="835">
        <v>2153.5225084039084</v>
      </c>
      <c r="O328" s="813"/>
      <c r="P328" s="821"/>
      <c r="Q328" s="835">
        <v>2421.0979485760427</v>
      </c>
      <c r="R328" s="813"/>
      <c r="S328" s="821"/>
      <c r="T328" s="835">
        <v>2491.3418015707575</v>
      </c>
      <c r="U328" s="813"/>
      <c r="V328" s="821"/>
      <c r="W328" s="835">
        <v>2280.610242586612</v>
      </c>
      <c r="X328" s="813"/>
      <c r="Y328" s="821"/>
      <c r="Z328" s="835">
        <v>2491.3418015707575</v>
      </c>
      <c r="AA328" s="813"/>
      <c r="AB328" s="821"/>
      <c r="AC328" s="835">
        <v>2217.8700656536184</v>
      </c>
      <c r="AD328" s="813"/>
      <c r="AE328" s="821"/>
      <c r="AF328" s="835">
        <v>2479.7483263505578</v>
      </c>
      <c r="AG328" s="813"/>
      <c r="AH328" s="821"/>
      <c r="AI328" s="835">
        <v>2620.2360323399885</v>
      </c>
      <c r="AJ328" s="813"/>
      <c r="AK328" s="821"/>
      <c r="AL328" s="835">
        <v>2271.5973084039083</v>
      </c>
      <c r="AM328" s="813"/>
      <c r="AN328" s="821"/>
      <c r="AO328" s="835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38562.384009554313</v>
      </c>
      <c r="F329" s="843"/>
      <c r="G329" s="844"/>
      <c r="H329" s="845">
        <v>3455.8577435114507</v>
      </c>
      <c r="I329" s="843"/>
      <c r="J329" s="844"/>
      <c r="K329" s="845">
        <v>3270.5669832061071</v>
      </c>
      <c r="L329" s="843"/>
      <c r="M329" s="844"/>
      <c r="N329" s="845">
        <v>3100.5669832061071</v>
      </c>
      <c r="O329" s="843"/>
      <c r="P329" s="844"/>
      <c r="Q329" s="845">
        <v>3193.2123633587789</v>
      </c>
      <c r="R329" s="843"/>
      <c r="S329" s="844"/>
      <c r="T329" s="845">
        <v>3261.6970248091607</v>
      </c>
      <c r="U329" s="843"/>
      <c r="V329" s="844"/>
      <c r="W329" s="845">
        <v>2985.8045324427485</v>
      </c>
      <c r="X329" s="843"/>
      <c r="Y329" s="844"/>
      <c r="Z329" s="845">
        <v>3237.5363061068706</v>
      </c>
      <c r="AA329" s="843"/>
      <c r="AB329" s="844"/>
      <c r="AC329" s="845">
        <v>3146.2533580152676</v>
      </c>
      <c r="AD329" s="843"/>
      <c r="AE329" s="844"/>
      <c r="AF329" s="845">
        <v>3198.422123282443</v>
      </c>
      <c r="AG329" s="843"/>
      <c r="AH329" s="844"/>
      <c r="AI329" s="845">
        <v>3347.3056942871376</v>
      </c>
      <c r="AJ329" s="843"/>
      <c r="AK329" s="844"/>
      <c r="AL329" s="845">
        <v>3150.32555</v>
      </c>
      <c r="AM329" s="843"/>
      <c r="AN329" s="844"/>
      <c r="AO329" s="845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17849.279200000001</v>
      </c>
      <c r="F330" s="813"/>
      <c r="G330" s="821"/>
      <c r="H330" s="835">
        <v>1575.4645595419847</v>
      </c>
      <c r="I330" s="813"/>
      <c r="J330" s="821"/>
      <c r="K330" s="835">
        <v>1490.9937717557252</v>
      </c>
      <c r="L330" s="813"/>
      <c r="M330" s="821"/>
      <c r="N330" s="835">
        <v>1413.4937717557252</v>
      </c>
      <c r="O330" s="813"/>
      <c r="P330" s="821"/>
      <c r="Q330" s="835">
        <v>1455.7291656488551</v>
      </c>
      <c r="R330" s="813"/>
      <c r="S330" s="821"/>
      <c r="T330" s="835">
        <v>1497.9645595419847</v>
      </c>
      <c r="U330" s="813"/>
      <c r="V330" s="821"/>
      <c r="W330" s="835">
        <v>1371.2583778625956</v>
      </c>
      <c r="X330" s="813"/>
      <c r="Y330" s="821"/>
      <c r="Z330" s="835">
        <v>1497.9645595419847</v>
      </c>
      <c r="AA330" s="813"/>
      <c r="AB330" s="821"/>
      <c r="AC330" s="835">
        <v>1455.7291656488551</v>
      </c>
      <c r="AD330" s="813"/>
      <c r="AE330" s="821"/>
      <c r="AF330" s="835">
        <v>1490.9937717557252</v>
      </c>
      <c r="AG330" s="813"/>
      <c r="AH330" s="821"/>
      <c r="AI330" s="835">
        <v>1575.4645595419847</v>
      </c>
      <c r="AJ330" s="813"/>
      <c r="AK330" s="821"/>
      <c r="AL330" s="835">
        <v>1490.9937717557252</v>
      </c>
      <c r="AM330" s="813"/>
      <c r="AN330" s="821"/>
      <c r="AO330" s="835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4030.4823999999994</v>
      </c>
      <c r="F331" s="813"/>
      <c r="G331" s="821"/>
      <c r="H331" s="835">
        <v>355.75006183206108</v>
      </c>
      <c r="I331" s="813"/>
      <c r="J331" s="821"/>
      <c r="K331" s="835">
        <v>336.67601297709922</v>
      </c>
      <c r="L331" s="813"/>
      <c r="M331" s="821"/>
      <c r="N331" s="835">
        <v>319.17601297709922</v>
      </c>
      <c r="O331" s="813"/>
      <c r="P331" s="821"/>
      <c r="Q331" s="835">
        <v>328.71303740458018</v>
      </c>
      <c r="R331" s="813"/>
      <c r="S331" s="821"/>
      <c r="T331" s="835">
        <v>338.25006183206108</v>
      </c>
      <c r="U331" s="813"/>
      <c r="V331" s="821"/>
      <c r="W331" s="835">
        <v>309.63898854961832</v>
      </c>
      <c r="X331" s="813"/>
      <c r="Y331" s="821"/>
      <c r="Z331" s="835">
        <v>338.25006183206108</v>
      </c>
      <c r="AA331" s="813"/>
      <c r="AB331" s="821"/>
      <c r="AC331" s="835">
        <v>328.71303740458018</v>
      </c>
      <c r="AD331" s="813"/>
      <c r="AE331" s="821"/>
      <c r="AF331" s="835">
        <v>336.67601297709922</v>
      </c>
      <c r="AG331" s="813"/>
      <c r="AH331" s="821"/>
      <c r="AI331" s="835">
        <v>355.75006183206108</v>
      </c>
      <c r="AJ331" s="813"/>
      <c r="AK331" s="821"/>
      <c r="AL331" s="835">
        <v>336.67601297709922</v>
      </c>
      <c r="AM331" s="813"/>
      <c r="AN331" s="821"/>
      <c r="AO331" s="835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>
        <v>0</v>
      </c>
      <c r="I332" s="839"/>
      <c r="J332" s="846"/>
      <c r="K332" s="847">
        <v>0</v>
      </c>
      <c r="L332" s="839"/>
      <c r="M332" s="846"/>
      <c r="N332" s="847">
        <v>0</v>
      </c>
      <c r="O332" s="839"/>
      <c r="P332" s="846"/>
      <c r="Q332" s="847">
        <v>0</v>
      </c>
      <c r="R332" s="839"/>
      <c r="S332" s="846"/>
      <c r="T332" s="847">
        <v>0</v>
      </c>
      <c r="U332" s="839"/>
      <c r="V332" s="846"/>
      <c r="W332" s="847">
        <v>0</v>
      </c>
      <c r="X332" s="839"/>
      <c r="Y332" s="846"/>
      <c r="Z332" s="847">
        <v>0</v>
      </c>
      <c r="AA332" s="839"/>
      <c r="AB332" s="846"/>
      <c r="AC332" s="847">
        <v>0</v>
      </c>
      <c r="AD332" s="839"/>
      <c r="AE332" s="846"/>
      <c r="AF332" s="847">
        <v>0</v>
      </c>
      <c r="AG332" s="839"/>
      <c r="AH332" s="846"/>
      <c r="AI332" s="847">
        <v>0</v>
      </c>
      <c r="AJ332" s="839"/>
      <c r="AK332" s="846"/>
      <c r="AL332" s="847">
        <v>0</v>
      </c>
      <c r="AM332" s="839"/>
      <c r="AN332" s="846"/>
      <c r="AO332" s="847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0.2967105472086155</v>
      </c>
      <c r="E333" s="842">
        <v>341455.98128041078</v>
      </c>
      <c r="F333" s="840" t="s">
        <v>108</v>
      </c>
      <c r="G333" s="841">
        <v>0.47839016342747209</v>
      </c>
      <c r="H333" s="842">
        <v>30410.044037223528</v>
      </c>
      <c r="I333" s="840" t="s">
        <v>108</v>
      </c>
      <c r="J333" s="841">
        <v>0.42309934474983907</v>
      </c>
      <c r="K333" s="842">
        <v>28498.984966928081</v>
      </c>
      <c r="L333" s="840" t="s">
        <v>108</v>
      </c>
      <c r="M333" s="841">
        <v>0.26751614360895315</v>
      </c>
      <c r="N333" s="842">
        <v>26865.910166928083</v>
      </c>
      <c r="O333" s="840" t="s">
        <v>108</v>
      </c>
      <c r="P333" s="841">
        <v>0.29555348708725088</v>
      </c>
      <c r="Q333" s="842">
        <v>27860.942336871212</v>
      </c>
      <c r="R333" s="840" t="s">
        <v>108</v>
      </c>
      <c r="S333" s="841">
        <v>0.23330984919186623</v>
      </c>
      <c r="T333" s="842">
        <v>28634.482200934628</v>
      </c>
      <c r="U333" s="840" t="s">
        <v>108</v>
      </c>
      <c r="V333" s="841">
        <v>0.26481204900851396</v>
      </c>
      <c r="W333" s="842">
        <v>26243.424100729106</v>
      </c>
      <c r="X333" s="840" t="s">
        <v>108</v>
      </c>
      <c r="Y333" s="841">
        <v>0.30685533681341504</v>
      </c>
      <c r="Z333" s="842">
        <v>28610.321482232339</v>
      </c>
      <c r="AA333" s="840" t="s">
        <v>108</v>
      </c>
      <c r="AB333" s="841">
        <v>0.29757709357614526</v>
      </c>
      <c r="AC333" s="842">
        <v>27610.755448605272</v>
      </c>
      <c r="AD333" s="840" t="s">
        <v>108</v>
      </c>
      <c r="AE333" s="841">
        <v>0.26942587298090415</v>
      </c>
      <c r="AF333" s="842">
        <v>28634.991124951066</v>
      </c>
      <c r="AG333" s="840" t="s">
        <v>108</v>
      </c>
      <c r="AH333" s="841">
        <v>0.27662195469244993</v>
      </c>
      <c r="AI333" s="842">
        <v>30193.985101181835</v>
      </c>
      <c r="AJ333" s="840" t="s">
        <v>108</v>
      </c>
      <c r="AK333" s="841">
        <v>0.21881740266185196</v>
      </c>
      <c r="AL333" s="842">
        <v>28378.743533721976</v>
      </c>
      <c r="AM333" s="840" t="s">
        <v>108</v>
      </c>
      <c r="AN333" s="841">
        <v>0.40874947542026291</v>
      </c>
      <c r="AO333" s="842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32533.199999999993</v>
      </c>
      <c r="F334" s="813"/>
      <c r="G334" s="821"/>
      <c r="H334" s="835">
        <v>2236.105075980433</v>
      </c>
      <c r="I334" s="813"/>
      <c r="J334" s="821"/>
      <c r="K334" s="835">
        <v>3112.9446141174158</v>
      </c>
      <c r="L334" s="813"/>
      <c r="M334" s="821"/>
      <c r="N334" s="835">
        <v>3132.2562630808134</v>
      </c>
      <c r="O334" s="813"/>
      <c r="P334" s="821"/>
      <c r="Q334" s="835">
        <v>3180.5856909805216</v>
      </c>
      <c r="R334" s="813"/>
      <c r="S334" s="821"/>
      <c r="T334" s="835">
        <v>2313.553760218475</v>
      </c>
      <c r="U334" s="813"/>
      <c r="V334" s="821"/>
      <c r="W334" s="835">
        <v>2273.8827280763635</v>
      </c>
      <c r="X334" s="813"/>
      <c r="Y334" s="821"/>
      <c r="Z334" s="835">
        <v>2263.4088336318428</v>
      </c>
      <c r="AA334" s="813"/>
      <c r="AB334" s="821"/>
      <c r="AC334" s="835">
        <v>2263.4560195806971</v>
      </c>
      <c r="AD334" s="813"/>
      <c r="AE334" s="821"/>
      <c r="AF334" s="835">
        <v>2263.442535684871</v>
      </c>
      <c r="AG334" s="813"/>
      <c r="AH334" s="821"/>
      <c r="AI334" s="835">
        <v>3176.194560285473</v>
      </c>
      <c r="AJ334" s="813"/>
      <c r="AK334" s="821"/>
      <c r="AL334" s="835">
        <v>3197.7683068806168</v>
      </c>
      <c r="AM334" s="813"/>
      <c r="AN334" s="821"/>
      <c r="AO334" s="835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3180</v>
      </c>
      <c r="F335" s="813"/>
      <c r="G335" s="821"/>
      <c r="H335" s="835">
        <v>265</v>
      </c>
      <c r="I335" s="813"/>
      <c r="J335" s="821"/>
      <c r="K335" s="835">
        <v>265</v>
      </c>
      <c r="L335" s="813"/>
      <c r="M335" s="821"/>
      <c r="N335" s="835">
        <v>265</v>
      </c>
      <c r="O335" s="813"/>
      <c r="P335" s="821"/>
      <c r="Q335" s="835">
        <v>265</v>
      </c>
      <c r="R335" s="813"/>
      <c r="S335" s="821"/>
      <c r="T335" s="835">
        <v>265</v>
      </c>
      <c r="U335" s="813"/>
      <c r="V335" s="821"/>
      <c r="W335" s="835">
        <v>265</v>
      </c>
      <c r="X335" s="813"/>
      <c r="Y335" s="821"/>
      <c r="Z335" s="835">
        <v>265</v>
      </c>
      <c r="AA335" s="813"/>
      <c r="AB335" s="821"/>
      <c r="AC335" s="835">
        <v>265</v>
      </c>
      <c r="AD335" s="813"/>
      <c r="AE335" s="821"/>
      <c r="AF335" s="835">
        <v>265</v>
      </c>
      <c r="AG335" s="813"/>
      <c r="AH335" s="821"/>
      <c r="AI335" s="835">
        <v>265</v>
      </c>
      <c r="AJ335" s="813"/>
      <c r="AK335" s="821"/>
      <c r="AL335" s="835">
        <v>265</v>
      </c>
      <c r="AM335" s="813"/>
      <c r="AN335" s="821"/>
      <c r="AO335" s="835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53080.000000000022</v>
      </c>
      <c r="F336" s="839"/>
      <c r="G336" s="846"/>
      <c r="H336" s="838">
        <v>4423.3333333333339</v>
      </c>
      <c r="I336" s="839"/>
      <c r="J336" s="846"/>
      <c r="K336" s="838">
        <v>4423.3333333333339</v>
      </c>
      <c r="L336" s="839"/>
      <c r="M336" s="846"/>
      <c r="N336" s="838">
        <v>4423.3333333333339</v>
      </c>
      <c r="O336" s="839"/>
      <c r="P336" s="846"/>
      <c r="Q336" s="838">
        <v>4423.3333333333339</v>
      </c>
      <c r="R336" s="839"/>
      <c r="S336" s="846"/>
      <c r="T336" s="838">
        <v>4423.3333333333339</v>
      </c>
      <c r="U336" s="839"/>
      <c r="V336" s="846"/>
      <c r="W336" s="838">
        <v>4423.3333333333339</v>
      </c>
      <c r="X336" s="839"/>
      <c r="Y336" s="846"/>
      <c r="Z336" s="838">
        <v>4423.3333333333339</v>
      </c>
      <c r="AA336" s="839"/>
      <c r="AB336" s="846"/>
      <c r="AC336" s="838">
        <v>4423.3333333333339</v>
      </c>
      <c r="AD336" s="839"/>
      <c r="AE336" s="846"/>
      <c r="AF336" s="838">
        <v>4423.3333333333339</v>
      </c>
      <c r="AG336" s="839"/>
      <c r="AH336" s="846"/>
      <c r="AI336" s="838">
        <v>4423.3333333333339</v>
      </c>
      <c r="AJ336" s="839"/>
      <c r="AK336" s="846"/>
      <c r="AL336" s="838">
        <v>4423.3333333333339</v>
      </c>
      <c r="AM336" s="839"/>
      <c r="AN336" s="846"/>
      <c r="AO336" s="838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22965.599999999995</v>
      </c>
      <c r="F337" s="813"/>
      <c r="G337" s="821"/>
      <c r="H337" s="835">
        <v>1913.8000000000002</v>
      </c>
      <c r="I337" s="813"/>
      <c r="J337" s="821"/>
      <c r="K337" s="835">
        <v>1913.8000000000002</v>
      </c>
      <c r="L337" s="813"/>
      <c r="M337" s="821"/>
      <c r="N337" s="835">
        <v>1913.8000000000002</v>
      </c>
      <c r="O337" s="813"/>
      <c r="P337" s="821"/>
      <c r="Q337" s="835">
        <v>1913.8000000000002</v>
      </c>
      <c r="R337" s="813"/>
      <c r="S337" s="821"/>
      <c r="T337" s="835">
        <v>1913.8000000000002</v>
      </c>
      <c r="U337" s="813"/>
      <c r="V337" s="821"/>
      <c r="W337" s="835">
        <v>1913.8000000000002</v>
      </c>
      <c r="X337" s="813"/>
      <c r="Y337" s="821"/>
      <c r="Z337" s="835">
        <v>1913.8000000000002</v>
      </c>
      <c r="AA337" s="813"/>
      <c r="AB337" s="821"/>
      <c r="AC337" s="835">
        <v>1913.8000000000002</v>
      </c>
      <c r="AD337" s="813"/>
      <c r="AE337" s="821"/>
      <c r="AF337" s="835">
        <v>1913.8000000000002</v>
      </c>
      <c r="AG337" s="813"/>
      <c r="AH337" s="821"/>
      <c r="AI337" s="835">
        <v>1913.8000000000002</v>
      </c>
      <c r="AJ337" s="813"/>
      <c r="AK337" s="821"/>
      <c r="AL337" s="835">
        <v>1913.8000000000002</v>
      </c>
      <c r="AM337" s="813"/>
      <c r="AN337" s="821"/>
      <c r="AO337" s="835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4387.2</v>
      </c>
      <c r="F338" s="813"/>
      <c r="G338" s="821"/>
      <c r="H338" s="835">
        <v>365.6</v>
      </c>
      <c r="I338" s="813"/>
      <c r="J338" s="821"/>
      <c r="K338" s="835">
        <v>365.6</v>
      </c>
      <c r="L338" s="813"/>
      <c r="M338" s="821"/>
      <c r="N338" s="835">
        <v>365.6</v>
      </c>
      <c r="O338" s="813"/>
      <c r="P338" s="821"/>
      <c r="Q338" s="835">
        <v>365.6</v>
      </c>
      <c r="R338" s="813"/>
      <c r="S338" s="821"/>
      <c r="T338" s="835">
        <v>365.6</v>
      </c>
      <c r="U338" s="813"/>
      <c r="V338" s="821"/>
      <c r="W338" s="835">
        <v>365.6</v>
      </c>
      <c r="X338" s="813"/>
      <c r="Y338" s="821"/>
      <c r="Z338" s="835">
        <v>365.6</v>
      </c>
      <c r="AA338" s="813"/>
      <c r="AB338" s="821"/>
      <c r="AC338" s="835">
        <v>365.6</v>
      </c>
      <c r="AD338" s="813"/>
      <c r="AE338" s="821"/>
      <c r="AF338" s="835">
        <v>365.6</v>
      </c>
      <c r="AG338" s="813"/>
      <c r="AH338" s="821"/>
      <c r="AI338" s="835">
        <v>365.6</v>
      </c>
      <c r="AJ338" s="813"/>
      <c r="AK338" s="821"/>
      <c r="AL338" s="835">
        <v>365.6</v>
      </c>
      <c r="AM338" s="813"/>
      <c r="AN338" s="821"/>
      <c r="AO338" s="835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23930.400000000005</v>
      </c>
      <c r="F339" s="839"/>
      <c r="G339" s="846"/>
      <c r="H339" s="838">
        <v>1994.2000000000003</v>
      </c>
      <c r="I339" s="839"/>
      <c r="J339" s="846"/>
      <c r="K339" s="838">
        <v>1994.2000000000003</v>
      </c>
      <c r="L339" s="839"/>
      <c r="M339" s="846"/>
      <c r="N339" s="838">
        <v>1994.2000000000003</v>
      </c>
      <c r="O339" s="839"/>
      <c r="P339" s="846"/>
      <c r="Q339" s="838">
        <v>1994.2000000000003</v>
      </c>
      <c r="R339" s="839"/>
      <c r="S339" s="846"/>
      <c r="T339" s="838">
        <v>1994.2000000000003</v>
      </c>
      <c r="U339" s="839"/>
      <c r="V339" s="846"/>
      <c r="W339" s="838">
        <v>1994.2000000000003</v>
      </c>
      <c r="X339" s="839"/>
      <c r="Y339" s="846"/>
      <c r="Z339" s="838">
        <v>1994.2000000000003</v>
      </c>
      <c r="AA339" s="839"/>
      <c r="AB339" s="846"/>
      <c r="AC339" s="838">
        <v>1994.2000000000003</v>
      </c>
      <c r="AD339" s="839"/>
      <c r="AE339" s="846"/>
      <c r="AF339" s="838">
        <v>1994.2000000000003</v>
      </c>
      <c r="AG339" s="839"/>
      <c r="AH339" s="846"/>
      <c r="AI339" s="838">
        <v>1994.2000000000003</v>
      </c>
      <c r="AJ339" s="839"/>
      <c r="AK339" s="846"/>
      <c r="AL339" s="838">
        <v>1994.2000000000003</v>
      </c>
      <c r="AM339" s="839"/>
      <c r="AN339" s="846"/>
      <c r="AO339" s="838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350.00000000000006</v>
      </c>
      <c r="F341" s="813"/>
      <c r="G341" s="821"/>
      <c r="H341" s="835">
        <v>29.518072289156624</v>
      </c>
      <c r="I341" s="813"/>
      <c r="J341" s="821"/>
      <c r="K341" s="835">
        <v>28.112449799196785</v>
      </c>
      <c r="L341" s="813"/>
      <c r="M341" s="821"/>
      <c r="N341" s="835">
        <v>30.923694779116463</v>
      </c>
      <c r="O341" s="813"/>
      <c r="P341" s="821"/>
      <c r="Q341" s="835">
        <v>29.518072289156624</v>
      </c>
      <c r="R341" s="813"/>
      <c r="S341" s="821"/>
      <c r="T341" s="835">
        <v>28.112449799196785</v>
      </c>
      <c r="U341" s="813"/>
      <c r="V341" s="821"/>
      <c r="W341" s="835">
        <v>29.518072289156624</v>
      </c>
      <c r="X341" s="813"/>
      <c r="Y341" s="821"/>
      <c r="Z341" s="835">
        <v>30.923694779116463</v>
      </c>
      <c r="AA341" s="813"/>
      <c r="AB341" s="821"/>
      <c r="AC341" s="835">
        <v>29.518072289156624</v>
      </c>
      <c r="AD341" s="813"/>
      <c r="AE341" s="821"/>
      <c r="AF341" s="835">
        <v>29.518072289156624</v>
      </c>
      <c r="AG341" s="813"/>
      <c r="AH341" s="821"/>
      <c r="AI341" s="835">
        <v>29.518072289156624</v>
      </c>
      <c r="AJ341" s="813"/>
      <c r="AK341" s="821"/>
      <c r="AL341" s="835">
        <v>29.518072289156624</v>
      </c>
      <c r="AM341" s="813"/>
      <c r="AN341" s="821"/>
      <c r="AO341" s="835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396</v>
      </c>
      <c r="F342" s="813"/>
      <c r="G342" s="821"/>
      <c r="H342" s="835">
        <v>33</v>
      </c>
      <c r="I342" s="813"/>
      <c r="J342" s="821"/>
      <c r="K342" s="835">
        <v>33</v>
      </c>
      <c r="L342" s="813"/>
      <c r="M342" s="821"/>
      <c r="N342" s="835">
        <v>33</v>
      </c>
      <c r="O342" s="813"/>
      <c r="P342" s="821"/>
      <c r="Q342" s="835">
        <v>33</v>
      </c>
      <c r="R342" s="813"/>
      <c r="S342" s="821"/>
      <c r="T342" s="835">
        <v>33</v>
      </c>
      <c r="U342" s="813"/>
      <c r="V342" s="821"/>
      <c r="W342" s="835">
        <v>33</v>
      </c>
      <c r="X342" s="813"/>
      <c r="Y342" s="821"/>
      <c r="Z342" s="835">
        <v>33</v>
      </c>
      <c r="AA342" s="813"/>
      <c r="AB342" s="821"/>
      <c r="AC342" s="835">
        <v>33</v>
      </c>
      <c r="AD342" s="813"/>
      <c r="AE342" s="821"/>
      <c r="AF342" s="835">
        <v>33</v>
      </c>
      <c r="AG342" s="813"/>
      <c r="AH342" s="821"/>
      <c r="AI342" s="835">
        <v>33</v>
      </c>
      <c r="AJ342" s="813"/>
      <c r="AK342" s="821"/>
      <c r="AL342" s="835">
        <v>33</v>
      </c>
      <c r="AM342" s="813"/>
      <c r="AN342" s="821"/>
      <c r="AO342" s="835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4200</v>
      </c>
      <c r="F343" s="813"/>
      <c r="G343" s="821"/>
      <c r="H343" s="835">
        <v>350</v>
      </c>
      <c r="I343" s="813"/>
      <c r="J343" s="821"/>
      <c r="K343" s="835">
        <v>350</v>
      </c>
      <c r="L343" s="813"/>
      <c r="M343" s="821"/>
      <c r="N343" s="835">
        <v>350</v>
      </c>
      <c r="O343" s="813"/>
      <c r="P343" s="821"/>
      <c r="Q343" s="835">
        <v>350</v>
      </c>
      <c r="R343" s="813"/>
      <c r="S343" s="821"/>
      <c r="T343" s="835">
        <v>350</v>
      </c>
      <c r="U343" s="813"/>
      <c r="V343" s="821"/>
      <c r="W343" s="835">
        <v>350</v>
      </c>
      <c r="X343" s="813"/>
      <c r="Y343" s="821"/>
      <c r="Z343" s="835">
        <v>350</v>
      </c>
      <c r="AA343" s="813"/>
      <c r="AB343" s="821"/>
      <c r="AC343" s="835">
        <v>350</v>
      </c>
      <c r="AD343" s="813"/>
      <c r="AE343" s="821"/>
      <c r="AF343" s="835">
        <v>350</v>
      </c>
      <c r="AG343" s="813"/>
      <c r="AH343" s="821"/>
      <c r="AI343" s="835">
        <v>350</v>
      </c>
      <c r="AJ343" s="813"/>
      <c r="AK343" s="821"/>
      <c r="AL343" s="835">
        <v>350</v>
      </c>
      <c r="AM343" s="813"/>
      <c r="AN343" s="821"/>
      <c r="AO343" s="835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1420.8000000000002</v>
      </c>
      <c r="F344" s="813"/>
      <c r="G344" s="821"/>
      <c r="H344" s="835">
        <v>118.4</v>
      </c>
      <c r="I344" s="813"/>
      <c r="J344" s="821"/>
      <c r="K344" s="835">
        <v>118.4</v>
      </c>
      <c r="L344" s="813"/>
      <c r="M344" s="821"/>
      <c r="N344" s="835">
        <v>118.4</v>
      </c>
      <c r="O344" s="813"/>
      <c r="P344" s="821"/>
      <c r="Q344" s="835">
        <v>118.4</v>
      </c>
      <c r="R344" s="813"/>
      <c r="S344" s="821"/>
      <c r="T344" s="835">
        <v>118.4</v>
      </c>
      <c r="U344" s="813"/>
      <c r="V344" s="821"/>
      <c r="W344" s="835">
        <v>118.4</v>
      </c>
      <c r="X344" s="813"/>
      <c r="Y344" s="821"/>
      <c r="Z344" s="835">
        <v>118.4</v>
      </c>
      <c r="AA344" s="813"/>
      <c r="AB344" s="821"/>
      <c r="AC344" s="835">
        <v>118.4</v>
      </c>
      <c r="AD344" s="813"/>
      <c r="AE344" s="821"/>
      <c r="AF344" s="835">
        <v>118.4</v>
      </c>
      <c r="AG344" s="813"/>
      <c r="AH344" s="821"/>
      <c r="AI344" s="835">
        <v>118.4</v>
      </c>
      <c r="AJ344" s="813"/>
      <c r="AK344" s="821"/>
      <c r="AL344" s="835">
        <v>118.4</v>
      </c>
      <c r="AM344" s="813"/>
      <c r="AN344" s="821"/>
      <c r="AO344" s="835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5700</v>
      </c>
      <c r="F345" s="813"/>
      <c r="G345" s="821"/>
      <c r="H345" s="835">
        <v>475</v>
      </c>
      <c r="I345" s="813"/>
      <c r="J345" s="821"/>
      <c r="K345" s="835">
        <v>475</v>
      </c>
      <c r="L345" s="813"/>
      <c r="M345" s="821"/>
      <c r="N345" s="835">
        <v>475</v>
      </c>
      <c r="O345" s="813"/>
      <c r="P345" s="821"/>
      <c r="Q345" s="835">
        <v>475</v>
      </c>
      <c r="R345" s="813"/>
      <c r="S345" s="821"/>
      <c r="T345" s="835">
        <v>475</v>
      </c>
      <c r="U345" s="813"/>
      <c r="V345" s="821"/>
      <c r="W345" s="835">
        <v>475</v>
      </c>
      <c r="X345" s="813"/>
      <c r="Y345" s="821"/>
      <c r="Z345" s="835">
        <v>475</v>
      </c>
      <c r="AA345" s="813"/>
      <c r="AB345" s="821"/>
      <c r="AC345" s="835">
        <v>475</v>
      </c>
      <c r="AD345" s="813"/>
      <c r="AE345" s="821"/>
      <c r="AF345" s="835">
        <v>475</v>
      </c>
      <c r="AG345" s="813"/>
      <c r="AH345" s="821"/>
      <c r="AI345" s="835">
        <v>475</v>
      </c>
      <c r="AJ345" s="813"/>
      <c r="AK345" s="821"/>
      <c r="AL345" s="835">
        <v>475</v>
      </c>
      <c r="AM345" s="813"/>
      <c r="AN345" s="821"/>
      <c r="AO345" s="835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4459.2</v>
      </c>
      <c r="F346" s="813"/>
      <c r="G346" s="821"/>
      <c r="H346" s="835">
        <v>371.6</v>
      </c>
      <c r="I346" s="813"/>
      <c r="J346" s="821"/>
      <c r="K346" s="835">
        <v>371.6</v>
      </c>
      <c r="L346" s="813"/>
      <c r="M346" s="821"/>
      <c r="N346" s="835">
        <v>371.6</v>
      </c>
      <c r="O346" s="813"/>
      <c r="P346" s="821"/>
      <c r="Q346" s="835">
        <v>371.6</v>
      </c>
      <c r="R346" s="813"/>
      <c r="S346" s="821"/>
      <c r="T346" s="835">
        <v>371.6</v>
      </c>
      <c r="U346" s="813"/>
      <c r="V346" s="821"/>
      <c r="W346" s="835">
        <v>371.6</v>
      </c>
      <c r="X346" s="813"/>
      <c r="Y346" s="821"/>
      <c r="Z346" s="835">
        <v>371.6</v>
      </c>
      <c r="AA346" s="813"/>
      <c r="AB346" s="821"/>
      <c r="AC346" s="835">
        <v>371.6</v>
      </c>
      <c r="AD346" s="813"/>
      <c r="AE346" s="821"/>
      <c r="AF346" s="835">
        <v>371.6</v>
      </c>
      <c r="AG346" s="813"/>
      <c r="AH346" s="821"/>
      <c r="AI346" s="835">
        <v>371.6</v>
      </c>
      <c r="AJ346" s="813"/>
      <c r="AK346" s="821"/>
      <c r="AL346" s="835">
        <v>371.6</v>
      </c>
      <c r="AM346" s="813"/>
      <c r="AN346" s="821"/>
      <c r="AO346" s="835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2893.7625599999992</v>
      </c>
      <c r="F347" s="813"/>
      <c r="G347" s="821"/>
      <c r="H347" s="835">
        <v>241.14687999999995</v>
      </c>
      <c r="I347" s="813"/>
      <c r="J347" s="821"/>
      <c r="K347" s="835">
        <v>241.14687999999995</v>
      </c>
      <c r="L347" s="813"/>
      <c r="M347" s="821"/>
      <c r="N347" s="835">
        <v>241.14687999999995</v>
      </c>
      <c r="O347" s="813"/>
      <c r="P347" s="821"/>
      <c r="Q347" s="835">
        <v>241.14687999999995</v>
      </c>
      <c r="R347" s="813"/>
      <c r="S347" s="821"/>
      <c r="T347" s="835">
        <v>241.14687999999995</v>
      </c>
      <c r="U347" s="813"/>
      <c r="V347" s="821"/>
      <c r="W347" s="835">
        <v>241.14687999999995</v>
      </c>
      <c r="X347" s="813"/>
      <c r="Y347" s="821"/>
      <c r="Z347" s="835">
        <v>241.14687999999995</v>
      </c>
      <c r="AA347" s="813"/>
      <c r="AB347" s="821"/>
      <c r="AC347" s="835">
        <v>241.14687999999995</v>
      </c>
      <c r="AD347" s="813"/>
      <c r="AE347" s="821"/>
      <c r="AF347" s="835">
        <v>241.14687999999995</v>
      </c>
      <c r="AG347" s="813"/>
      <c r="AH347" s="821"/>
      <c r="AI347" s="835">
        <v>241.14687999999995</v>
      </c>
      <c r="AJ347" s="813"/>
      <c r="AK347" s="821"/>
      <c r="AL347" s="835">
        <v>241.14687999999995</v>
      </c>
      <c r="AM347" s="813"/>
      <c r="AN347" s="821"/>
      <c r="AO347" s="835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13645.663379931037</v>
      </c>
      <c r="F348" s="813"/>
      <c r="G348" s="821"/>
      <c r="H348" s="835">
        <v>576.73048630300707</v>
      </c>
      <c r="I348" s="813"/>
      <c r="J348" s="821"/>
      <c r="K348" s="835">
        <v>717.9114349509772</v>
      </c>
      <c r="L348" s="813"/>
      <c r="M348" s="821"/>
      <c r="N348" s="835">
        <v>1366.2213195198146</v>
      </c>
      <c r="O348" s="813"/>
      <c r="P348" s="821"/>
      <c r="Q348" s="835">
        <v>1566.3396154535994</v>
      </c>
      <c r="R348" s="813"/>
      <c r="S348" s="821"/>
      <c r="T348" s="835">
        <v>1594.9498478972391</v>
      </c>
      <c r="U348" s="813"/>
      <c r="V348" s="821"/>
      <c r="W348" s="835">
        <v>1236.4804527719782</v>
      </c>
      <c r="X348" s="813"/>
      <c r="Y348" s="821"/>
      <c r="Z348" s="835">
        <v>1094.0198619094199</v>
      </c>
      <c r="AA348" s="813"/>
      <c r="AB348" s="821"/>
      <c r="AC348" s="835">
        <v>1237.0872841360267</v>
      </c>
      <c r="AD348" s="813"/>
      <c r="AE348" s="821"/>
      <c r="AF348" s="835">
        <v>1339.9928681136269</v>
      </c>
      <c r="AG348" s="813"/>
      <c r="AH348" s="821"/>
      <c r="AI348" s="835">
        <v>1049.2495225426769</v>
      </c>
      <c r="AJ348" s="813"/>
      <c r="AK348" s="821"/>
      <c r="AL348" s="835">
        <v>1079.3390757661562</v>
      </c>
      <c r="AM348" s="813"/>
      <c r="AN348" s="821"/>
      <c r="AO348" s="835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0.15045279255819277</v>
      </c>
      <c r="E352" s="842">
        <v>173141.82593993103</v>
      </c>
      <c r="F352" s="840" t="s">
        <v>108</v>
      </c>
      <c r="G352" s="841">
        <v>0.21069640673692847</v>
      </c>
      <c r="H352" s="842">
        <v>13393.433847905932</v>
      </c>
      <c r="I352" s="840" t="s">
        <v>108</v>
      </c>
      <c r="J352" s="841">
        <v>0.21393330937998875</v>
      </c>
      <c r="K352" s="842">
        <v>14410.048712200925</v>
      </c>
      <c r="L352" s="840" t="s">
        <v>108</v>
      </c>
      <c r="M352" s="841">
        <v>0.15016324506020073</v>
      </c>
      <c r="N352" s="842">
        <v>15080.48149071308</v>
      </c>
      <c r="O352" s="840" t="s">
        <v>108</v>
      </c>
      <c r="P352" s="841">
        <v>0.16259690685513145</v>
      </c>
      <c r="Q352" s="842">
        <v>15327.523592056612</v>
      </c>
      <c r="R352" s="840" t="s">
        <v>108</v>
      </c>
      <c r="S352" s="841">
        <v>0.11804377004142802</v>
      </c>
      <c r="T352" s="842">
        <v>14487.696271248245</v>
      </c>
      <c r="U352" s="840" t="s">
        <v>108</v>
      </c>
      <c r="V352" s="841">
        <v>0.14218633834189676</v>
      </c>
      <c r="W352" s="842">
        <v>14090.961466470833</v>
      </c>
      <c r="X352" s="840" t="s">
        <v>108</v>
      </c>
      <c r="Y352" s="841">
        <v>0.1495051109173455</v>
      </c>
      <c r="Z352" s="842">
        <v>13939.432603653713</v>
      </c>
      <c r="AA352" s="840" t="s">
        <v>108</v>
      </c>
      <c r="AB352" s="841">
        <v>0.15176061358369716</v>
      </c>
      <c r="AC352" s="842">
        <v>14081.141589339215</v>
      </c>
      <c r="AD352" s="840" t="s">
        <v>108</v>
      </c>
      <c r="AE352" s="841">
        <v>0.13345719726216032</v>
      </c>
      <c r="AF352" s="842">
        <v>14184.033689420989</v>
      </c>
      <c r="AG352" s="840" t="s">
        <v>108</v>
      </c>
      <c r="AH352" s="841">
        <v>0.13564543956338301</v>
      </c>
      <c r="AI352" s="842">
        <v>14806.042368450642</v>
      </c>
      <c r="AJ352" s="840" t="s">
        <v>108</v>
      </c>
      <c r="AK352" s="841">
        <v>0.11456196289950962</v>
      </c>
      <c r="AL352" s="842">
        <v>14857.705668269264</v>
      </c>
      <c r="AM352" s="840" t="s">
        <v>108</v>
      </c>
      <c r="AN352" s="841">
        <v>0.2005886138126512</v>
      </c>
      <c r="AO352" s="842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0.44716333976680828</v>
      </c>
      <c r="E354" s="851">
        <v>514597.80722034181</v>
      </c>
      <c r="F354" s="840" t="s">
        <v>108</v>
      </c>
      <c r="G354" s="878">
        <v>0.68908657016440056</v>
      </c>
      <c r="H354" s="851">
        <v>43803.477885129461</v>
      </c>
      <c r="I354" s="840" t="s">
        <v>108</v>
      </c>
      <c r="J354" s="878">
        <v>0.63703265412982779</v>
      </c>
      <c r="K354" s="851">
        <v>42909.033679129003</v>
      </c>
      <c r="L354" s="840" t="s">
        <v>108</v>
      </c>
      <c r="M354" s="878">
        <v>0.41767938866915388</v>
      </c>
      <c r="N354" s="851">
        <v>41946.391657641165</v>
      </c>
      <c r="O354" s="840" t="s">
        <v>108</v>
      </c>
      <c r="P354" s="878">
        <v>0.45815039394238227</v>
      </c>
      <c r="Q354" s="851">
        <v>43188.465928927821</v>
      </c>
      <c r="R354" s="840" t="s">
        <v>108</v>
      </c>
      <c r="S354" s="878">
        <v>0.35135361923329428</v>
      </c>
      <c r="T354" s="851">
        <v>43122.178472182874</v>
      </c>
      <c r="U354" s="840" t="s">
        <v>108</v>
      </c>
      <c r="V354" s="878">
        <v>0.40699838735041072</v>
      </c>
      <c r="W354" s="851">
        <v>40334.385567199941</v>
      </c>
      <c r="X354" s="840" t="s">
        <v>108</v>
      </c>
      <c r="Y354" s="878">
        <v>0.45636044773076051</v>
      </c>
      <c r="Z354" s="851">
        <v>42549.754085886052</v>
      </c>
      <c r="AA354" s="840" t="s">
        <v>108</v>
      </c>
      <c r="AB354" s="878">
        <v>0.44933770715984239</v>
      </c>
      <c r="AC354" s="851">
        <v>41691.897037944487</v>
      </c>
      <c r="AD354" s="840" t="s">
        <v>108</v>
      </c>
      <c r="AE354" s="878">
        <v>0.40288307024306447</v>
      </c>
      <c r="AF354" s="851">
        <v>42819.024814372053</v>
      </c>
      <c r="AG354" s="840" t="s">
        <v>108</v>
      </c>
      <c r="AH354" s="878">
        <v>0.41226739425583298</v>
      </c>
      <c r="AI354" s="851">
        <v>45000.027469632478</v>
      </c>
      <c r="AJ354" s="840" t="s">
        <v>108</v>
      </c>
      <c r="AK354" s="878">
        <v>0.33337936556136161</v>
      </c>
      <c r="AL354" s="851">
        <v>43236.449201991243</v>
      </c>
      <c r="AM354" s="840" t="s">
        <v>108</v>
      </c>
      <c r="AN354" s="878">
        <v>0.6093380892329141</v>
      </c>
      <c r="AO354" s="851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636207.19277965813</v>
      </c>
      <c r="F356" s="879"/>
      <c r="G356" s="880"/>
      <c r="H356" s="860">
        <v>19763.974713284893</v>
      </c>
      <c r="I356" s="879"/>
      <c r="J356" s="880"/>
      <c r="K356" s="860">
        <v>24448.63378258342</v>
      </c>
      <c r="L356" s="879"/>
      <c r="M356" s="880"/>
      <c r="N356" s="860">
        <v>58480.856599196159</v>
      </c>
      <c r="O356" s="879"/>
      <c r="P356" s="880"/>
      <c r="Q356" s="860">
        <v>51078.540058541155</v>
      </c>
      <c r="R356" s="879"/>
      <c r="S356" s="880"/>
      <c r="T356" s="860">
        <v>79609.383440518825</v>
      </c>
      <c r="U356" s="879"/>
      <c r="V356" s="880"/>
      <c r="W356" s="860">
        <v>58767.691543669564</v>
      </c>
      <c r="X356" s="879"/>
      <c r="Y356" s="880"/>
      <c r="Z356" s="860">
        <v>50687.410303498495</v>
      </c>
      <c r="AA356" s="879"/>
      <c r="AB356" s="880"/>
      <c r="AC356" s="860">
        <v>51093.32079180127</v>
      </c>
      <c r="AD356" s="879"/>
      <c r="AE356" s="880"/>
      <c r="AF356" s="860">
        <v>63462.494507198819</v>
      </c>
      <c r="AG356" s="879"/>
      <c r="AH356" s="880"/>
      <c r="AI356" s="860">
        <v>64152.498528355281</v>
      </c>
      <c r="AJ356" s="879"/>
      <c r="AK356" s="880"/>
      <c r="AL356" s="860">
        <v>86454.988446489035</v>
      </c>
      <c r="AM356" s="879"/>
      <c r="AN356" s="880"/>
      <c r="AO356" s="860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2824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2024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>
        <v>0</v>
      </c>
      <c r="F379" s="839"/>
      <c r="G379" s="846"/>
      <c r="H379" s="847">
        <v>0</v>
      </c>
      <c r="I379" s="839"/>
      <c r="J379" s="846"/>
      <c r="K379" s="847">
        <v>0</v>
      </c>
      <c r="L379" s="839"/>
      <c r="M379" s="846"/>
      <c r="N379" s="847">
        <v>0</v>
      </c>
      <c r="O379" s="839"/>
      <c r="P379" s="846"/>
      <c r="Q379" s="847">
        <v>0</v>
      </c>
      <c r="R379" s="839"/>
      <c r="S379" s="846"/>
      <c r="T379" s="847">
        <v>0</v>
      </c>
      <c r="U379" s="839"/>
      <c r="V379" s="846"/>
      <c r="W379" s="847">
        <v>0</v>
      </c>
      <c r="X379" s="839"/>
      <c r="Y379" s="846"/>
      <c r="Z379" s="847">
        <v>0</v>
      </c>
      <c r="AA379" s="839"/>
      <c r="AB379" s="846"/>
      <c r="AC379" s="847">
        <v>0</v>
      </c>
      <c r="AD379" s="839"/>
      <c r="AE379" s="846"/>
      <c r="AF379" s="847">
        <v>0</v>
      </c>
      <c r="AG379" s="839"/>
      <c r="AH379" s="846"/>
      <c r="AI379" s="847">
        <v>0</v>
      </c>
      <c r="AJ379" s="839"/>
      <c r="AK379" s="846"/>
      <c r="AL379" s="847">
        <v>0</v>
      </c>
      <c r="AM379" s="839"/>
      <c r="AN379" s="846"/>
      <c r="AO379" s="847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>
        <v>0</v>
      </c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2824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1909703.5970298247</v>
      </c>
      <c r="I406" s="932"/>
      <c r="J406" s="932"/>
      <c r="K406" s="933">
        <v>2377190.1819568779</v>
      </c>
      <c r="L406" s="932"/>
      <c r="M406" s="932"/>
      <c r="N406" s="933">
        <v>4523911.6540391212</v>
      </c>
      <c r="O406" s="932"/>
      <c r="P406" s="932"/>
      <c r="Q406" s="933">
        <v>5186555.0180582758</v>
      </c>
      <c r="R406" s="932"/>
      <c r="S406" s="932"/>
      <c r="T406" s="933">
        <v>5281290.8870769497</v>
      </c>
      <c r="U406" s="932"/>
      <c r="V406" s="932"/>
      <c r="W406" s="933">
        <v>4094306.1350065502</v>
      </c>
      <c r="X406" s="932"/>
      <c r="Y406" s="932"/>
      <c r="Z406" s="933">
        <v>3622582.3242033771</v>
      </c>
      <c r="AA406" s="932"/>
      <c r="AB406" s="932"/>
      <c r="AC406" s="933">
        <v>4096315.5103841941</v>
      </c>
      <c r="AD406" s="932"/>
      <c r="AE406" s="932"/>
      <c r="AF406" s="933">
        <v>4437062.4771974394</v>
      </c>
      <c r="AG406" s="932"/>
      <c r="AH406" s="932"/>
      <c r="AI406" s="933">
        <v>3474336.1673598569</v>
      </c>
      <c r="AJ406" s="932"/>
      <c r="AK406" s="932"/>
      <c r="AL406" s="933">
        <v>3573970.449556808</v>
      </c>
      <c r="AM406" s="932"/>
      <c r="AN406" s="932"/>
      <c r="AO406" s="933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2024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45184315.827586211</v>
      </c>
      <c r="F409" s="939"/>
      <c r="G409" s="940"/>
      <c r="H409" s="941">
        <v>1909703.5970298247</v>
      </c>
      <c r="I409" s="939"/>
      <c r="J409" s="940"/>
      <c r="K409" s="941">
        <v>2377190.1819568779</v>
      </c>
      <c r="L409" s="939"/>
      <c r="M409" s="940"/>
      <c r="N409" s="941">
        <v>4523911.6540391212</v>
      </c>
      <c r="O409" s="939"/>
      <c r="P409" s="940"/>
      <c r="Q409" s="941">
        <v>5186555.0180582758</v>
      </c>
      <c r="R409" s="939"/>
      <c r="S409" s="940"/>
      <c r="T409" s="941">
        <v>5281290.8870769497</v>
      </c>
      <c r="U409" s="939"/>
      <c r="V409" s="940"/>
      <c r="W409" s="941">
        <v>4094306.1350065502</v>
      </c>
      <c r="X409" s="939"/>
      <c r="Y409" s="940"/>
      <c r="Z409" s="941">
        <v>3622582.3242033771</v>
      </c>
      <c r="AA409" s="939"/>
      <c r="AB409" s="940"/>
      <c r="AC409" s="941">
        <v>4096315.5103841941</v>
      </c>
      <c r="AD409" s="939"/>
      <c r="AE409" s="940"/>
      <c r="AF409" s="941">
        <v>4437062.4771974394</v>
      </c>
      <c r="AG409" s="939"/>
      <c r="AH409" s="940"/>
      <c r="AI409" s="941">
        <v>3474336.1673598569</v>
      </c>
      <c r="AJ409" s="939"/>
      <c r="AK409" s="940"/>
      <c r="AL409" s="941">
        <v>3573970.449556808</v>
      </c>
      <c r="AM409" s="939"/>
      <c r="AN409" s="940"/>
      <c r="AO409" s="941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4976720.7349999994</v>
      </c>
      <c r="F410" s="942"/>
      <c r="G410" s="943"/>
      <c r="H410" s="944">
        <v>224144.66570730761</v>
      </c>
      <c r="I410" s="942"/>
      <c r="J410" s="943"/>
      <c r="K410" s="944">
        <v>262008.04487196181</v>
      </c>
      <c r="L410" s="942"/>
      <c r="M410" s="943"/>
      <c r="N410" s="944">
        <v>466515.80209617701</v>
      </c>
      <c r="O410" s="942"/>
      <c r="P410" s="943"/>
      <c r="Q410" s="944">
        <v>535039.14324018499</v>
      </c>
      <c r="R410" s="942"/>
      <c r="S410" s="943"/>
      <c r="T410" s="944">
        <v>569755.57458954141</v>
      </c>
      <c r="U410" s="942"/>
      <c r="V410" s="943"/>
      <c r="W410" s="944">
        <v>444712.69785719574</v>
      </c>
      <c r="X410" s="942"/>
      <c r="Y410" s="943"/>
      <c r="Z410" s="944">
        <v>393848.46879570512</v>
      </c>
      <c r="AA410" s="942"/>
      <c r="AB410" s="943"/>
      <c r="AC410" s="944">
        <v>432177.56363649108</v>
      </c>
      <c r="AD410" s="942"/>
      <c r="AE410" s="943"/>
      <c r="AF410" s="944">
        <v>462703.19254841818</v>
      </c>
      <c r="AG410" s="942"/>
      <c r="AH410" s="943"/>
      <c r="AI410" s="944">
        <v>425449.49269723834</v>
      </c>
      <c r="AJ410" s="942"/>
      <c r="AK410" s="943"/>
      <c r="AL410" s="944">
        <v>462823.48432489584</v>
      </c>
      <c r="AM410" s="942"/>
      <c r="AN410" s="943"/>
      <c r="AO410" s="944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0.30549103592959581</v>
      </c>
      <c r="D412" s="949">
        <v>1167.4432112068966</v>
      </c>
      <c r="E412" s="947">
        <v>541693.65</v>
      </c>
      <c r="F412" s="948"/>
      <c r="G412" s="949">
        <v>1345.4088819346448</v>
      </c>
      <c r="H412" s="947">
        <v>24217.359874823607</v>
      </c>
      <c r="I412" s="948"/>
      <c r="J412" s="949">
        <v>1269.7826314470847</v>
      </c>
      <c r="K412" s="947">
        <v>29205.00052328295</v>
      </c>
      <c r="L412" s="948"/>
      <c r="M412" s="949">
        <v>1301.3375447774497</v>
      </c>
      <c r="N412" s="947">
        <v>55957.514425430338</v>
      </c>
      <c r="O412" s="948"/>
      <c r="P412" s="949">
        <v>1258.6777259528317</v>
      </c>
      <c r="Q412" s="947">
        <v>62933.886297641584</v>
      </c>
      <c r="R412" s="948"/>
      <c r="S412" s="949">
        <v>1227.5859703911449</v>
      </c>
      <c r="T412" s="947">
        <v>61379.29851955724</v>
      </c>
      <c r="U412" s="948"/>
      <c r="V412" s="949">
        <v>1175.1553171443318</v>
      </c>
      <c r="W412" s="947">
        <v>48181.368002917603</v>
      </c>
      <c r="X412" s="948"/>
      <c r="Y412" s="949">
        <v>1177.5701539470997</v>
      </c>
      <c r="Z412" s="947">
        <v>42392.525542095587</v>
      </c>
      <c r="AA412" s="948"/>
      <c r="AB412" s="949">
        <v>1185.2586985361772</v>
      </c>
      <c r="AC412" s="947">
        <v>48595.606639983263</v>
      </c>
      <c r="AD412" s="948"/>
      <c r="AE412" s="949">
        <v>1221.0779710960855</v>
      </c>
      <c r="AF412" s="947">
        <v>53727.430728227766</v>
      </c>
      <c r="AG412" s="948"/>
      <c r="AH412" s="949">
        <v>1238.2614954789778</v>
      </c>
      <c r="AI412" s="947">
        <v>40862.629350806266</v>
      </c>
      <c r="AJ412" s="948"/>
      <c r="AK412" s="949">
        <v>1284.4510188230543</v>
      </c>
      <c r="AL412" s="947">
        <v>41102.432602337736</v>
      </c>
      <c r="AM412" s="948"/>
      <c r="AN412" s="949">
        <v>1325.5438997158431</v>
      </c>
      <c r="AO412" s="947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0.25</v>
      </c>
      <c r="D413" s="951">
        <v>427.86697247706422</v>
      </c>
      <c r="E413" s="941">
        <v>186550</v>
      </c>
      <c r="F413" s="950"/>
      <c r="G413" s="951">
        <v>428.47222222222223</v>
      </c>
      <c r="H413" s="941">
        <v>7712.5</v>
      </c>
      <c r="I413" s="950"/>
      <c r="J413" s="951">
        <v>423.91304347826087</v>
      </c>
      <c r="K413" s="941">
        <v>9750</v>
      </c>
      <c r="L413" s="950"/>
      <c r="M413" s="951">
        <v>432.55813953488371</v>
      </c>
      <c r="N413" s="941">
        <v>18600</v>
      </c>
      <c r="O413" s="950"/>
      <c r="P413" s="951">
        <v>429.25</v>
      </c>
      <c r="Q413" s="941">
        <v>21462.5</v>
      </c>
      <c r="R413" s="950"/>
      <c r="S413" s="951">
        <v>430</v>
      </c>
      <c r="T413" s="941">
        <v>21500</v>
      </c>
      <c r="U413" s="950"/>
      <c r="V413" s="951">
        <v>425.91463414634148</v>
      </c>
      <c r="W413" s="941">
        <v>17462.5</v>
      </c>
      <c r="X413" s="950"/>
      <c r="Y413" s="951">
        <v>429.16666666666669</v>
      </c>
      <c r="Z413" s="941">
        <v>15450</v>
      </c>
      <c r="AA413" s="950"/>
      <c r="AB413" s="951">
        <v>425.91463414634148</v>
      </c>
      <c r="AC413" s="941">
        <v>17462.5</v>
      </c>
      <c r="AD413" s="950"/>
      <c r="AE413" s="951">
        <v>423.86363636363637</v>
      </c>
      <c r="AF413" s="941">
        <v>18650</v>
      </c>
      <c r="AG413" s="950"/>
      <c r="AH413" s="951">
        <v>430.30303030303031</v>
      </c>
      <c r="AI413" s="941">
        <v>14200</v>
      </c>
      <c r="AJ413" s="950"/>
      <c r="AK413" s="951">
        <v>430.46875</v>
      </c>
      <c r="AL413" s="941">
        <v>13775</v>
      </c>
      <c r="AM413" s="950"/>
      <c r="AN413" s="951">
        <v>421</v>
      </c>
      <c r="AO413" s="941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110.18348623853211</v>
      </c>
      <c r="E414" s="947">
        <v>48040</v>
      </c>
      <c r="F414" s="948"/>
      <c r="G414" s="949">
        <v>110.55555555555556</v>
      </c>
      <c r="H414" s="947">
        <v>1990</v>
      </c>
      <c r="I414" s="948"/>
      <c r="J414" s="949">
        <v>109.56521739130434</v>
      </c>
      <c r="K414" s="947">
        <v>2520</v>
      </c>
      <c r="L414" s="948"/>
      <c r="M414" s="949">
        <v>110.69767441860465</v>
      </c>
      <c r="N414" s="947">
        <v>4760</v>
      </c>
      <c r="O414" s="948"/>
      <c r="P414" s="949">
        <v>110.2</v>
      </c>
      <c r="Q414" s="947">
        <v>5510</v>
      </c>
      <c r="R414" s="948"/>
      <c r="S414" s="949">
        <v>110.8</v>
      </c>
      <c r="T414" s="947">
        <v>5540</v>
      </c>
      <c r="U414" s="948"/>
      <c r="V414" s="949">
        <v>110</v>
      </c>
      <c r="W414" s="947">
        <v>4510</v>
      </c>
      <c r="X414" s="948"/>
      <c r="Y414" s="949">
        <v>111.11111111111111</v>
      </c>
      <c r="Z414" s="947">
        <v>4000</v>
      </c>
      <c r="AA414" s="948"/>
      <c r="AB414" s="949">
        <v>110</v>
      </c>
      <c r="AC414" s="947">
        <v>4510</v>
      </c>
      <c r="AD414" s="948"/>
      <c r="AE414" s="949">
        <v>109.09090909090909</v>
      </c>
      <c r="AF414" s="947">
        <v>4800</v>
      </c>
      <c r="AG414" s="948"/>
      <c r="AH414" s="949">
        <v>110.90909090909091</v>
      </c>
      <c r="AI414" s="947">
        <v>3660</v>
      </c>
      <c r="AJ414" s="948"/>
      <c r="AK414" s="949">
        <v>110.625</v>
      </c>
      <c r="AL414" s="947">
        <v>3540</v>
      </c>
      <c r="AM414" s="948"/>
      <c r="AN414" s="949">
        <v>108</v>
      </c>
      <c r="AO414" s="947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68.532110091743121</v>
      </c>
      <c r="E415" s="947">
        <v>29880</v>
      </c>
      <c r="F415" s="948"/>
      <c r="G415" s="949">
        <v>70</v>
      </c>
      <c r="H415" s="947">
        <v>1260</v>
      </c>
      <c r="I415" s="948"/>
      <c r="J415" s="949">
        <v>70.434782608695656</v>
      </c>
      <c r="K415" s="947">
        <v>1620</v>
      </c>
      <c r="L415" s="948"/>
      <c r="M415" s="949">
        <v>64.883720930232556</v>
      </c>
      <c r="N415" s="947">
        <v>2790</v>
      </c>
      <c r="O415" s="948"/>
      <c r="P415" s="949">
        <v>66.599999999999994</v>
      </c>
      <c r="Q415" s="947">
        <v>3330</v>
      </c>
      <c r="R415" s="948"/>
      <c r="S415" s="949">
        <v>69.3</v>
      </c>
      <c r="T415" s="947">
        <v>3465</v>
      </c>
      <c r="U415" s="948"/>
      <c r="V415" s="949">
        <v>70.243902439024396</v>
      </c>
      <c r="W415" s="947">
        <v>2880</v>
      </c>
      <c r="X415" s="948"/>
      <c r="Y415" s="949">
        <v>72.5</v>
      </c>
      <c r="Z415" s="947">
        <v>2610</v>
      </c>
      <c r="AA415" s="948"/>
      <c r="AB415" s="949">
        <v>70.243902439024396</v>
      </c>
      <c r="AC415" s="947">
        <v>2880</v>
      </c>
      <c r="AD415" s="948"/>
      <c r="AE415" s="949">
        <v>67.5</v>
      </c>
      <c r="AF415" s="947">
        <v>2970</v>
      </c>
      <c r="AG415" s="948"/>
      <c r="AH415" s="949">
        <v>69.545454545454547</v>
      </c>
      <c r="AI415" s="947">
        <v>2295</v>
      </c>
      <c r="AJ415" s="948"/>
      <c r="AK415" s="949">
        <v>67.5</v>
      </c>
      <c r="AL415" s="947">
        <v>2160</v>
      </c>
      <c r="AM415" s="948"/>
      <c r="AN415" s="949">
        <v>64.8</v>
      </c>
      <c r="AO415" s="947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83.348623853211009</v>
      </c>
      <c r="E416" s="941">
        <v>36340</v>
      </c>
      <c r="F416" s="950"/>
      <c r="G416" s="951">
        <v>131.94444444444446</v>
      </c>
      <c r="H416" s="941">
        <v>2375</v>
      </c>
      <c r="I416" s="950"/>
      <c r="J416" s="951">
        <v>110</v>
      </c>
      <c r="K416" s="941">
        <v>2530</v>
      </c>
      <c r="L416" s="950"/>
      <c r="M416" s="951">
        <v>77.906976744186053</v>
      </c>
      <c r="N416" s="941">
        <v>3350</v>
      </c>
      <c r="O416" s="950"/>
      <c r="P416" s="951">
        <v>71.099999999999994</v>
      </c>
      <c r="Q416" s="941">
        <v>3555</v>
      </c>
      <c r="R416" s="950"/>
      <c r="S416" s="951">
        <v>70.2</v>
      </c>
      <c r="T416" s="941">
        <v>3510</v>
      </c>
      <c r="U416" s="950"/>
      <c r="V416" s="951">
        <v>76.951219512195124</v>
      </c>
      <c r="W416" s="941">
        <v>3155</v>
      </c>
      <c r="X416" s="950"/>
      <c r="Y416" s="951">
        <v>82.5</v>
      </c>
      <c r="Z416" s="941">
        <v>2970</v>
      </c>
      <c r="AA416" s="950"/>
      <c r="AB416" s="951">
        <v>76.951219512195124</v>
      </c>
      <c r="AC416" s="941">
        <v>3155</v>
      </c>
      <c r="AD416" s="950"/>
      <c r="AE416" s="951">
        <v>74.772727272727266</v>
      </c>
      <c r="AF416" s="941">
        <v>3290</v>
      </c>
      <c r="AG416" s="950"/>
      <c r="AH416" s="951">
        <v>88.181818181818187</v>
      </c>
      <c r="AI416" s="941">
        <v>2910</v>
      </c>
      <c r="AJ416" s="950"/>
      <c r="AK416" s="951">
        <v>90.625</v>
      </c>
      <c r="AL416" s="941">
        <v>2900</v>
      </c>
      <c r="AM416" s="950"/>
      <c r="AN416" s="951">
        <v>105.6</v>
      </c>
      <c r="AO416" s="941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476.98394495412856</v>
      </c>
      <c r="E417" s="947">
        <v>207965.00000000006</v>
      </c>
      <c r="F417" s="948"/>
      <c r="G417" s="949">
        <v>694.56539351851859</v>
      </c>
      <c r="H417" s="947">
        <v>12502.177083333334</v>
      </c>
      <c r="I417" s="948"/>
      <c r="J417" s="949">
        <v>573.71286231884062</v>
      </c>
      <c r="K417" s="947">
        <v>13195.395833333334</v>
      </c>
      <c r="L417" s="948"/>
      <c r="M417" s="949">
        <v>505.45033914728685</v>
      </c>
      <c r="N417" s="947">
        <v>21734.364583333336</v>
      </c>
      <c r="O417" s="948"/>
      <c r="P417" s="949">
        <v>444.55166666666673</v>
      </c>
      <c r="Q417" s="947">
        <v>22227.583333333336</v>
      </c>
      <c r="R417" s="948"/>
      <c r="S417" s="949">
        <v>408.75510416666674</v>
      </c>
      <c r="T417" s="947">
        <v>20437.755208333336</v>
      </c>
      <c r="U417" s="948"/>
      <c r="V417" s="949">
        <v>421.01194105691064</v>
      </c>
      <c r="W417" s="947">
        <v>17261.489583333336</v>
      </c>
      <c r="X417" s="948"/>
      <c r="Y417" s="949">
        <v>427.08478009259261</v>
      </c>
      <c r="Z417" s="947">
        <v>15375.052083333334</v>
      </c>
      <c r="AA417" s="948"/>
      <c r="AB417" s="949">
        <v>421.01194105691064</v>
      </c>
      <c r="AC417" s="947">
        <v>17261.489583333336</v>
      </c>
      <c r="AD417" s="948"/>
      <c r="AE417" s="949">
        <v>439.72561553030306</v>
      </c>
      <c r="AF417" s="947">
        <v>19347.927083333336</v>
      </c>
      <c r="AG417" s="948"/>
      <c r="AH417" s="949">
        <v>493.08065025252529</v>
      </c>
      <c r="AI417" s="947">
        <v>16271.661458333334</v>
      </c>
      <c r="AJ417" s="948"/>
      <c r="AK417" s="949">
        <v>530.25846354166674</v>
      </c>
      <c r="AL417" s="947">
        <v>16968.270833333336</v>
      </c>
      <c r="AM417" s="948"/>
      <c r="AN417" s="949">
        <v>615.27333333333331</v>
      </c>
      <c r="AO417" s="947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956.31628244463718</v>
      </c>
      <c r="E418" s="947">
        <v>416953.8991458618</v>
      </c>
      <c r="F418" s="948"/>
      <c r="G418" s="949">
        <v>1630.8824007142885</v>
      </c>
      <c r="H418" s="947">
        <v>29355.883212857192</v>
      </c>
      <c r="I418" s="948"/>
      <c r="J418" s="949">
        <v>1414.36695804858</v>
      </c>
      <c r="K418" s="947">
        <v>32530.440035117339</v>
      </c>
      <c r="L418" s="948"/>
      <c r="M418" s="949">
        <v>938.34862985904977</v>
      </c>
      <c r="N418" s="947">
        <v>40348.991083939138</v>
      </c>
      <c r="O418" s="948"/>
      <c r="P418" s="949">
        <v>788.61890608016245</v>
      </c>
      <c r="Q418" s="947">
        <v>39430.945304008121</v>
      </c>
      <c r="R418" s="948"/>
      <c r="S418" s="949">
        <v>763.90385422945064</v>
      </c>
      <c r="T418" s="947">
        <v>38195.192711472533</v>
      </c>
      <c r="U418" s="948"/>
      <c r="V418" s="949">
        <v>828.46197774133202</v>
      </c>
      <c r="W418" s="947">
        <v>33966.941087394611</v>
      </c>
      <c r="X418" s="948"/>
      <c r="Y418" s="949">
        <v>974.9770126937342</v>
      </c>
      <c r="Z418" s="947">
        <v>35099.172456974433</v>
      </c>
      <c r="AA418" s="948"/>
      <c r="AB418" s="949">
        <v>906.96663847171067</v>
      </c>
      <c r="AC418" s="947">
        <v>37185.632177340136</v>
      </c>
      <c r="AD418" s="948"/>
      <c r="AE418" s="949">
        <v>793.93445351257583</v>
      </c>
      <c r="AF418" s="947">
        <v>34933.115954553337</v>
      </c>
      <c r="AG418" s="948"/>
      <c r="AH418" s="949">
        <v>1030.4133396149639</v>
      </c>
      <c r="AI418" s="947">
        <v>34003.640207293807</v>
      </c>
      <c r="AJ418" s="948"/>
      <c r="AK418" s="949">
        <v>993.05572659746474</v>
      </c>
      <c r="AL418" s="947">
        <v>31777.783251118872</v>
      </c>
      <c r="AM418" s="948"/>
      <c r="AN418" s="949">
        <v>1205.0464665516902</v>
      </c>
      <c r="AO418" s="947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0.29485732217720312</v>
      </c>
      <c r="D422" s="953">
        <v>3290.6746312662131</v>
      </c>
      <c r="E422" s="954">
        <v>1467422.549145862</v>
      </c>
      <c r="F422" s="952">
        <v>0.35429315223906799</v>
      </c>
      <c r="G422" s="953"/>
      <c r="H422" s="954">
        <v>79412.920171014135</v>
      </c>
      <c r="I422" s="952">
        <v>0.34865660875556315</v>
      </c>
      <c r="J422" s="953"/>
      <c r="K422" s="954">
        <v>91350.836391733625</v>
      </c>
      <c r="L422" s="952">
        <v>0.31626124866459665</v>
      </c>
      <c r="M422" s="953"/>
      <c r="N422" s="954">
        <v>147540.8700927028</v>
      </c>
      <c r="O422" s="952">
        <v>0.29614639776711277</v>
      </c>
      <c r="P422" s="953"/>
      <c r="Q422" s="954">
        <v>158449.91493498304</v>
      </c>
      <c r="R422" s="952">
        <v>0.27033916526455426</v>
      </c>
      <c r="S422" s="953"/>
      <c r="T422" s="954">
        <v>154027.24643936311</v>
      </c>
      <c r="U422" s="952">
        <v>0.28651598950871704</v>
      </c>
      <c r="V422" s="953"/>
      <c r="W422" s="954">
        <v>127417.29867364554</v>
      </c>
      <c r="X422" s="952">
        <v>0.29934545751289465</v>
      </c>
      <c r="Y422" s="953"/>
      <c r="Z422" s="954">
        <v>117896.75008240336</v>
      </c>
      <c r="AA422" s="952">
        <v>0.30323237351322663</v>
      </c>
      <c r="AB422" s="953"/>
      <c r="AC422" s="954">
        <v>131050.22840065672</v>
      </c>
      <c r="AD422" s="952">
        <v>0.29763890974602109</v>
      </c>
      <c r="AE422" s="953"/>
      <c r="AF422" s="954">
        <v>137718.47376611445</v>
      </c>
      <c r="AG422" s="952">
        <v>0.26842888045868085</v>
      </c>
      <c r="AH422" s="953"/>
      <c r="AI422" s="954">
        <v>114202.9310164334</v>
      </c>
      <c r="AJ422" s="952">
        <v>0.2424757828580941</v>
      </c>
      <c r="AK422" s="953"/>
      <c r="AL422" s="954">
        <v>112223.48668678995</v>
      </c>
      <c r="AM422" s="952">
        <v>0.3230851346750343</v>
      </c>
      <c r="AN422" s="953"/>
      <c r="AO422" s="954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180057</v>
      </c>
      <c r="F423" s="948"/>
      <c r="G423" s="949"/>
      <c r="H423" s="955">
        <v>15577.449745547074</v>
      </c>
      <c r="I423" s="948"/>
      <c r="J423" s="949"/>
      <c r="K423" s="955">
        <v>14595.678753180664</v>
      </c>
      <c r="L423" s="948"/>
      <c r="M423" s="949"/>
      <c r="N423" s="955">
        <v>14595.678753180664</v>
      </c>
      <c r="O423" s="948"/>
      <c r="P423" s="949"/>
      <c r="Q423" s="955">
        <v>15086.564249363866</v>
      </c>
      <c r="R423" s="948"/>
      <c r="S423" s="949"/>
      <c r="T423" s="955">
        <v>15577.449745547074</v>
      </c>
      <c r="U423" s="948"/>
      <c r="V423" s="949"/>
      <c r="W423" s="955">
        <v>14104.793256997455</v>
      </c>
      <c r="X423" s="948"/>
      <c r="Y423" s="949"/>
      <c r="Z423" s="955">
        <v>15577.449745547074</v>
      </c>
      <c r="AA423" s="948"/>
      <c r="AB423" s="949"/>
      <c r="AC423" s="955">
        <v>15086.564249363866</v>
      </c>
      <c r="AD423" s="948"/>
      <c r="AE423" s="949"/>
      <c r="AF423" s="955">
        <v>14595.678753180664</v>
      </c>
      <c r="AG423" s="948"/>
      <c r="AH423" s="949"/>
      <c r="AI423" s="955">
        <v>15577.449745547074</v>
      </c>
      <c r="AJ423" s="948"/>
      <c r="AK423" s="949"/>
      <c r="AL423" s="955">
        <v>14595.678753180664</v>
      </c>
      <c r="AM423" s="948"/>
      <c r="AN423" s="949"/>
      <c r="AO423" s="955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380052.00000000006</v>
      </c>
      <c r="F424" s="948"/>
      <c r="G424" s="949"/>
      <c r="H424" s="947">
        <v>32305.096692111962</v>
      </c>
      <c r="I424" s="948"/>
      <c r="J424" s="949"/>
      <c r="K424" s="947">
        <v>31218.073791348601</v>
      </c>
      <c r="L424" s="948"/>
      <c r="M424" s="949"/>
      <c r="N424" s="947">
        <v>31218.073791348601</v>
      </c>
      <c r="O424" s="948"/>
      <c r="P424" s="949"/>
      <c r="Q424" s="947">
        <v>31761.585241730285</v>
      </c>
      <c r="R424" s="948"/>
      <c r="S424" s="949"/>
      <c r="T424" s="947">
        <v>32305.096692111962</v>
      </c>
      <c r="U424" s="948"/>
      <c r="V424" s="949"/>
      <c r="W424" s="947">
        <v>30674.562340966921</v>
      </c>
      <c r="X424" s="948"/>
      <c r="Y424" s="949"/>
      <c r="Z424" s="947">
        <v>32305.096692111962</v>
      </c>
      <c r="AA424" s="948"/>
      <c r="AB424" s="949"/>
      <c r="AC424" s="947">
        <v>31761.585241730285</v>
      </c>
      <c r="AD424" s="948"/>
      <c r="AE424" s="949"/>
      <c r="AF424" s="947">
        <v>31218.073791348601</v>
      </c>
      <c r="AG424" s="948"/>
      <c r="AH424" s="949"/>
      <c r="AI424" s="947">
        <v>32305.096692111962</v>
      </c>
      <c r="AJ424" s="948"/>
      <c r="AK424" s="949"/>
      <c r="AL424" s="947">
        <v>31218.073791348601</v>
      </c>
      <c r="AM424" s="948"/>
      <c r="AN424" s="949"/>
      <c r="AO424" s="947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234558.99999999994</v>
      </c>
      <c r="F425" s="950"/>
      <c r="G425" s="951"/>
      <c r="H425" s="941">
        <v>20206.106234096689</v>
      </c>
      <c r="I425" s="950"/>
      <c r="J425" s="951"/>
      <c r="K425" s="941">
        <v>19075.495547073791</v>
      </c>
      <c r="L425" s="950"/>
      <c r="M425" s="951"/>
      <c r="N425" s="941">
        <v>19075.495547073791</v>
      </c>
      <c r="O425" s="950"/>
      <c r="P425" s="951"/>
      <c r="Q425" s="941">
        <v>19640.800890585237</v>
      </c>
      <c r="R425" s="950"/>
      <c r="S425" s="951"/>
      <c r="T425" s="941">
        <v>20206.106234096689</v>
      </c>
      <c r="U425" s="950"/>
      <c r="V425" s="951"/>
      <c r="W425" s="941">
        <v>18510.190203562343</v>
      </c>
      <c r="X425" s="950"/>
      <c r="Y425" s="951"/>
      <c r="Z425" s="941">
        <v>20206.106234096689</v>
      </c>
      <c r="AA425" s="950"/>
      <c r="AB425" s="951"/>
      <c r="AC425" s="941">
        <v>19640.800890585237</v>
      </c>
      <c r="AD425" s="950"/>
      <c r="AE425" s="951"/>
      <c r="AF425" s="941">
        <v>19075.495547073791</v>
      </c>
      <c r="AG425" s="950"/>
      <c r="AH425" s="951"/>
      <c r="AI425" s="941">
        <v>20206.106234096689</v>
      </c>
      <c r="AJ425" s="950"/>
      <c r="AK425" s="951"/>
      <c r="AL425" s="941">
        <v>19075.495547073791</v>
      </c>
      <c r="AM425" s="950"/>
      <c r="AN425" s="951"/>
      <c r="AO425" s="941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267853</v>
      </c>
      <c r="F426" s="948"/>
      <c r="G426" s="949"/>
      <c r="H426" s="947">
        <v>23012.774809160306</v>
      </c>
      <c r="I426" s="948"/>
      <c r="J426" s="949"/>
      <c r="K426" s="947">
        <v>21798.446564885497</v>
      </c>
      <c r="L426" s="948"/>
      <c r="M426" s="949"/>
      <c r="N426" s="947">
        <v>20548.446564885497</v>
      </c>
      <c r="O426" s="948"/>
      <c r="P426" s="949"/>
      <c r="Q426" s="947">
        <v>21155.610687022901</v>
      </c>
      <c r="R426" s="948"/>
      <c r="S426" s="949"/>
      <c r="T426" s="947">
        <v>21762.774809160306</v>
      </c>
      <c r="U426" s="948"/>
      <c r="V426" s="949"/>
      <c r="W426" s="947">
        <v>19941.282442748092</v>
      </c>
      <c r="X426" s="948"/>
      <c r="Y426" s="949"/>
      <c r="Z426" s="947">
        <v>21762.774809160306</v>
      </c>
      <c r="AA426" s="948"/>
      <c r="AB426" s="949"/>
      <c r="AC426" s="947">
        <v>21155.610687022901</v>
      </c>
      <c r="AD426" s="948"/>
      <c r="AE426" s="949"/>
      <c r="AF426" s="947">
        <v>21798.446564885497</v>
      </c>
      <c r="AG426" s="948"/>
      <c r="AH426" s="949"/>
      <c r="AI426" s="947">
        <v>27037.774809160306</v>
      </c>
      <c r="AJ426" s="948"/>
      <c r="AK426" s="949"/>
      <c r="AL426" s="947">
        <v>25473.446564885497</v>
      </c>
      <c r="AM426" s="948"/>
      <c r="AN426" s="949"/>
      <c r="AO426" s="947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141979.6030534351</v>
      </c>
      <c r="F427" s="948"/>
      <c r="G427" s="949"/>
      <c r="H427" s="947">
        <v>6963.5101781170479</v>
      </c>
      <c r="I427" s="948"/>
      <c r="J427" s="949"/>
      <c r="K427" s="947">
        <v>6680.3498727735368</v>
      </c>
      <c r="L427" s="948"/>
      <c r="M427" s="949"/>
      <c r="N427" s="947">
        <v>13283.797831091724</v>
      </c>
      <c r="O427" s="948"/>
      <c r="P427" s="949"/>
      <c r="Q427" s="947">
        <v>13563.745330702255</v>
      </c>
      <c r="R427" s="948"/>
      <c r="S427" s="949"/>
      <c r="T427" s="947">
        <v>13843.692830312786</v>
      </c>
      <c r="U427" s="948"/>
      <c r="V427" s="949"/>
      <c r="W427" s="947">
        <v>13003.850331481193</v>
      </c>
      <c r="X427" s="948"/>
      <c r="Y427" s="949"/>
      <c r="Z427" s="947">
        <v>13843.692830312786</v>
      </c>
      <c r="AA427" s="948"/>
      <c r="AB427" s="949"/>
      <c r="AC427" s="947">
        <v>13563.745330702255</v>
      </c>
      <c r="AD427" s="948"/>
      <c r="AE427" s="949"/>
      <c r="AF427" s="947">
        <v>13283.797831091724</v>
      </c>
      <c r="AG427" s="948"/>
      <c r="AH427" s="949"/>
      <c r="AI427" s="947">
        <v>13843.692830312786</v>
      </c>
      <c r="AJ427" s="948"/>
      <c r="AK427" s="949"/>
      <c r="AL427" s="947">
        <v>13283.797831091724</v>
      </c>
      <c r="AM427" s="948"/>
      <c r="AN427" s="949"/>
      <c r="AO427" s="947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9.5189077736248531E-2</v>
      </c>
      <c r="E431" s="941">
        <v>238381.48555344949</v>
      </c>
      <c r="F431" s="950"/>
      <c r="G431" s="956">
        <v>0.10666756576050446</v>
      </c>
      <c r="H431" s="941">
        <v>16815.232483840431</v>
      </c>
      <c r="I431" s="950"/>
      <c r="J431" s="956">
        <v>9.2118709967262249E-2</v>
      </c>
      <c r="K431" s="941">
        <v>15142.450872511236</v>
      </c>
      <c r="L431" s="950"/>
      <c r="M431" s="956">
        <v>8.9015429298990506E-2</v>
      </c>
      <c r="N431" s="941">
        <v>19539.791918603922</v>
      </c>
      <c r="O431" s="950"/>
      <c r="P431" s="956">
        <v>9.3537503036138545E-2</v>
      </c>
      <c r="Q431" s="941">
        <v>23178.318544276182</v>
      </c>
      <c r="R431" s="950"/>
      <c r="S431" s="956">
        <v>9.2510709447930939E-2</v>
      </c>
      <c r="T431" s="941">
        <v>23470.675049928363</v>
      </c>
      <c r="U431" s="950"/>
      <c r="V431" s="956">
        <v>9.5023314739978562E-2</v>
      </c>
      <c r="W431" s="941">
        <v>20347.062217039384</v>
      </c>
      <c r="X431" s="950"/>
      <c r="Y431" s="956">
        <v>0.10075709212124331</v>
      </c>
      <c r="Z431" s="941">
        <v>20888.998574829337</v>
      </c>
      <c r="AA431" s="950"/>
      <c r="AB431" s="956">
        <v>9.1764054005398998E-2</v>
      </c>
      <c r="AC431" s="941">
        <v>19676.706518925879</v>
      </c>
      <c r="AD431" s="950"/>
      <c r="AE431" s="956">
        <v>0.10007656662892533</v>
      </c>
      <c r="AF431" s="941">
        <v>21619.081953445439</v>
      </c>
      <c r="AG431" s="950"/>
      <c r="AH431" s="956">
        <v>9.6856336537682788E-2</v>
      </c>
      <c r="AI431" s="941">
        <v>21146.28216371985</v>
      </c>
      <c r="AJ431" s="950"/>
      <c r="AK431" s="956">
        <v>8.5828174970279877E-2</v>
      </c>
      <c r="AL431" s="941">
        <v>18674.676692114695</v>
      </c>
      <c r="AM431" s="950"/>
      <c r="AN431" s="956">
        <v>0.10309719880432311</v>
      </c>
      <c r="AO431" s="941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0.12629045099793812</v>
      </c>
      <c r="E432" s="947">
        <v>316268.48411663243</v>
      </c>
      <c r="F432" s="948"/>
      <c r="G432" s="957">
        <v>0.13514027679295729</v>
      </c>
      <c r="H432" s="947">
        <v>21303.712670318797</v>
      </c>
      <c r="I432" s="948"/>
      <c r="J432" s="957">
        <v>0.13262932221299201</v>
      </c>
      <c r="K432" s="947">
        <v>21801.575343146131</v>
      </c>
      <c r="L432" s="948"/>
      <c r="M432" s="957">
        <v>0.12816132638656502</v>
      </c>
      <c r="N432" s="947">
        <v>28132.714399369444</v>
      </c>
      <c r="O432" s="948"/>
      <c r="P432" s="957">
        <v>0.12336762802528382</v>
      </c>
      <c r="Q432" s="947">
        <v>30570.135909198278</v>
      </c>
      <c r="R432" s="948"/>
      <c r="S432" s="957">
        <v>0.12111622161963356</v>
      </c>
      <c r="T432" s="947">
        <v>30728.112430156118</v>
      </c>
      <c r="U432" s="948"/>
      <c r="V432" s="957">
        <v>0.12440575708218005</v>
      </c>
      <c r="W432" s="947">
        <v>26638.637964120935</v>
      </c>
      <c r="X432" s="948"/>
      <c r="Y432" s="957">
        <v>0.13093536327878094</v>
      </c>
      <c r="Z432" s="947">
        <v>27145.56920354547</v>
      </c>
      <c r="AA432" s="948"/>
      <c r="AB432" s="957">
        <v>0.13017577879364886</v>
      </c>
      <c r="AC432" s="947">
        <v>27913.224006477969</v>
      </c>
      <c r="AD432" s="948"/>
      <c r="AE432" s="957">
        <v>0.12908048019501073</v>
      </c>
      <c r="AF432" s="947">
        <v>27884.664451702469</v>
      </c>
      <c r="AG432" s="948"/>
      <c r="AH432" s="957">
        <v>0.12373227557322189</v>
      </c>
      <c r="AI432" s="947">
        <v>27014.005542244809</v>
      </c>
      <c r="AJ432" s="948"/>
      <c r="AK432" s="957">
        <v>0.11902932421976012</v>
      </c>
      <c r="AL432" s="947">
        <v>25898.653297179262</v>
      </c>
      <c r="AM432" s="948"/>
      <c r="AN432" s="957">
        <v>0.1224415080669754</v>
      </c>
      <c r="AO432" s="947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5.8432896923949137E-2</v>
      </c>
      <c r="E433" s="947">
        <v>146333.18344062727</v>
      </c>
      <c r="F433" s="948"/>
      <c r="G433" s="957">
        <v>6.1608067361495218E-2</v>
      </c>
      <c r="H433" s="947">
        <v>9711.986658527685</v>
      </c>
      <c r="I433" s="948"/>
      <c r="J433" s="957">
        <v>6.0463367479452211E-2</v>
      </c>
      <c r="K433" s="947">
        <v>9938.9534652577913</v>
      </c>
      <c r="L433" s="948"/>
      <c r="M433" s="957">
        <v>5.8426487029169347E-2</v>
      </c>
      <c r="N433" s="947">
        <v>12825.208035006657</v>
      </c>
      <c r="O433" s="948"/>
      <c r="P433" s="957">
        <v>5.6241124540938214E-2</v>
      </c>
      <c r="Q433" s="947">
        <v>13936.385488016862</v>
      </c>
      <c r="R433" s="948"/>
      <c r="S433" s="957">
        <v>5.5623746225313193E-2</v>
      </c>
      <c r="T433" s="947">
        <v>14112.170153108735</v>
      </c>
      <c r="U433" s="948"/>
      <c r="V433" s="957">
        <v>5.7134495845149354E-2</v>
      </c>
      <c r="W433" s="947">
        <v>12234.041139077763</v>
      </c>
      <c r="X433" s="948"/>
      <c r="Y433" s="957">
        <v>6.0582033755853866E-2</v>
      </c>
      <c r="Z433" s="947">
        <v>12559.890228506112</v>
      </c>
      <c r="AA433" s="948"/>
      <c r="AB433" s="957">
        <v>6.0230584217956934E-2</v>
      </c>
      <c r="AC433" s="947">
        <v>12915.073794042044</v>
      </c>
      <c r="AD433" s="948"/>
      <c r="AE433" s="957">
        <v>6.0172855429253123E-2</v>
      </c>
      <c r="AF433" s="947">
        <v>12998.866135380098</v>
      </c>
      <c r="AG433" s="948"/>
      <c r="AH433" s="957">
        <v>5.8236633531795833E-2</v>
      </c>
      <c r="AI433" s="947">
        <v>12714.586664646175</v>
      </c>
      <c r="AJ433" s="948"/>
      <c r="AK433" s="957">
        <v>5.6334489325382639E-2</v>
      </c>
      <c r="AL433" s="947">
        <v>12257.377896374916</v>
      </c>
      <c r="AM433" s="948"/>
      <c r="AN433" s="957">
        <v>5.8395180770403669E-2</v>
      </c>
      <c r="AO433" s="947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1.3194525111859482E-2</v>
      </c>
      <c r="E434" s="947">
        <v>33042.97690594809</v>
      </c>
      <c r="F434" s="948"/>
      <c r="G434" s="957">
        <v>1.3911499081627955E-2</v>
      </c>
      <c r="H434" s="947">
        <v>2193.0292454739938</v>
      </c>
      <c r="I434" s="948"/>
      <c r="J434" s="957">
        <v>1.3653018463102115E-2</v>
      </c>
      <c r="K434" s="947">
        <v>2244.2798147356307</v>
      </c>
      <c r="L434" s="948"/>
      <c r="M434" s="957">
        <v>1.3193077716264046E-2</v>
      </c>
      <c r="N434" s="947">
        <v>2896.0147175821485</v>
      </c>
      <c r="O434" s="948"/>
      <c r="P434" s="957">
        <v>1.2699608767308626E-2</v>
      </c>
      <c r="Q434" s="947">
        <v>3146.9257553586458</v>
      </c>
      <c r="R434" s="948"/>
      <c r="S434" s="957">
        <v>1.2560200760554592E-2</v>
      </c>
      <c r="T434" s="947">
        <v>3186.6190668310046</v>
      </c>
      <c r="U434" s="948"/>
      <c r="V434" s="957">
        <v>1.2901337771485338E-2</v>
      </c>
      <c r="W434" s="947">
        <v>2762.5254185014301</v>
      </c>
      <c r="X434" s="948"/>
      <c r="Y434" s="957">
        <v>1.3679814073902487E-2</v>
      </c>
      <c r="Z434" s="947">
        <v>2836.1042451465419</v>
      </c>
      <c r="AA434" s="948"/>
      <c r="AB434" s="957">
        <v>1.3600454500828986E-2</v>
      </c>
      <c r="AC434" s="947">
        <v>2916.3069857514292</v>
      </c>
      <c r="AD434" s="948"/>
      <c r="AE434" s="957">
        <v>1.3587418967895868E-2</v>
      </c>
      <c r="AF434" s="947">
        <v>2935.227837021313</v>
      </c>
      <c r="AG434" s="948"/>
      <c r="AH434" s="957">
        <v>1.3150207571695835E-2</v>
      </c>
      <c r="AI434" s="947">
        <v>2871.0356984684913</v>
      </c>
      <c r="AJ434" s="948"/>
      <c r="AK434" s="957">
        <v>1.2720691137989628E-2</v>
      </c>
      <c r="AL434" s="947">
        <v>2767.7950088588518</v>
      </c>
      <c r="AM434" s="948"/>
      <c r="AN434" s="957">
        <v>1.3186008561058893E-2</v>
      </c>
      <c r="AO434" s="947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0.38951888930333817</v>
      </c>
      <c r="D436" s="958"/>
      <c r="E436" s="954">
        <v>1938526.7330700925</v>
      </c>
      <c r="F436" s="952">
        <v>0.66068446576628026</v>
      </c>
      <c r="G436" s="958"/>
      <c r="H436" s="954">
        <v>148088.89871719401</v>
      </c>
      <c r="I436" s="952">
        <v>0.54385850669031</v>
      </c>
      <c r="J436" s="958"/>
      <c r="K436" s="954">
        <v>142495.30402491288</v>
      </c>
      <c r="L436" s="952">
        <v>0.34750210138588339</v>
      </c>
      <c r="M436" s="958"/>
      <c r="N436" s="954">
        <v>162115.22155814242</v>
      </c>
      <c r="O436" s="952">
        <v>0.32154670227375087</v>
      </c>
      <c r="P436" s="958"/>
      <c r="Q436" s="954">
        <v>172040.0720962545</v>
      </c>
      <c r="R436" s="952">
        <v>0.3074874644929344</v>
      </c>
      <c r="S436" s="958"/>
      <c r="T436" s="954">
        <v>175192.69701125307</v>
      </c>
      <c r="U436" s="952">
        <v>0.35577339274738112</v>
      </c>
      <c r="V436" s="958"/>
      <c r="W436" s="954">
        <v>158216.94531449553</v>
      </c>
      <c r="X436" s="952">
        <v>0.42434005919659107</v>
      </c>
      <c r="Y436" s="958"/>
      <c r="Z436" s="954">
        <v>167125.68256325627</v>
      </c>
      <c r="AA436" s="952">
        <v>0.38093050532135792</v>
      </c>
      <c r="AB436" s="958"/>
      <c r="AC436" s="954">
        <v>164629.61770460187</v>
      </c>
      <c r="AD436" s="952">
        <v>0.35748474514322875</v>
      </c>
      <c r="AE436" s="958"/>
      <c r="AF436" s="954">
        <v>165409.33286512957</v>
      </c>
      <c r="AG436" s="952">
        <v>0.40596130291596721</v>
      </c>
      <c r="AH436" s="958"/>
      <c r="AI436" s="954">
        <v>172716.03038030816</v>
      </c>
      <c r="AJ436" s="952">
        <v>0.35271545397102666</v>
      </c>
      <c r="AK436" s="958"/>
      <c r="AL436" s="954">
        <v>163244.99538210797</v>
      </c>
      <c r="AM436" s="952">
        <v>0.49489361576682533</v>
      </c>
      <c r="AN436" s="958"/>
      <c r="AO436" s="954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92952</v>
      </c>
      <c r="F437" s="959"/>
      <c r="G437" s="960"/>
      <c r="H437" s="961">
        <v>6388.8716456583807</v>
      </c>
      <c r="I437" s="959"/>
      <c r="J437" s="960"/>
      <c r="K437" s="961">
        <v>8894.1274689069032</v>
      </c>
      <c r="L437" s="959"/>
      <c r="M437" s="960"/>
      <c r="N437" s="961">
        <v>8949.3036088023237</v>
      </c>
      <c r="O437" s="959"/>
      <c r="P437" s="960"/>
      <c r="Q437" s="961">
        <v>9087.387688515777</v>
      </c>
      <c r="R437" s="959"/>
      <c r="S437" s="960"/>
      <c r="T437" s="961">
        <v>6610.153600624215</v>
      </c>
      <c r="U437" s="959"/>
      <c r="V437" s="960"/>
      <c r="W437" s="961">
        <v>6496.8077945038958</v>
      </c>
      <c r="X437" s="959"/>
      <c r="Y437" s="960"/>
      <c r="Z437" s="961">
        <v>6466.882381805266</v>
      </c>
      <c r="AA437" s="959"/>
      <c r="AB437" s="960"/>
      <c r="AC437" s="961">
        <v>6467.0171988019929</v>
      </c>
      <c r="AD437" s="959"/>
      <c r="AE437" s="960"/>
      <c r="AF437" s="961">
        <v>6466.9786733853471</v>
      </c>
      <c r="AG437" s="959"/>
      <c r="AH437" s="960"/>
      <c r="AI437" s="961">
        <v>9074.8416008156382</v>
      </c>
      <c r="AJ437" s="959"/>
      <c r="AK437" s="960"/>
      <c r="AL437" s="961">
        <v>9136.4808768017629</v>
      </c>
      <c r="AM437" s="959"/>
      <c r="AN437" s="960"/>
      <c r="AO437" s="961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47580</v>
      </c>
      <c r="F438" s="948"/>
      <c r="G438" s="949"/>
      <c r="H438" s="947">
        <v>3965</v>
      </c>
      <c r="I438" s="948"/>
      <c r="J438" s="949"/>
      <c r="K438" s="947">
        <v>3965</v>
      </c>
      <c r="L438" s="948"/>
      <c r="M438" s="949"/>
      <c r="N438" s="947">
        <v>3965</v>
      </c>
      <c r="O438" s="948"/>
      <c r="P438" s="949"/>
      <c r="Q438" s="947">
        <v>3965</v>
      </c>
      <c r="R438" s="948"/>
      <c r="S438" s="949"/>
      <c r="T438" s="947">
        <v>3965</v>
      </c>
      <c r="U438" s="948"/>
      <c r="V438" s="949"/>
      <c r="W438" s="947">
        <v>3965</v>
      </c>
      <c r="X438" s="948"/>
      <c r="Y438" s="949"/>
      <c r="Z438" s="947">
        <v>3965</v>
      </c>
      <c r="AA438" s="948"/>
      <c r="AB438" s="949"/>
      <c r="AC438" s="947">
        <v>3965</v>
      </c>
      <c r="AD438" s="948"/>
      <c r="AE438" s="949"/>
      <c r="AF438" s="947">
        <v>3965</v>
      </c>
      <c r="AG438" s="948"/>
      <c r="AH438" s="949"/>
      <c r="AI438" s="947">
        <v>3965</v>
      </c>
      <c r="AJ438" s="948"/>
      <c r="AK438" s="949"/>
      <c r="AL438" s="947">
        <v>3965</v>
      </c>
      <c r="AM438" s="948"/>
      <c r="AN438" s="949"/>
      <c r="AO438" s="947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183640.00000000003</v>
      </c>
      <c r="F439" s="950"/>
      <c r="G439" s="951"/>
      <c r="H439" s="941">
        <v>15303.333333333334</v>
      </c>
      <c r="I439" s="950"/>
      <c r="J439" s="951"/>
      <c r="K439" s="941">
        <v>15303.333333333334</v>
      </c>
      <c r="L439" s="950"/>
      <c r="M439" s="951"/>
      <c r="N439" s="941">
        <v>15303.333333333334</v>
      </c>
      <c r="O439" s="950"/>
      <c r="P439" s="951"/>
      <c r="Q439" s="941">
        <v>15303.333333333334</v>
      </c>
      <c r="R439" s="950"/>
      <c r="S439" s="951"/>
      <c r="T439" s="941">
        <v>15303.333333333334</v>
      </c>
      <c r="U439" s="950"/>
      <c r="V439" s="951"/>
      <c r="W439" s="941">
        <v>15303.333333333334</v>
      </c>
      <c r="X439" s="950"/>
      <c r="Y439" s="951"/>
      <c r="Z439" s="941">
        <v>15303.333333333334</v>
      </c>
      <c r="AA439" s="950"/>
      <c r="AB439" s="951"/>
      <c r="AC439" s="941">
        <v>15303.333333333334</v>
      </c>
      <c r="AD439" s="950"/>
      <c r="AE439" s="951"/>
      <c r="AF439" s="941">
        <v>15303.333333333334</v>
      </c>
      <c r="AG439" s="950"/>
      <c r="AH439" s="951"/>
      <c r="AI439" s="941">
        <v>15303.333333333334</v>
      </c>
      <c r="AJ439" s="950"/>
      <c r="AK439" s="951"/>
      <c r="AL439" s="941">
        <v>15303.333333333334</v>
      </c>
      <c r="AM439" s="950"/>
      <c r="AN439" s="951"/>
      <c r="AO439" s="941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169116</v>
      </c>
      <c r="F440" s="948"/>
      <c r="G440" s="949"/>
      <c r="H440" s="947">
        <v>14093</v>
      </c>
      <c r="I440" s="948"/>
      <c r="J440" s="949"/>
      <c r="K440" s="947">
        <v>14093</v>
      </c>
      <c r="L440" s="948"/>
      <c r="M440" s="949"/>
      <c r="N440" s="947">
        <v>14093</v>
      </c>
      <c r="O440" s="948"/>
      <c r="P440" s="949"/>
      <c r="Q440" s="947">
        <v>14093</v>
      </c>
      <c r="R440" s="948"/>
      <c r="S440" s="949"/>
      <c r="T440" s="947">
        <v>14093</v>
      </c>
      <c r="U440" s="948"/>
      <c r="V440" s="949"/>
      <c r="W440" s="947">
        <v>14093</v>
      </c>
      <c r="X440" s="948"/>
      <c r="Y440" s="949"/>
      <c r="Z440" s="947">
        <v>14093</v>
      </c>
      <c r="AA440" s="948"/>
      <c r="AB440" s="949"/>
      <c r="AC440" s="947">
        <v>14093</v>
      </c>
      <c r="AD440" s="948"/>
      <c r="AE440" s="949"/>
      <c r="AF440" s="947">
        <v>14093</v>
      </c>
      <c r="AG440" s="948"/>
      <c r="AH440" s="949"/>
      <c r="AI440" s="947">
        <v>14093</v>
      </c>
      <c r="AJ440" s="948"/>
      <c r="AK440" s="949"/>
      <c r="AL440" s="947">
        <v>14093</v>
      </c>
      <c r="AM440" s="948"/>
      <c r="AN440" s="949"/>
      <c r="AO440" s="947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21936</v>
      </c>
      <c r="F441" s="948"/>
      <c r="G441" s="949"/>
      <c r="H441" s="947">
        <v>1828</v>
      </c>
      <c r="I441" s="948"/>
      <c r="J441" s="949"/>
      <c r="K441" s="947">
        <v>1828</v>
      </c>
      <c r="L441" s="948"/>
      <c r="M441" s="949"/>
      <c r="N441" s="947">
        <v>1828</v>
      </c>
      <c r="O441" s="948"/>
      <c r="P441" s="949"/>
      <c r="Q441" s="947">
        <v>1828</v>
      </c>
      <c r="R441" s="948"/>
      <c r="S441" s="949"/>
      <c r="T441" s="947">
        <v>1828</v>
      </c>
      <c r="U441" s="948"/>
      <c r="V441" s="949"/>
      <c r="W441" s="947">
        <v>1828</v>
      </c>
      <c r="X441" s="948"/>
      <c r="Y441" s="949"/>
      <c r="Z441" s="947">
        <v>1828</v>
      </c>
      <c r="AA441" s="948"/>
      <c r="AB441" s="949"/>
      <c r="AC441" s="947">
        <v>1828</v>
      </c>
      <c r="AD441" s="948"/>
      <c r="AE441" s="949"/>
      <c r="AF441" s="947">
        <v>1828</v>
      </c>
      <c r="AG441" s="948"/>
      <c r="AH441" s="949"/>
      <c r="AI441" s="947">
        <v>1828</v>
      </c>
      <c r="AJ441" s="948"/>
      <c r="AK441" s="949"/>
      <c r="AL441" s="947">
        <v>1828</v>
      </c>
      <c r="AM441" s="948"/>
      <c r="AN441" s="949"/>
      <c r="AO441" s="947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131592.00000000003</v>
      </c>
      <c r="F442" s="962"/>
      <c r="G442" s="963"/>
      <c r="H442" s="964">
        <v>10966.000000000002</v>
      </c>
      <c r="I442" s="962"/>
      <c r="J442" s="963"/>
      <c r="K442" s="964">
        <v>10966.000000000002</v>
      </c>
      <c r="L442" s="962"/>
      <c r="M442" s="963"/>
      <c r="N442" s="964">
        <v>10966.000000000002</v>
      </c>
      <c r="O442" s="962"/>
      <c r="P442" s="963"/>
      <c r="Q442" s="964">
        <v>10966.000000000002</v>
      </c>
      <c r="R442" s="962"/>
      <c r="S442" s="963"/>
      <c r="T442" s="964">
        <v>10966.000000000002</v>
      </c>
      <c r="U442" s="962"/>
      <c r="V442" s="963"/>
      <c r="W442" s="964">
        <v>10966.000000000002</v>
      </c>
      <c r="X442" s="962"/>
      <c r="Y442" s="963"/>
      <c r="Z442" s="964">
        <v>10966.000000000002</v>
      </c>
      <c r="AA442" s="962"/>
      <c r="AB442" s="963"/>
      <c r="AC442" s="964">
        <v>10966.000000000002</v>
      </c>
      <c r="AD442" s="962"/>
      <c r="AE442" s="963"/>
      <c r="AF442" s="964">
        <v>10966.000000000002</v>
      </c>
      <c r="AG442" s="962"/>
      <c r="AH442" s="963"/>
      <c r="AI442" s="964">
        <v>10966.000000000002</v>
      </c>
      <c r="AJ442" s="962"/>
      <c r="AK442" s="963"/>
      <c r="AL442" s="964">
        <v>10966.000000000002</v>
      </c>
      <c r="AM442" s="962"/>
      <c r="AN442" s="963"/>
      <c r="AO442" s="964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16230</v>
      </c>
      <c r="F444" s="948"/>
      <c r="G444" s="965"/>
      <c r="H444" s="947">
        <v>1314.4764351523741</v>
      </c>
      <c r="I444" s="948"/>
      <c r="J444" s="965"/>
      <c r="K444" s="947">
        <v>1267.1834396409165</v>
      </c>
      <c r="L444" s="948"/>
      <c r="M444" s="965"/>
      <c r="N444" s="947">
        <v>1452.5782541932435</v>
      </c>
      <c r="O444" s="948"/>
      <c r="P444" s="965"/>
      <c r="Q444" s="947">
        <v>1409.6970233876682</v>
      </c>
      <c r="R444" s="948"/>
      <c r="S444" s="965"/>
      <c r="T444" s="947">
        <v>1346.7790278762106</v>
      </c>
      <c r="U444" s="948"/>
      <c r="V444" s="965"/>
      <c r="W444" s="947">
        <v>1378.4470233876682</v>
      </c>
      <c r="X444" s="948"/>
      <c r="Y444" s="965"/>
      <c r="Z444" s="947">
        <v>1423.9017836050082</v>
      </c>
      <c r="AA444" s="948"/>
      <c r="AB444" s="965"/>
      <c r="AC444" s="947">
        <v>1378.4470233876682</v>
      </c>
      <c r="AD444" s="948"/>
      <c r="AE444" s="965"/>
      <c r="AF444" s="947">
        <v>1388.7411410347272</v>
      </c>
      <c r="AG444" s="948"/>
      <c r="AH444" s="965"/>
      <c r="AI444" s="947">
        <v>1358.0426116229623</v>
      </c>
      <c r="AJ444" s="948"/>
      <c r="AK444" s="965"/>
      <c r="AL444" s="947">
        <v>1356.7558469170799</v>
      </c>
      <c r="AM444" s="948"/>
      <c r="AN444" s="965"/>
      <c r="AO444" s="947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12036</v>
      </c>
      <c r="F445" s="948"/>
      <c r="G445" s="949"/>
      <c r="H445" s="947">
        <v>1003</v>
      </c>
      <c r="I445" s="948"/>
      <c r="J445" s="949"/>
      <c r="K445" s="947">
        <v>1003</v>
      </c>
      <c r="L445" s="948"/>
      <c r="M445" s="949"/>
      <c r="N445" s="947">
        <v>1003</v>
      </c>
      <c r="O445" s="948"/>
      <c r="P445" s="949"/>
      <c r="Q445" s="947">
        <v>1003</v>
      </c>
      <c r="R445" s="948"/>
      <c r="S445" s="949"/>
      <c r="T445" s="947">
        <v>1003</v>
      </c>
      <c r="U445" s="948"/>
      <c r="V445" s="949"/>
      <c r="W445" s="947">
        <v>1003</v>
      </c>
      <c r="X445" s="948"/>
      <c r="Y445" s="949"/>
      <c r="Z445" s="947">
        <v>1003</v>
      </c>
      <c r="AA445" s="948"/>
      <c r="AB445" s="949"/>
      <c r="AC445" s="947">
        <v>1003</v>
      </c>
      <c r="AD445" s="948"/>
      <c r="AE445" s="949"/>
      <c r="AF445" s="947">
        <v>1003</v>
      </c>
      <c r="AG445" s="948"/>
      <c r="AH445" s="949"/>
      <c r="AI445" s="947">
        <v>1003</v>
      </c>
      <c r="AJ445" s="948"/>
      <c r="AK445" s="949"/>
      <c r="AL445" s="947">
        <v>1003</v>
      </c>
      <c r="AM445" s="948"/>
      <c r="AN445" s="949"/>
      <c r="AO445" s="947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21000</v>
      </c>
      <c r="F446" s="948"/>
      <c r="G446" s="949"/>
      <c r="H446" s="947">
        <v>1750</v>
      </c>
      <c r="I446" s="948"/>
      <c r="J446" s="949"/>
      <c r="K446" s="947">
        <v>1750</v>
      </c>
      <c r="L446" s="948"/>
      <c r="M446" s="949"/>
      <c r="N446" s="947">
        <v>1750</v>
      </c>
      <c r="O446" s="948"/>
      <c r="P446" s="949"/>
      <c r="Q446" s="947">
        <v>1750</v>
      </c>
      <c r="R446" s="948"/>
      <c r="S446" s="949"/>
      <c r="T446" s="947">
        <v>1750</v>
      </c>
      <c r="U446" s="948"/>
      <c r="V446" s="949"/>
      <c r="W446" s="947">
        <v>1750</v>
      </c>
      <c r="X446" s="948"/>
      <c r="Y446" s="949"/>
      <c r="Z446" s="947">
        <v>1750</v>
      </c>
      <c r="AA446" s="948"/>
      <c r="AB446" s="949"/>
      <c r="AC446" s="947">
        <v>1750</v>
      </c>
      <c r="AD446" s="948"/>
      <c r="AE446" s="949"/>
      <c r="AF446" s="947">
        <v>1750</v>
      </c>
      <c r="AG446" s="948"/>
      <c r="AH446" s="949"/>
      <c r="AI446" s="947">
        <v>1750</v>
      </c>
      <c r="AJ446" s="948"/>
      <c r="AK446" s="949"/>
      <c r="AL446" s="947">
        <v>1750</v>
      </c>
      <c r="AM446" s="948"/>
      <c r="AN446" s="949"/>
      <c r="AO446" s="947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6144</v>
      </c>
      <c r="F447" s="948"/>
      <c r="G447" s="949"/>
      <c r="H447" s="947">
        <v>512</v>
      </c>
      <c r="I447" s="948"/>
      <c r="J447" s="949"/>
      <c r="K447" s="947">
        <v>512</v>
      </c>
      <c r="L447" s="948"/>
      <c r="M447" s="949"/>
      <c r="N447" s="947">
        <v>512</v>
      </c>
      <c r="O447" s="948"/>
      <c r="P447" s="949"/>
      <c r="Q447" s="947">
        <v>512</v>
      </c>
      <c r="R447" s="948"/>
      <c r="S447" s="949"/>
      <c r="T447" s="947">
        <v>512</v>
      </c>
      <c r="U447" s="948"/>
      <c r="V447" s="949"/>
      <c r="W447" s="947">
        <v>512</v>
      </c>
      <c r="X447" s="948"/>
      <c r="Y447" s="949"/>
      <c r="Z447" s="947">
        <v>512</v>
      </c>
      <c r="AA447" s="948"/>
      <c r="AB447" s="949"/>
      <c r="AC447" s="947">
        <v>512</v>
      </c>
      <c r="AD447" s="948"/>
      <c r="AE447" s="949"/>
      <c r="AF447" s="947">
        <v>512</v>
      </c>
      <c r="AG447" s="948"/>
      <c r="AH447" s="949"/>
      <c r="AI447" s="947">
        <v>512</v>
      </c>
      <c r="AJ447" s="948"/>
      <c r="AK447" s="949"/>
      <c r="AL447" s="947">
        <v>512</v>
      </c>
      <c r="AM447" s="948"/>
      <c r="AN447" s="949"/>
      <c r="AO447" s="947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10500</v>
      </c>
      <c r="F448" s="948"/>
      <c r="G448" s="949"/>
      <c r="H448" s="947">
        <v>875</v>
      </c>
      <c r="I448" s="948"/>
      <c r="J448" s="949"/>
      <c r="K448" s="947">
        <v>875</v>
      </c>
      <c r="L448" s="948"/>
      <c r="M448" s="949"/>
      <c r="N448" s="947">
        <v>875</v>
      </c>
      <c r="O448" s="948"/>
      <c r="P448" s="949"/>
      <c r="Q448" s="947">
        <v>875</v>
      </c>
      <c r="R448" s="948"/>
      <c r="S448" s="949"/>
      <c r="T448" s="947">
        <v>875</v>
      </c>
      <c r="U448" s="948"/>
      <c r="V448" s="949"/>
      <c r="W448" s="947">
        <v>875</v>
      </c>
      <c r="X448" s="948"/>
      <c r="Y448" s="949"/>
      <c r="Z448" s="947">
        <v>875</v>
      </c>
      <c r="AA448" s="948"/>
      <c r="AB448" s="949"/>
      <c r="AC448" s="947">
        <v>875</v>
      </c>
      <c r="AD448" s="948"/>
      <c r="AE448" s="949"/>
      <c r="AF448" s="947">
        <v>875</v>
      </c>
      <c r="AG448" s="948"/>
      <c r="AH448" s="949"/>
      <c r="AI448" s="947">
        <v>875</v>
      </c>
      <c r="AJ448" s="948"/>
      <c r="AK448" s="949"/>
      <c r="AL448" s="947">
        <v>875</v>
      </c>
      <c r="AM448" s="948"/>
      <c r="AN448" s="949"/>
      <c r="AO448" s="947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22296</v>
      </c>
      <c r="F449" s="948"/>
      <c r="G449" s="949"/>
      <c r="H449" s="947">
        <v>1858</v>
      </c>
      <c r="I449" s="948"/>
      <c r="J449" s="949"/>
      <c r="K449" s="947">
        <v>1858</v>
      </c>
      <c r="L449" s="948"/>
      <c r="M449" s="949"/>
      <c r="N449" s="947">
        <v>1858</v>
      </c>
      <c r="O449" s="948"/>
      <c r="P449" s="949"/>
      <c r="Q449" s="947">
        <v>1858</v>
      </c>
      <c r="R449" s="948"/>
      <c r="S449" s="949"/>
      <c r="T449" s="947">
        <v>1858</v>
      </c>
      <c r="U449" s="948"/>
      <c r="V449" s="949"/>
      <c r="W449" s="947">
        <v>1858</v>
      </c>
      <c r="X449" s="948"/>
      <c r="Y449" s="949"/>
      <c r="Z449" s="947">
        <v>1858</v>
      </c>
      <c r="AA449" s="948"/>
      <c r="AB449" s="949"/>
      <c r="AC449" s="947">
        <v>1858</v>
      </c>
      <c r="AD449" s="948"/>
      <c r="AE449" s="949"/>
      <c r="AF449" s="947">
        <v>1858</v>
      </c>
      <c r="AG449" s="948"/>
      <c r="AH449" s="949"/>
      <c r="AI449" s="947">
        <v>1858</v>
      </c>
      <c r="AJ449" s="948"/>
      <c r="AK449" s="949"/>
      <c r="AL449" s="947">
        <v>1858</v>
      </c>
      <c r="AM449" s="948"/>
      <c r="AN449" s="949"/>
      <c r="AO449" s="947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31318.812799999989</v>
      </c>
      <c r="F450" s="948"/>
      <c r="G450" s="949"/>
      <c r="H450" s="947">
        <v>2609.9010666666663</v>
      </c>
      <c r="I450" s="948"/>
      <c r="J450" s="949"/>
      <c r="K450" s="947">
        <v>2609.9010666666663</v>
      </c>
      <c r="L450" s="948"/>
      <c r="M450" s="949"/>
      <c r="N450" s="947">
        <v>2609.9010666666663</v>
      </c>
      <c r="O450" s="948"/>
      <c r="P450" s="949"/>
      <c r="Q450" s="947">
        <v>2609.9010666666663</v>
      </c>
      <c r="R450" s="948"/>
      <c r="S450" s="949"/>
      <c r="T450" s="947">
        <v>2609.9010666666663</v>
      </c>
      <c r="U450" s="948"/>
      <c r="V450" s="949"/>
      <c r="W450" s="947">
        <v>2609.9010666666663</v>
      </c>
      <c r="X450" s="948"/>
      <c r="Y450" s="949"/>
      <c r="Z450" s="947">
        <v>2609.9010666666663</v>
      </c>
      <c r="AA450" s="948"/>
      <c r="AB450" s="949"/>
      <c r="AC450" s="947">
        <v>2609.9010666666663</v>
      </c>
      <c r="AD450" s="948"/>
      <c r="AE450" s="949"/>
      <c r="AF450" s="947">
        <v>2609.9010666666663</v>
      </c>
      <c r="AG450" s="948"/>
      <c r="AH450" s="949"/>
      <c r="AI450" s="947">
        <v>2609.9010666666663</v>
      </c>
      <c r="AJ450" s="948"/>
      <c r="AK450" s="949"/>
      <c r="AL450" s="947">
        <v>2609.9010666666663</v>
      </c>
      <c r="AM450" s="948"/>
      <c r="AN450" s="949"/>
      <c r="AO450" s="947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68228.316899655183</v>
      </c>
      <c r="F451" s="948"/>
      <c r="G451" s="949"/>
      <c r="H451" s="947">
        <v>2883.6524315150359</v>
      </c>
      <c r="I451" s="948"/>
      <c r="J451" s="949"/>
      <c r="K451" s="947">
        <v>3589.5571747548856</v>
      </c>
      <c r="L451" s="948"/>
      <c r="M451" s="949"/>
      <c r="N451" s="947">
        <v>6831.1065975990732</v>
      </c>
      <c r="O451" s="948"/>
      <c r="P451" s="949"/>
      <c r="Q451" s="947">
        <v>7831.6980772679981</v>
      </c>
      <c r="R451" s="948"/>
      <c r="S451" s="949"/>
      <c r="T451" s="947">
        <v>7974.7492394861947</v>
      </c>
      <c r="U451" s="948"/>
      <c r="V451" s="949"/>
      <c r="W451" s="947">
        <v>6182.4022638598908</v>
      </c>
      <c r="X451" s="948"/>
      <c r="Y451" s="949"/>
      <c r="Z451" s="947">
        <v>5470.0993095471003</v>
      </c>
      <c r="AA451" s="948"/>
      <c r="AB451" s="949"/>
      <c r="AC451" s="947">
        <v>6185.4364206801329</v>
      </c>
      <c r="AD451" s="948"/>
      <c r="AE451" s="949"/>
      <c r="AF451" s="947">
        <v>6699.9643405681345</v>
      </c>
      <c r="AG451" s="948"/>
      <c r="AH451" s="949"/>
      <c r="AI451" s="947">
        <v>5246.247612713385</v>
      </c>
      <c r="AJ451" s="948"/>
      <c r="AK451" s="949"/>
      <c r="AL451" s="947">
        <v>5396.6953788307801</v>
      </c>
      <c r="AM451" s="948"/>
      <c r="AN451" s="949"/>
      <c r="AO451" s="947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>
        <v>0</v>
      </c>
      <c r="I452" s="948"/>
      <c r="J452" s="949"/>
      <c r="K452" s="947">
        <v>0</v>
      </c>
      <c r="L452" s="948"/>
      <c r="M452" s="949"/>
      <c r="N452" s="947">
        <v>0</v>
      </c>
      <c r="O452" s="948"/>
      <c r="P452" s="949"/>
      <c r="Q452" s="947">
        <v>0</v>
      </c>
      <c r="R452" s="948"/>
      <c r="S452" s="949"/>
      <c r="T452" s="947">
        <v>0</v>
      </c>
      <c r="U452" s="948"/>
      <c r="V452" s="949"/>
      <c r="W452" s="947">
        <v>0</v>
      </c>
      <c r="X452" s="948"/>
      <c r="Y452" s="949"/>
      <c r="Z452" s="947">
        <v>0</v>
      </c>
      <c r="AA452" s="948"/>
      <c r="AB452" s="949"/>
      <c r="AC452" s="947">
        <v>0</v>
      </c>
      <c r="AD452" s="948"/>
      <c r="AE452" s="949"/>
      <c r="AF452" s="947">
        <v>0</v>
      </c>
      <c r="AG452" s="948"/>
      <c r="AH452" s="949"/>
      <c r="AI452" s="947">
        <v>0</v>
      </c>
      <c r="AJ452" s="948"/>
      <c r="AK452" s="949"/>
      <c r="AL452" s="947">
        <v>0</v>
      </c>
      <c r="AM452" s="948"/>
      <c r="AN452" s="949"/>
      <c r="AO452" s="947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>
        <v>0</v>
      </c>
      <c r="I453" s="948"/>
      <c r="J453" s="949"/>
      <c r="K453" s="947">
        <v>0</v>
      </c>
      <c r="L453" s="948"/>
      <c r="M453" s="949"/>
      <c r="N453" s="947">
        <v>0</v>
      </c>
      <c r="O453" s="948"/>
      <c r="P453" s="949"/>
      <c r="Q453" s="947">
        <v>0</v>
      </c>
      <c r="R453" s="948"/>
      <c r="S453" s="949"/>
      <c r="T453" s="947">
        <v>0</v>
      </c>
      <c r="U453" s="948"/>
      <c r="V453" s="949"/>
      <c r="W453" s="947">
        <v>0</v>
      </c>
      <c r="X453" s="948"/>
      <c r="Y453" s="949"/>
      <c r="Z453" s="947">
        <v>0</v>
      </c>
      <c r="AA453" s="948"/>
      <c r="AB453" s="949"/>
      <c r="AC453" s="947">
        <v>0</v>
      </c>
      <c r="AD453" s="948"/>
      <c r="AE453" s="949"/>
      <c r="AF453" s="947">
        <v>0</v>
      </c>
      <c r="AG453" s="948"/>
      <c r="AH453" s="949"/>
      <c r="AI453" s="947">
        <v>0</v>
      </c>
      <c r="AJ453" s="948"/>
      <c r="AK453" s="949"/>
      <c r="AL453" s="947">
        <v>0</v>
      </c>
      <c r="AM453" s="948"/>
      <c r="AN453" s="949"/>
      <c r="AO453" s="947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>
        <v>0</v>
      </c>
      <c r="I454" s="948"/>
      <c r="J454" s="949"/>
      <c r="K454" s="947">
        <v>0</v>
      </c>
      <c r="L454" s="948"/>
      <c r="M454" s="949"/>
      <c r="N454" s="947">
        <v>0</v>
      </c>
      <c r="O454" s="948"/>
      <c r="P454" s="949"/>
      <c r="Q454" s="947">
        <v>0</v>
      </c>
      <c r="R454" s="948"/>
      <c r="S454" s="949"/>
      <c r="T454" s="947">
        <v>0</v>
      </c>
      <c r="U454" s="948"/>
      <c r="V454" s="949"/>
      <c r="W454" s="947">
        <v>0</v>
      </c>
      <c r="X454" s="948"/>
      <c r="Y454" s="949"/>
      <c r="Z454" s="947">
        <v>0</v>
      </c>
      <c r="AA454" s="948"/>
      <c r="AB454" s="949"/>
      <c r="AC454" s="947">
        <v>0</v>
      </c>
      <c r="AD454" s="948"/>
      <c r="AE454" s="949"/>
      <c r="AF454" s="947">
        <v>0</v>
      </c>
      <c r="AG454" s="948"/>
      <c r="AH454" s="949"/>
      <c r="AI454" s="947">
        <v>0</v>
      </c>
      <c r="AJ454" s="948"/>
      <c r="AK454" s="949"/>
      <c r="AL454" s="947">
        <v>0</v>
      </c>
      <c r="AM454" s="948"/>
      <c r="AN454" s="949"/>
      <c r="AO454" s="947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0.16769458728723607</v>
      </c>
      <c r="D455" s="953"/>
      <c r="E455" s="954">
        <v>834569.12969965511</v>
      </c>
      <c r="F455" s="952">
        <v>0.29155382621356418</v>
      </c>
      <c r="G455" s="953"/>
      <c r="H455" s="954">
        <v>65350.234912325795</v>
      </c>
      <c r="I455" s="952">
        <v>0.26149617854972429</v>
      </c>
      <c r="J455" s="953"/>
      <c r="K455" s="954">
        <v>68514.102483302704</v>
      </c>
      <c r="L455" s="952">
        <v>0.15432751160217267</v>
      </c>
      <c r="M455" s="953"/>
      <c r="N455" s="954">
        <v>71996.222860594644</v>
      </c>
      <c r="O455" s="952">
        <v>0.13661059777145992</v>
      </c>
      <c r="P455" s="953"/>
      <c r="Q455" s="954">
        <v>73092.017189171442</v>
      </c>
      <c r="R455" s="952">
        <v>0.12407937617620692</v>
      </c>
      <c r="S455" s="953"/>
      <c r="T455" s="954">
        <v>70694.916267986628</v>
      </c>
      <c r="U455" s="952">
        <v>0.15475360117522646</v>
      </c>
      <c r="V455" s="953"/>
      <c r="W455" s="954">
        <v>68820.89148175146</v>
      </c>
      <c r="X455" s="952">
        <v>0.17297037635632992</v>
      </c>
      <c r="Y455" s="953"/>
      <c r="Z455" s="954">
        <v>68124.117874957374</v>
      </c>
      <c r="AA455" s="952">
        <v>0.15918025559682514</v>
      </c>
      <c r="AB455" s="953"/>
      <c r="AC455" s="954">
        <v>68794.135042869806</v>
      </c>
      <c r="AD455" s="952">
        <v>0.14981292472438373</v>
      </c>
      <c r="AE455" s="953"/>
      <c r="AF455" s="954">
        <v>69318.91855498821</v>
      </c>
      <c r="AG455" s="952">
        <v>0.16557163055611099</v>
      </c>
      <c r="AH455" s="953"/>
      <c r="AI455" s="954">
        <v>70442.366225151985</v>
      </c>
      <c r="AJ455" s="952">
        <v>0.15265683115801457</v>
      </c>
      <c r="AK455" s="953"/>
      <c r="AL455" s="954">
        <v>70653.166502549619</v>
      </c>
      <c r="AM455" s="952">
        <v>0.23111997822426597</v>
      </c>
      <c r="AN455" s="953"/>
      <c r="AO455" s="954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70465.680000000008</v>
      </c>
      <c r="F457" s="948"/>
      <c r="G457" s="949"/>
      <c r="H457" s="955">
        <v>5872.14</v>
      </c>
      <c r="I457" s="948"/>
      <c r="J457" s="949"/>
      <c r="K457" s="955">
        <v>5872.14</v>
      </c>
      <c r="L457" s="948"/>
      <c r="M457" s="949"/>
      <c r="N457" s="955">
        <v>5872.14</v>
      </c>
      <c r="O457" s="948"/>
      <c r="P457" s="949"/>
      <c r="Q457" s="955">
        <v>5872.14</v>
      </c>
      <c r="R457" s="948"/>
      <c r="S457" s="949"/>
      <c r="T457" s="955">
        <v>5872.14</v>
      </c>
      <c r="U457" s="948"/>
      <c r="V457" s="949"/>
      <c r="W457" s="955">
        <v>5872.14</v>
      </c>
      <c r="X457" s="948"/>
      <c r="Y457" s="949"/>
      <c r="Z457" s="955">
        <v>5872.14</v>
      </c>
      <c r="AA457" s="948"/>
      <c r="AB457" s="949"/>
      <c r="AC457" s="955">
        <v>5872.14</v>
      </c>
      <c r="AD457" s="948"/>
      <c r="AE457" s="949"/>
      <c r="AF457" s="955">
        <v>5872.14</v>
      </c>
      <c r="AG457" s="948"/>
      <c r="AH457" s="949"/>
      <c r="AI457" s="955">
        <v>5872.14</v>
      </c>
      <c r="AJ457" s="948"/>
      <c r="AK457" s="949"/>
      <c r="AL457" s="955">
        <v>5872.14</v>
      </c>
      <c r="AM457" s="948"/>
      <c r="AN457" s="949"/>
      <c r="AO457" s="955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30199.560000000009</v>
      </c>
      <c r="F458" s="950"/>
      <c r="G458" s="951"/>
      <c r="H458" s="966">
        <v>2516.63</v>
      </c>
      <c r="I458" s="950"/>
      <c r="J458" s="951"/>
      <c r="K458" s="966">
        <v>2516.63</v>
      </c>
      <c r="L458" s="950"/>
      <c r="M458" s="951"/>
      <c r="N458" s="966">
        <v>2516.63</v>
      </c>
      <c r="O458" s="950"/>
      <c r="P458" s="951"/>
      <c r="Q458" s="966">
        <v>2516.63</v>
      </c>
      <c r="R458" s="950"/>
      <c r="S458" s="951"/>
      <c r="T458" s="966">
        <v>2516.63</v>
      </c>
      <c r="U458" s="950"/>
      <c r="V458" s="951"/>
      <c r="W458" s="966">
        <v>2516.63</v>
      </c>
      <c r="X458" s="950"/>
      <c r="Y458" s="951"/>
      <c r="Z458" s="966">
        <v>2516.63</v>
      </c>
      <c r="AA458" s="950"/>
      <c r="AB458" s="951"/>
      <c r="AC458" s="966">
        <v>2516.63</v>
      </c>
      <c r="AD458" s="950"/>
      <c r="AE458" s="951"/>
      <c r="AF458" s="966">
        <v>2516.63</v>
      </c>
      <c r="AG458" s="950"/>
      <c r="AH458" s="951"/>
      <c r="AI458" s="966">
        <v>2516.63</v>
      </c>
      <c r="AJ458" s="950"/>
      <c r="AK458" s="951"/>
      <c r="AL458" s="966">
        <v>2516.63</v>
      </c>
      <c r="AM458" s="950"/>
      <c r="AN458" s="951"/>
      <c r="AO458" s="966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52197</v>
      </c>
      <c r="F460" s="950"/>
      <c r="G460" s="951"/>
      <c r="H460" s="966">
        <v>4349.75</v>
      </c>
      <c r="I460" s="950"/>
      <c r="J460" s="951"/>
      <c r="K460" s="966">
        <v>4349.75</v>
      </c>
      <c r="L460" s="950"/>
      <c r="M460" s="951"/>
      <c r="N460" s="966">
        <v>4349.75</v>
      </c>
      <c r="O460" s="950"/>
      <c r="P460" s="951"/>
      <c r="Q460" s="966">
        <v>4349.75</v>
      </c>
      <c r="R460" s="950"/>
      <c r="S460" s="951"/>
      <c r="T460" s="966">
        <v>4349.75</v>
      </c>
      <c r="U460" s="950"/>
      <c r="V460" s="951"/>
      <c r="W460" s="966">
        <v>4349.75</v>
      </c>
      <c r="X460" s="950"/>
      <c r="Y460" s="951"/>
      <c r="Z460" s="966">
        <v>4349.75</v>
      </c>
      <c r="AA460" s="950"/>
      <c r="AB460" s="951"/>
      <c r="AC460" s="966">
        <v>4349.75</v>
      </c>
      <c r="AD460" s="950"/>
      <c r="AE460" s="951"/>
      <c r="AF460" s="966">
        <v>4349.75</v>
      </c>
      <c r="AG460" s="950"/>
      <c r="AH460" s="951"/>
      <c r="AI460" s="966">
        <v>4349.75</v>
      </c>
      <c r="AJ460" s="950"/>
      <c r="AK460" s="951"/>
      <c r="AL460" s="966">
        <v>4349.75</v>
      </c>
      <c r="AM460" s="950"/>
      <c r="AN460" s="951"/>
      <c r="AO460" s="966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55200</v>
      </c>
      <c r="F461" s="948"/>
      <c r="G461" s="949"/>
      <c r="H461" s="955">
        <v>4600</v>
      </c>
      <c r="I461" s="948"/>
      <c r="J461" s="949"/>
      <c r="K461" s="955">
        <v>4600</v>
      </c>
      <c r="L461" s="948"/>
      <c r="M461" s="949"/>
      <c r="N461" s="955">
        <v>4600</v>
      </c>
      <c r="O461" s="948"/>
      <c r="P461" s="949"/>
      <c r="Q461" s="955">
        <v>4600</v>
      </c>
      <c r="R461" s="948"/>
      <c r="S461" s="949"/>
      <c r="T461" s="955">
        <v>4600</v>
      </c>
      <c r="U461" s="948"/>
      <c r="V461" s="949"/>
      <c r="W461" s="955">
        <v>4600</v>
      </c>
      <c r="X461" s="948"/>
      <c r="Y461" s="949"/>
      <c r="Z461" s="955">
        <v>4600</v>
      </c>
      <c r="AA461" s="948"/>
      <c r="AB461" s="949"/>
      <c r="AC461" s="955">
        <v>4600</v>
      </c>
      <c r="AD461" s="948"/>
      <c r="AE461" s="949"/>
      <c r="AF461" s="955">
        <v>4600</v>
      </c>
      <c r="AG461" s="948"/>
      <c r="AH461" s="949"/>
      <c r="AI461" s="955">
        <v>4600</v>
      </c>
      <c r="AJ461" s="948"/>
      <c r="AK461" s="949"/>
      <c r="AL461" s="955">
        <v>4600</v>
      </c>
      <c r="AM461" s="948"/>
      <c r="AN461" s="949"/>
      <c r="AO461" s="955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79716</v>
      </c>
      <c r="F462" s="948"/>
      <c r="G462" s="949"/>
      <c r="H462" s="955">
        <v>6643</v>
      </c>
      <c r="I462" s="948"/>
      <c r="J462" s="949"/>
      <c r="K462" s="955">
        <v>6643</v>
      </c>
      <c r="L462" s="948"/>
      <c r="M462" s="949"/>
      <c r="N462" s="955">
        <v>6643</v>
      </c>
      <c r="O462" s="948"/>
      <c r="P462" s="949"/>
      <c r="Q462" s="955">
        <v>6643</v>
      </c>
      <c r="R462" s="948"/>
      <c r="S462" s="949"/>
      <c r="T462" s="955">
        <v>6643</v>
      </c>
      <c r="U462" s="948"/>
      <c r="V462" s="949"/>
      <c r="W462" s="955">
        <v>6643</v>
      </c>
      <c r="X462" s="948"/>
      <c r="Y462" s="949"/>
      <c r="Z462" s="955">
        <v>6643</v>
      </c>
      <c r="AA462" s="948"/>
      <c r="AB462" s="949"/>
      <c r="AC462" s="955">
        <v>6643</v>
      </c>
      <c r="AD462" s="948"/>
      <c r="AE462" s="949"/>
      <c r="AF462" s="955">
        <v>6643</v>
      </c>
      <c r="AG462" s="948"/>
      <c r="AH462" s="949"/>
      <c r="AI462" s="955">
        <v>6643</v>
      </c>
      <c r="AJ462" s="948"/>
      <c r="AK462" s="949"/>
      <c r="AL462" s="955">
        <v>6643</v>
      </c>
      <c r="AM462" s="948"/>
      <c r="AN462" s="949"/>
      <c r="AO462" s="955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6000</v>
      </c>
      <c r="F463" s="950"/>
      <c r="G463" s="951"/>
      <c r="H463" s="966">
        <v>500</v>
      </c>
      <c r="I463" s="950"/>
      <c r="J463" s="951"/>
      <c r="K463" s="966">
        <v>500</v>
      </c>
      <c r="L463" s="950"/>
      <c r="M463" s="951"/>
      <c r="N463" s="966">
        <v>500</v>
      </c>
      <c r="O463" s="950"/>
      <c r="P463" s="951"/>
      <c r="Q463" s="966">
        <v>500</v>
      </c>
      <c r="R463" s="950"/>
      <c r="S463" s="951"/>
      <c r="T463" s="966">
        <v>500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500</v>
      </c>
      <c r="AJ463" s="950"/>
      <c r="AK463" s="951"/>
      <c r="AL463" s="966">
        <v>500</v>
      </c>
      <c r="AM463" s="950"/>
      <c r="AN463" s="951"/>
      <c r="AO463" s="966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3300</v>
      </c>
      <c r="F464" s="948"/>
      <c r="G464" s="949"/>
      <c r="H464" s="955">
        <v>275</v>
      </c>
      <c r="I464" s="948"/>
      <c r="J464" s="949"/>
      <c r="K464" s="955">
        <v>275</v>
      </c>
      <c r="L464" s="948"/>
      <c r="M464" s="949"/>
      <c r="N464" s="955">
        <v>275</v>
      </c>
      <c r="O464" s="948"/>
      <c r="P464" s="949"/>
      <c r="Q464" s="955">
        <v>275</v>
      </c>
      <c r="R464" s="948"/>
      <c r="S464" s="949"/>
      <c r="T464" s="955">
        <v>275</v>
      </c>
      <c r="U464" s="948"/>
      <c r="V464" s="949"/>
      <c r="W464" s="955">
        <v>275</v>
      </c>
      <c r="X464" s="948"/>
      <c r="Y464" s="949"/>
      <c r="Z464" s="955">
        <v>275</v>
      </c>
      <c r="AA464" s="948"/>
      <c r="AB464" s="949"/>
      <c r="AC464" s="955">
        <v>275</v>
      </c>
      <c r="AD464" s="948"/>
      <c r="AE464" s="949"/>
      <c r="AF464" s="955">
        <v>275</v>
      </c>
      <c r="AG464" s="948"/>
      <c r="AH464" s="949"/>
      <c r="AI464" s="955">
        <v>275</v>
      </c>
      <c r="AJ464" s="948"/>
      <c r="AK464" s="949"/>
      <c r="AL464" s="955">
        <v>275</v>
      </c>
      <c r="AM464" s="948"/>
      <c r="AN464" s="949"/>
      <c r="AO464" s="955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0.18025488826228064</v>
      </c>
      <c r="D469" s="953"/>
      <c r="E469" s="954">
        <v>897078.24000000011</v>
      </c>
      <c r="F469" s="952">
        <v>0.33351906798272185</v>
      </c>
      <c r="G469" s="953"/>
      <c r="H469" s="954">
        <v>74756.51999999999</v>
      </c>
      <c r="I469" s="952">
        <v>0.28532146803557895</v>
      </c>
      <c r="J469" s="953"/>
      <c r="K469" s="954">
        <v>74756.51999999999</v>
      </c>
      <c r="L469" s="952">
        <v>0.16024434684548622</v>
      </c>
      <c r="M469" s="953"/>
      <c r="N469" s="954">
        <v>74756.51999999999</v>
      </c>
      <c r="O469" s="952">
        <v>0.13972159036304557</v>
      </c>
      <c r="P469" s="953"/>
      <c r="Q469" s="954">
        <v>74756.51999999999</v>
      </c>
      <c r="R469" s="952">
        <v>0.13120805365328012</v>
      </c>
      <c r="S469" s="953"/>
      <c r="T469" s="954">
        <v>74756.51999999999</v>
      </c>
      <c r="U469" s="952">
        <v>0.16810070942477448</v>
      </c>
      <c r="V469" s="953"/>
      <c r="W469" s="954">
        <v>74756.51999999999</v>
      </c>
      <c r="X469" s="952">
        <v>0.18981036089485795</v>
      </c>
      <c r="Y469" s="953"/>
      <c r="Z469" s="954">
        <v>74756.51999999999</v>
      </c>
      <c r="AA469" s="952">
        <v>0.17297640203941372</v>
      </c>
      <c r="AB469" s="953"/>
      <c r="AC469" s="954">
        <v>74756.51999999999</v>
      </c>
      <c r="AD469" s="952">
        <v>0.16156473783607472</v>
      </c>
      <c r="AE469" s="953"/>
      <c r="AF469" s="954">
        <v>74756.51999999999</v>
      </c>
      <c r="AG469" s="952">
        <v>0.17571185600918979</v>
      </c>
      <c r="AH469" s="953"/>
      <c r="AI469" s="954">
        <v>74756.51999999999</v>
      </c>
      <c r="AJ469" s="952">
        <v>0.16152274578081247</v>
      </c>
      <c r="AK469" s="953"/>
      <c r="AL469" s="954">
        <v>74756.51999999999</v>
      </c>
      <c r="AM469" s="952">
        <v>0.25124643945271075</v>
      </c>
      <c r="AN469" s="953"/>
      <c r="AO469" s="954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209689.12969965517</v>
      </c>
      <c r="F470" s="967"/>
      <c r="G470" s="968"/>
      <c r="H470" s="969">
        <v>14634.029933334075</v>
      </c>
      <c r="I470" s="967"/>
      <c r="J470" s="968"/>
      <c r="K470" s="969">
        <v>15292.641681062469</v>
      </c>
      <c r="L470" s="967"/>
      <c r="M470" s="968"/>
      <c r="N470" s="969">
        <v>18719.585918458986</v>
      </c>
      <c r="O470" s="967"/>
      <c r="P470" s="968"/>
      <c r="Q470" s="969">
        <v>19677.296167322333</v>
      </c>
      <c r="R470" s="967"/>
      <c r="S470" s="968"/>
      <c r="T470" s="969">
        <v>19757.429334029071</v>
      </c>
      <c r="U470" s="967"/>
      <c r="V470" s="968"/>
      <c r="W470" s="969">
        <v>17996.750353914227</v>
      </c>
      <c r="X470" s="967"/>
      <c r="Y470" s="968"/>
      <c r="Z470" s="969">
        <v>17329.902159818776</v>
      </c>
      <c r="AA470" s="967"/>
      <c r="AB470" s="968"/>
      <c r="AC470" s="969">
        <v>17999.784510734469</v>
      </c>
      <c r="AD470" s="967"/>
      <c r="AE470" s="968"/>
      <c r="AF470" s="969">
        <v>18524.606548269527</v>
      </c>
      <c r="AG470" s="967"/>
      <c r="AH470" s="968"/>
      <c r="AI470" s="969">
        <v>17040.191291003015</v>
      </c>
      <c r="AJ470" s="967"/>
      <c r="AK470" s="968"/>
      <c r="AL470" s="969">
        <v>17189.352292414525</v>
      </c>
      <c r="AM470" s="967"/>
      <c r="AN470" s="968"/>
      <c r="AO470" s="969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1.0323256870300581</v>
      </c>
      <c r="D471" s="953"/>
      <c r="E471" s="954">
        <v>5137596.6519156098</v>
      </c>
      <c r="F471" s="952">
        <v>1.6400505122016342</v>
      </c>
      <c r="G471" s="953"/>
      <c r="H471" s="954">
        <v>367608.57380053389</v>
      </c>
      <c r="I471" s="952">
        <v>1.4393327620311764</v>
      </c>
      <c r="J471" s="953"/>
      <c r="K471" s="954">
        <v>377116.76289994922</v>
      </c>
      <c r="L471" s="952">
        <v>0.97833520849813904</v>
      </c>
      <c r="M471" s="953"/>
      <c r="N471" s="954">
        <v>456408.8345114399</v>
      </c>
      <c r="O471" s="952">
        <v>0.89402528817536908</v>
      </c>
      <c r="P471" s="953"/>
      <c r="Q471" s="954">
        <v>478338.52422040899</v>
      </c>
      <c r="R471" s="952">
        <v>0.83311405958697582</v>
      </c>
      <c r="S471" s="953"/>
      <c r="T471" s="954">
        <v>474671.37971860287</v>
      </c>
      <c r="U471" s="952">
        <v>0.96514369285609913</v>
      </c>
      <c r="V471" s="953"/>
      <c r="W471" s="954">
        <v>429211.65546989255</v>
      </c>
      <c r="X471" s="952">
        <v>1.0864662539606738</v>
      </c>
      <c r="Y471" s="953"/>
      <c r="Z471" s="954">
        <v>427903.07052061707</v>
      </c>
      <c r="AA471" s="952">
        <v>1.0163195364708235</v>
      </c>
      <c r="AB471" s="953"/>
      <c r="AC471" s="954">
        <v>439230.50114812842</v>
      </c>
      <c r="AD471" s="952">
        <v>0.96650131744970835</v>
      </c>
      <c r="AE471" s="953"/>
      <c r="AF471" s="954">
        <v>447203.24518623226</v>
      </c>
      <c r="AG471" s="952">
        <v>1.0156736699399489</v>
      </c>
      <c r="AH471" s="953"/>
      <c r="AI471" s="954">
        <v>432117.84762189351</v>
      </c>
      <c r="AJ471" s="952">
        <v>0.90937081376794759</v>
      </c>
      <c r="AK471" s="953"/>
      <c r="AL471" s="954">
        <v>420878.16857144749</v>
      </c>
      <c r="AM471" s="952">
        <v>1.3003451681188365</v>
      </c>
      <c r="AN471" s="953"/>
      <c r="AO471" s="954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10800</v>
      </c>
      <c r="F472" s="970"/>
      <c r="G472" s="971"/>
      <c r="H472" s="972">
        <v>900</v>
      </c>
      <c r="I472" s="970"/>
      <c r="J472" s="971"/>
      <c r="K472" s="972">
        <v>900</v>
      </c>
      <c r="L472" s="970"/>
      <c r="M472" s="971"/>
      <c r="N472" s="972">
        <v>900</v>
      </c>
      <c r="O472" s="970"/>
      <c r="P472" s="971"/>
      <c r="Q472" s="972">
        <v>900</v>
      </c>
      <c r="R472" s="970"/>
      <c r="S472" s="971"/>
      <c r="T472" s="972">
        <v>900</v>
      </c>
      <c r="U472" s="970"/>
      <c r="V472" s="971"/>
      <c r="W472" s="972">
        <v>900</v>
      </c>
      <c r="X472" s="970"/>
      <c r="Y472" s="971"/>
      <c r="Z472" s="972">
        <v>900</v>
      </c>
      <c r="AA472" s="970"/>
      <c r="AB472" s="971"/>
      <c r="AC472" s="972">
        <v>900</v>
      </c>
      <c r="AD472" s="970"/>
      <c r="AE472" s="971"/>
      <c r="AF472" s="972">
        <v>900</v>
      </c>
      <c r="AG472" s="970"/>
      <c r="AH472" s="971"/>
      <c r="AI472" s="972">
        <v>900</v>
      </c>
      <c r="AJ472" s="970"/>
      <c r="AK472" s="971"/>
      <c r="AL472" s="972">
        <v>900</v>
      </c>
      <c r="AM472" s="970"/>
      <c r="AN472" s="971"/>
      <c r="AO472" s="972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432653.12000000011</v>
      </c>
      <c r="F473" s="973"/>
      <c r="G473" s="974"/>
      <c r="H473" s="947">
        <v>16640.50461538462</v>
      </c>
      <c r="I473" s="973"/>
      <c r="J473" s="974"/>
      <c r="K473" s="947">
        <v>19968.605538461543</v>
      </c>
      <c r="L473" s="973"/>
      <c r="M473" s="974"/>
      <c r="N473" s="947">
        <v>51585.564307692322</v>
      </c>
      <c r="O473" s="973"/>
      <c r="P473" s="974"/>
      <c r="Q473" s="947">
        <v>54913.665230769249</v>
      </c>
      <c r="R473" s="973"/>
      <c r="S473" s="974"/>
      <c r="T473" s="947">
        <v>49921.513846153859</v>
      </c>
      <c r="U473" s="973"/>
      <c r="V473" s="974"/>
      <c r="W473" s="947">
        <v>36609.110153846166</v>
      </c>
      <c r="X473" s="973"/>
      <c r="Y473" s="974"/>
      <c r="Z473" s="947">
        <v>29952.908307692316</v>
      </c>
      <c r="AA473" s="973"/>
      <c r="AB473" s="974"/>
      <c r="AC473" s="947">
        <v>36609.110153846166</v>
      </c>
      <c r="AD473" s="973"/>
      <c r="AE473" s="974"/>
      <c r="AF473" s="947">
        <v>44929.362461538476</v>
      </c>
      <c r="AG473" s="973"/>
      <c r="AH473" s="974"/>
      <c r="AI473" s="947">
        <v>31616.95876923078</v>
      </c>
      <c r="AJ473" s="973"/>
      <c r="AK473" s="974"/>
      <c r="AL473" s="947">
        <v>33281.009230769239</v>
      </c>
      <c r="AM473" s="973"/>
      <c r="AN473" s="974"/>
      <c r="AO473" s="947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2823</v>
      </c>
      <c r="C474" s="973"/>
      <c r="D474" s="974"/>
      <c r="E474" s="947">
        <v>378571.4800000001</v>
      </c>
      <c r="F474" s="973"/>
      <c r="G474" s="974"/>
      <c r="H474" s="947">
        <v>14560.441538461544</v>
      </c>
      <c r="I474" s="973"/>
      <c r="J474" s="974"/>
      <c r="K474" s="947">
        <v>17472.529846153851</v>
      </c>
      <c r="L474" s="973"/>
      <c r="M474" s="974"/>
      <c r="N474" s="947">
        <v>45137.368769230787</v>
      </c>
      <c r="O474" s="973"/>
      <c r="P474" s="974"/>
      <c r="Q474" s="947">
        <v>48049.457076923092</v>
      </c>
      <c r="R474" s="973"/>
      <c r="S474" s="974"/>
      <c r="T474" s="947">
        <v>43681.324615384634</v>
      </c>
      <c r="U474" s="973"/>
      <c r="V474" s="974"/>
      <c r="W474" s="947">
        <v>32032.971384615397</v>
      </c>
      <c r="X474" s="973"/>
      <c r="Y474" s="974"/>
      <c r="Z474" s="947">
        <v>26208.794769230779</v>
      </c>
      <c r="AA474" s="973"/>
      <c r="AB474" s="974"/>
      <c r="AC474" s="947">
        <v>32032.971384615397</v>
      </c>
      <c r="AD474" s="973"/>
      <c r="AE474" s="974"/>
      <c r="AF474" s="947">
        <v>39313.192153846168</v>
      </c>
      <c r="AG474" s="973"/>
      <c r="AH474" s="974"/>
      <c r="AI474" s="947">
        <v>27664.838923076932</v>
      </c>
      <c r="AJ474" s="973"/>
      <c r="AK474" s="974"/>
      <c r="AL474" s="947">
        <v>29120.883076923088</v>
      </c>
      <c r="AM474" s="973"/>
      <c r="AN474" s="974"/>
      <c r="AO474" s="947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2826</v>
      </c>
      <c r="C477" s="973"/>
      <c r="D477" s="974"/>
      <c r="E477" s="947">
        <v>25500</v>
      </c>
      <c r="F477" s="973"/>
      <c r="G477" s="974"/>
      <c r="H477" s="947">
        <v>1125</v>
      </c>
      <c r="I477" s="973"/>
      <c r="J477" s="974"/>
      <c r="K477" s="947">
        <v>1500</v>
      </c>
      <c r="L477" s="973"/>
      <c r="M477" s="974"/>
      <c r="N477" s="947">
        <v>1875</v>
      </c>
      <c r="O477" s="973"/>
      <c r="P477" s="974"/>
      <c r="Q477" s="947">
        <v>2625</v>
      </c>
      <c r="R477" s="973"/>
      <c r="S477" s="974"/>
      <c r="T477" s="947">
        <v>3000</v>
      </c>
      <c r="U477" s="973"/>
      <c r="V477" s="974"/>
      <c r="W477" s="947">
        <v>2625</v>
      </c>
      <c r="X477" s="973"/>
      <c r="Y477" s="974"/>
      <c r="Z477" s="947">
        <v>2625</v>
      </c>
      <c r="AA477" s="973"/>
      <c r="AB477" s="974"/>
      <c r="AC477" s="947">
        <v>2625</v>
      </c>
      <c r="AD477" s="973"/>
      <c r="AE477" s="974"/>
      <c r="AF477" s="947">
        <v>2625</v>
      </c>
      <c r="AG477" s="973"/>
      <c r="AH477" s="974"/>
      <c r="AI477" s="947">
        <v>1875</v>
      </c>
      <c r="AJ477" s="973"/>
      <c r="AK477" s="974"/>
      <c r="AL477" s="947">
        <v>1875</v>
      </c>
      <c r="AM477" s="973"/>
      <c r="AN477" s="974"/>
      <c r="AO477" s="947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17700.000000000004</v>
      </c>
      <c r="F478" s="973"/>
      <c r="G478" s="974"/>
      <c r="H478" s="947">
        <v>780.88235294117658</v>
      </c>
      <c r="I478" s="973"/>
      <c r="J478" s="974"/>
      <c r="K478" s="947">
        <v>1041.1764705882354</v>
      </c>
      <c r="L478" s="973"/>
      <c r="M478" s="974"/>
      <c r="N478" s="947">
        <v>1388.2352941176473</v>
      </c>
      <c r="O478" s="973"/>
      <c r="P478" s="974"/>
      <c r="Q478" s="947">
        <v>1822.0588235294119</v>
      </c>
      <c r="R478" s="973"/>
      <c r="S478" s="974"/>
      <c r="T478" s="947">
        <v>2082.3529411764707</v>
      </c>
      <c r="U478" s="973"/>
      <c r="V478" s="974"/>
      <c r="W478" s="947">
        <v>1822.0588235294119</v>
      </c>
      <c r="X478" s="973"/>
      <c r="Y478" s="974"/>
      <c r="Z478" s="947">
        <v>1735.294117647059</v>
      </c>
      <c r="AA478" s="973"/>
      <c r="AB478" s="974"/>
      <c r="AC478" s="947">
        <v>1822.0588235294119</v>
      </c>
      <c r="AD478" s="973"/>
      <c r="AE478" s="974"/>
      <c r="AF478" s="947">
        <v>1735.294117647059</v>
      </c>
      <c r="AG478" s="973"/>
      <c r="AH478" s="974"/>
      <c r="AI478" s="947">
        <v>1388.2352941176473</v>
      </c>
      <c r="AJ478" s="973"/>
      <c r="AK478" s="974"/>
      <c r="AL478" s="947">
        <v>1214.7058823529412</v>
      </c>
      <c r="AM478" s="973"/>
      <c r="AN478" s="974"/>
      <c r="AO478" s="947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227142.88800000009</v>
      </c>
      <c r="F480" s="973"/>
      <c r="G480" s="974"/>
      <c r="H480" s="947">
        <v>8736.2649230769257</v>
      </c>
      <c r="I480" s="973"/>
      <c r="J480" s="974"/>
      <c r="K480" s="947">
        <v>10483.51790769231</v>
      </c>
      <c r="L480" s="973"/>
      <c r="M480" s="974"/>
      <c r="N480" s="947">
        <v>27082.421261538471</v>
      </c>
      <c r="O480" s="973"/>
      <c r="P480" s="974"/>
      <c r="Q480" s="947">
        <v>28829.674246153856</v>
      </c>
      <c r="R480" s="973"/>
      <c r="S480" s="974"/>
      <c r="T480" s="947">
        <v>26208.794769230779</v>
      </c>
      <c r="U480" s="973"/>
      <c r="V480" s="974"/>
      <c r="W480" s="947">
        <v>19219.782830769236</v>
      </c>
      <c r="X480" s="973"/>
      <c r="Y480" s="974"/>
      <c r="Z480" s="947">
        <v>15725.276861538467</v>
      </c>
      <c r="AA480" s="973"/>
      <c r="AB480" s="974"/>
      <c r="AC480" s="947">
        <v>19219.782830769236</v>
      </c>
      <c r="AD480" s="973"/>
      <c r="AE480" s="974"/>
      <c r="AF480" s="947">
        <v>23587.915292307698</v>
      </c>
      <c r="AG480" s="973"/>
      <c r="AH480" s="974"/>
      <c r="AI480" s="947">
        <v>16598.903353846159</v>
      </c>
      <c r="AJ480" s="973"/>
      <c r="AK480" s="974"/>
      <c r="AL480" s="947">
        <v>17472.529846153851</v>
      </c>
      <c r="AM480" s="973"/>
      <c r="AN480" s="974"/>
      <c r="AO480" s="947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253969.8</v>
      </c>
      <c r="F483" s="975"/>
      <c r="G483" s="974"/>
      <c r="H483" s="947">
        <v>10442.25</v>
      </c>
      <c r="I483" s="975"/>
      <c r="J483" s="974"/>
      <c r="K483" s="947">
        <v>13137.6</v>
      </c>
      <c r="L483" s="975"/>
      <c r="M483" s="974"/>
      <c r="N483" s="947">
        <v>25763.5</v>
      </c>
      <c r="O483" s="975"/>
      <c r="P483" s="974"/>
      <c r="Q483" s="947">
        <v>29470.35</v>
      </c>
      <c r="R483" s="975"/>
      <c r="S483" s="974"/>
      <c r="T483" s="947">
        <v>29220.45</v>
      </c>
      <c r="U483" s="975"/>
      <c r="V483" s="974"/>
      <c r="W483" s="947">
        <v>23579.85</v>
      </c>
      <c r="X483" s="975"/>
      <c r="Y483" s="974"/>
      <c r="Z483" s="947">
        <v>20717.900000000001</v>
      </c>
      <c r="AA483" s="975"/>
      <c r="AB483" s="974"/>
      <c r="AC483" s="947">
        <v>23579.85</v>
      </c>
      <c r="AD483" s="975"/>
      <c r="AE483" s="974"/>
      <c r="AF483" s="947">
        <v>25430.3</v>
      </c>
      <c r="AG483" s="975"/>
      <c r="AH483" s="974"/>
      <c r="AI483" s="947">
        <v>19283.95</v>
      </c>
      <c r="AJ483" s="975"/>
      <c r="AK483" s="974"/>
      <c r="AL483" s="947">
        <v>18861.5</v>
      </c>
      <c r="AM483" s="975"/>
      <c r="AN483" s="974"/>
      <c r="AO483" s="947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0.27052699150497955</v>
      </c>
      <c r="D484" s="976"/>
      <c r="E484" s="954">
        <v>1346337.2880000004</v>
      </c>
      <c r="F484" s="952">
        <v>0.23728132571004254</v>
      </c>
      <c r="G484" s="976"/>
      <c r="H484" s="954">
        <v>53185.343429864261</v>
      </c>
      <c r="I484" s="952">
        <v>0.24618873742757594</v>
      </c>
      <c r="J484" s="976"/>
      <c r="K484" s="954">
        <v>64503.429762895939</v>
      </c>
      <c r="L484" s="952">
        <v>0.32953243800493126</v>
      </c>
      <c r="M484" s="976"/>
      <c r="N484" s="954">
        <v>153732.08963257924</v>
      </c>
      <c r="O484" s="952">
        <v>0.31139816120440827</v>
      </c>
      <c r="P484" s="976"/>
      <c r="Q484" s="954">
        <v>166610.20537737562</v>
      </c>
      <c r="R484" s="952">
        <v>0.27207182006708747</v>
      </c>
      <c r="S484" s="976"/>
      <c r="T484" s="954">
        <v>155014.43617194574</v>
      </c>
      <c r="U484" s="952">
        <v>0.26261623235741949</v>
      </c>
      <c r="V484" s="976"/>
      <c r="W484" s="954">
        <v>116788.77319276021</v>
      </c>
      <c r="X484" s="952">
        <v>0.24848433296022965</v>
      </c>
      <c r="Y484" s="976"/>
      <c r="Z484" s="954">
        <v>97865.174056108604</v>
      </c>
      <c r="AA484" s="952">
        <v>0.27023330922146721</v>
      </c>
      <c r="AB484" s="976"/>
      <c r="AC484" s="954">
        <v>116788.77319276021</v>
      </c>
      <c r="AD484" s="952">
        <v>0.29937347797928637</v>
      </c>
      <c r="AE484" s="976"/>
      <c r="AF484" s="954">
        <v>138521.06402533938</v>
      </c>
      <c r="AG484" s="952">
        <v>0.23346575338604528</v>
      </c>
      <c r="AH484" s="976"/>
      <c r="AI484" s="954">
        <v>99327.886340271521</v>
      </c>
      <c r="AJ484" s="952">
        <v>0.2219542255640751</v>
      </c>
      <c r="AK484" s="976"/>
      <c r="AL484" s="954">
        <v>102725.62803619911</v>
      </c>
      <c r="AM484" s="952">
        <v>0.27315242763849928</v>
      </c>
      <c r="AN484" s="976"/>
      <c r="AO484" s="954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217362.24</v>
      </c>
      <c r="F485" s="977"/>
      <c r="G485" s="978"/>
      <c r="H485" s="979">
        <v>18113.52</v>
      </c>
      <c r="I485" s="977"/>
      <c r="J485" s="978"/>
      <c r="K485" s="979">
        <v>18113.52</v>
      </c>
      <c r="L485" s="977"/>
      <c r="M485" s="978"/>
      <c r="N485" s="979">
        <v>18113.52</v>
      </c>
      <c r="O485" s="977"/>
      <c r="P485" s="978"/>
      <c r="Q485" s="979">
        <v>18113.52</v>
      </c>
      <c r="R485" s="977"/>
      <c r="S485" s="978"/>
      <c r="T485" s="979">
        <v>18113.52</v>
      </c>
      <c r="U485" s="977"/>
      <c r="V485" s="978"/>
      <c r="W485" s="979">
        <v>18113.52</v>
      </c>
      <c r="X485" s="977"/>
      <c r="Y485" s="978"/>
      <c r="Z485" s="979">
        <v>18113.52</v>
      </c>
      <c r="AA485" s="977"/>
      <c r="AB485" s="978"/>
      <c r="AC485" s="979">
        <v>18113.52</v>
      </c>
      <c r="AD485" s="977"/>
      <c r="AE485" s="978"/>
      <c r="AF485" s="979">
        <v>18113.52</v>
      </c>
      <c r="AG485" s="977"/>
      <c r="AH485" s="978"/>
      <c r="AI485" s="979">
        <v>18113.52</v>
      </c>
      <c r="AJ485" s="977"/>
      <c r="AK485" s="978"/>
      <c r="AL485" s="979">
        <v>18113.52</v>
      </c>
      <c r="AM485" s="977"/>
      <c r="AN485" s="978"/>
      <c r="AO485" s="979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2.6236125287541361E-2</v>
      </c>
      <c r="E486" s="982">
        <v>1185461.37108439</v>
      </c>
      <c r="F486" s="980" t="s">
        <v>248</v>
      </c>
      <c r="G486" s="981">
        <v>-4.7273600365927412E-2</v>
      </c>
      <c r="H486" s="982">
        <v>-90278.56466336202</v>
      </c>
      <c r="I486" s="980" t="s">
        <v>248</v>
      </c>
      <c r="J486" s="981">
        <v>-2.1287858518511012E-2</v>
      </c>
      <c r="K486" s="982">
        <v>-50605.288265091462</v>
      </c>
      <c r="L486" s="980" t="s">
        <v>248</v>
      </c>
      <c r="M486" s="981">
        <v>3.6216237129881743E-2</v>
      </c>
      <c r="N486" s="982">
        <v>163839.05721731635</v>
      </c>
      <c r="O486" s="980" t="s">
        <v>248</v>
      </c>
      <c r="P486" s="981">
        <v>4.3055713015602778E-2</v>
      </c>
      <c r="Q486" s="982">
        <v>223310.82439715162</v>
      </c>
      <c r="R486" s="980" t="s">
        <v>248</v>
      </c>
      <c r="S486" s="981">
        <v>4.7355587183213657E-2</v>
      </c>
      <c r="T486" s="982">
        <v>250098.63104288428</v>
      </c>
      <c r="U486" s="980" t="s">
        <v>248</v>
      </c>
      <c r="V486" s="981">
        <v>3.2310680056134043E-2</v>
      </c>
      <c r="W486" s="982">
        <v>132289.81558006341</v>
      </c>
      <c r="X486" s="980" t="s">
        <v>248</v>
      </c>
      <c r="Y486" s="981">
        <v>1.761466451841889E-2</v>
      </c>
      <c r="Z486" s="982">
        <v>63810.572331196658</v>
      </c>
      <c r="AA486" s="980" t="s">
        <v>248</v>
      </c>
      <c r="AB486" s="981">
        <v>2.6788911987599983E-2</v>
      </c>
      <c r="AC486" s="982">
        <v>109735.83568112287</v>
      </c>
      <c r="AD486" s="980" t="s">
        <v>248</v>
      </c>
      <c r="AE486" s="981">
        <v>3.4712382838658802E-2</v>
      </c>
      <c r="AF486" s="982">
        <v>154021.0113875253</v>
      </c>
      <c r="AG486" s="980" t="s">
        <v>248</v>
      </c>
      <c r="AH486" s="981">
        <v>2.6669708097368194E-2</v>
      </c>
      <c r="AI486" s="982">
        <v>92659.531415616351</v>
      </c>
      <c r="AJ486" s="980" t="s">
        <v>248</v>
      </c>
      <c r="AK486" s="981">
        <v>4.0479054270744587E-2</v>
      </c>
      <c r="AL486" s="982">
        <v>144670.94378964746</v>
      </c>
      <c r="AM486" s="980" t="s">
        <v>248</v>
      </c>
      <c r="AN486" s="981">
        <v>-3.1034580336801948E-3</v>
      </c>
      <c r="AO486" s="982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2824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2.6236125287541361E-2</v>
      </c>
      <c r="E492" s="986">
        <v>1185461.37108439</v>
      </c>
      <c r="F492" s="984" t="s">
        <v>248</v>
      </c>
      <c r="G492" s="985">
        <v>-4.7273600365927412E-2</v>
      </c>
      <c r="H492" s="986">
        <v>-90278.56466336202</v>
      </c>
      <c r="I492" s="984" t="s">
        <v>248</v>
      </c>
      <c r="J492" s="985">
        <v>-2.1287858518511012E-2</v>
      </c>
      <c r="K492" s="986">
        <v>-50605.288265091462</v>
      </c>
      <c r="L492" s="984" t="s">
        <v>248</v>
      </c>
      <c r="M492" s="985">
        <v>3.6216237129881743E-2</v>
      </c>
      <c r="N492" s="986">
        <v>163839.05721731635</v>
      </c>
      <c r="O492" s="984" t="s">
        <v>248</v>
      </c>
      <c r="P492" s="985">
        <v>4.3055713015602778E-2</v>
      </c>
      <c r="Q492" s="986">
        <v>223310.82439715162</v>
      </c>
      <c r="R492" s="984" t="s">
        <v>248</v>
      </c>
      <c r="S492" s="985">
        <v>4.7355587183213657E-2</v>
      </c>
      <c r="T492" s="986">
        <v>250098.63104288428</v>
      </c>
      <c r="U492" s="984" t="s">
        <v>248</v>
      </c>
      <c r="V492" s="985">
        <v>3.2310680056134043E-2</v>
      </c>
      <c r="W492" s="986">
        <v>132289.81558006341</v>
      </c>
      <c r="X492" s="984" t="s">
        <v>248</v>
      </c>
      <c r="Y492" s="985">
        <v>1.761466451841889E-2</v>
      </c>
      <c r="Z492" s="986">
        <v>63810.572331196658</v>
      </c>
      <c r="AA492" s="984" t="s">
        <v>248</v>
      </c>
      <c r="AB492" s="985">
        <v>2.6788911987599983E-2</v>
      </c>
      <c r="AC492" s="986">
        <v>109735.83568112287</v>
      </c>
      <c r="AD492" s="984" t="s">
        <v>248</v>
      </c>
      <c r="AE492" s="985">
        <v>3.4712382838658802E-2</v>
      </c>
      <c r="AF492" s="986">
        <v>154021.0113875253</v>
      </c>
      <c r="AG492" s="984" t="s">
        <v>248</v>
      </c>
      <c r="AH492" s="985">
        <v>2.6669708097368194E-2</v>
      </c>
      <c r="AI492" s="986">
        <v>92659.531415616351</v>
      </c>
      <c r="AJ492" s="984" t="s">
        <v>248</v>
      </c>
      <c r="AK492" s="985">
        <v>4.0479054270744587E-2</v>
      </c>
      <c r="AL492" s="986">
        <v>144670.94378964746</v>
      </c>
      <c r="AM492" s="984" t="s">
        <v>248</v>
      </c>
      <c r="AN492" s="985">
        <v>-3.1034580336801948E-3</v>
      </c>
      <c r="AO492" s="986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251640</v>
      </c>
      <c r="F494" s="948"/>
      <c r="G494" s="949"/>
      <c r="H494" s="955">
        <v>20970</v>
      </c>
      <c r="I494" s="948"/>
      <c r="J494" s="949"/>
      <c r="K494" s="955">
        <v>20970</v>
      </c>
      <c r="L494" s="948"/>
      <c r="M494" s="949"/>
      <c r="N494" s="955">
        <v>20970</v>
      </c>
      <c r="O494" s="948"/>
      <c r="P494" s="949"/>
      <c r="Q494" s="955">
        <v>20970</v>
      </c>
      <c r="R494" s="948"/>
      <c r="S494" s="949"/>
      <c r="T494" s="955">
        <v>20970</v>
      </c>
      <c r="U494" s="948"/>
      <c r="V494" s="949"/>
      <c r="W494" s="955">
        <v>20970</v>
      </c>
      <c r="X494" s="948"/>
      <c r="Y494" s="949"/>
      <c r="Z494" s="955">
        <v>20970</v>
      </c>
      <c r="AA494" s="948"/>
      <c r="AB494" s="949"/>
      <c r="AC494" s="955">
        <v>20970</v>
      </c>
      <c r="AD494" s="948"/>
      <c r="AE494" s="949"/>
      <c r="AF494" s="955">
        <v>20970</v>
      </c>
      <c r="AG494" s="948"/>
      <c r="AH494" s="949"/>
      <c r="AI494" s="955">
        <v>20970</v>
      </c>
      <c r="AJ494" s="948"/>
      <c r="AK494" s="949"/>
      <c r="AL494" s="955">
        <v>20970</v>
      </c>
      <c r="AM494" s="948"/>
      <c r="AN494" s="949"/>
      <c r="AO494" s="955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2827</v>
      </c>
      <c r="C499" s="992"/>
      <c r="D499" s="872"/>
      <c r="E499" s="947">
        <v>-108500.00000000004</v>
      </c>
      <c r="F499" s="992"/>
      <c r="G499" s="872"/>
      <c r="H499" s="947">
        <v>-9189.890710382515</v>
      </c>
      <c r="I499" s="992"/>
      <c r="J499" s="872"/>
      <c r="K499" s="947">
        <v>-8596.9945355191267</v>
      </c>
      <c r="L499" s="992"/>
      <c r="M499" s="872"/>
      <c r="N499" s="947">
        <v>-9189.890710382515</v>
      </c>
      <c r="O499" s="992"/>
      <c r="P499" s="872"/>
      <c r="Q499" s="947">
        <v>-8893.4426229508208</v>
      </c>
      <c r="R499" s="992"/>
      <c r="S499" s="872"/>
      <c r="T499" s="947">
        <v>-9189.890710382515</v>
      </c>
      <c r="U499" s="992"/>
      <c r="V499" s="872"/>
      <c r="W499" s="947">
        <v>-8893.4426229508208</v>
      </c>
      <c r="X499" s="992"/>
      <c r="Y499" s="872"/>
      <c r="Z499" s="947">
        <v>-9189.890710382515</v>
      </c>
      <c r="AA499" s="992"/>
      <c r="AB499" s="872"/>
      <c r="AC499" s="947">
        <v>-9189.890710382515</v>
      </c>
      <c r="AD499" s="992"/>
      <c r="AE499" s="872"/>
      <c r="AF499" s="947">
        <v>-8893.4426229508208</v>
      </c>
      <c r="AG499" s="992"/>
      <c r="AH499" s="872"/>
      <c r="AI499" s="947">
        <v>-9189.890710382515</v>
      </c>
      <c r="AJ499" s="992"/>
      <c r="AK499" s="872"/>
      <c r="AL499" s="947">
        <v>-8893.4426229508208</v>
      </c>
      <c r="AM499" s="992"/>
      <c r="AN499" s="872"/>
      <c r="AO499" s="947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2.3068211878247039E-2</v>
      </c>
      <c r="E501" s="995">
        <v>1042321.37108439</v>
      </c>
      <c r="F501" s="993" t="s">
        <v>248</v>
      </c>
      <c r="G501" s="994">
        <v>-5.3442154118425532E-2</v>
      </c>
      <c r="H501" s="995">
        <v>-102058.6739529795</v>
      </c>
      <c r="I501" s="993" t="s">
        <v>248</v>
      </c>
      <c r="J501" s="994">
        <v>-2.6492745177724594E-2</v>
      </c>
      <c r="K501" s="995">
        <v>-62978.293729572324</v>
      </c>
      <c r="L501" s="993" t="s">
        <v>248</v>
      </c>
      <c r="M501" s="994">
        <v>3.3612271758652675E-2</v>
      </c>
      <c r="N501" s="995">
        <v>152058.94792769887</v>
      </c>
      <c r="O501" s="993" t="s">
        <v>248</v>
      </c>
      <c r="P501" s="994">
        <v>4.0727277795114106E-2</v>
      </c>
      <c r="Q501" s="995">
        <v>211234.26702010244</v>
      </c>
      <c r="R501" s="993" t="s">
        <v>248</v>
      </c>
      <c r="S501" s="994">
        <v>4.5125051213600088E-2</v>
      </c>
      <c r="T501" s="995">
        <v>238318.5217532668</v>
      </c>
      <c r="U501" s="993" t="s">
        <v>248</v>
      </c>
      <c r="V501" s="994">
        <v>2.936108200976572E-2</v>
      </c>
      <c r="W501" s="995">
        <v>120213.25820301424</v>
      </c>
      <c r="X501" s="993" t="s">
        <v>248</v>
      </c>
      <c r="Y501" s="994">
        <v>1.4362810389138891E-2</v>
      </c>
      <c r="Z501" s="995">
        <v>52030.463041579176</v>
      </c>
      <c r="AA501" s="993" t="s">
        <v>248</v>
      </c>
      <c r="AB501" s="994">
        <v>2.391313026137435E-2</v>
      </c>
      <c r="AC501" s="995">
        <v>97955.726391505392</v>
      </c>
      <c r="AD501" s="993" t="s">
        <v>248</v>
      </c>
      <c r="AE501" s="994">
        <v>3.1990636764738963E-2</v>
      </c>
      <c r="AF501" s="995">
        <v>141944.45401047613</v>
      </c>
      <c r="AG501" s="993" t="s">
        <v>248</v>
      </c>
      <c r="AH501" s="994">
        <v>2.3279100878559781E-2</v>
      </c>
      <c r="AI501" s="995">
        <v>80879.42212599887</v>
      </c>
      <c r="AJ501" s="993" t="s">
        <v>248</v>
      </c>
      <c r="AK501" s="994">
        <v>3.7100023149055618E-2</v>
      </c>
      <c r="AL501" s="995">
        <v>132594.38641259828</v>
      </c>
      <c r="AM501" s="993" t="s">
        <v>248</v>
      </c>
      <c r="AN501" s="994">
        <v>-7.6219452541189748E-3</v>
      </c>
      <c r="AO501" s="995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85" activePane="bottomRight" state="frozen"/>
      <selection sqref="A1:XFD1048576"/>
      <selection pane="topRight" sqref="A1:XFD1048576"/>
      <selection pane="bottomLeft" sqref="A1:XFD1048576"/>
      <selection pane="bottomRight" activeCell="B13" sqref="B1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21" t="str">
        <f>"Budget 2023 Mensuel"&amp;" "&amp;Parametres!$B$1</f>
        <v>Budget 2023 Mensuel BMW Sherbrooke</v>
      </c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21"/>
      <c r="W1" s="1221"/>
      <c r="X1" s="1221"/>
      <c r="Y1" s="1221"/>
      <c r="Z1" s="1221"/>
      <c r="AA1" s="1221"/>
      <c r="AB1" s="1221"/>
      <c r="AC1" s="1221"/>
      <c r="AD1" s="1221"/>
      <c r="AE1" s="1221"/>
      <c r="AF1" s="1221"/>
      <c r="AG1" s="1221"/>
      <c r="AH1" s="1221"/>
      <c r="AI1" s="1221"/>
      <c r="AJ1" s="1221"/>
      <c r="AK1" s="1221"/>
      <c r="AL1" s="1221"/>
      <c r="AM1" s="1221"/>
      <c r="AN1" s="1221"/>
      <c r="AO1" s="1221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>X</v>
      </c>
      <c r="P2" s="545" t="str">
        <f>+IF(Parametres!$B$3=O$6,"O","")</f>
        <v>O</v>
      </c>
      <c r="Q2" s="545" t="str">
        <f>+IF(Parametres!$B$3=O$6,"U","")</f>
        <v>U</v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2829</v>
      </c>
      <c r="C4" s="1222" t="s">
        <v>75</v>
      </c>
      <c r="D4" s="1222"/>
      <c r="E4" s="1222"/>
      <c r="F4" s="1222"/>
      <c r="G4" s="1222"/>
      <c r="H4" s="1222"/>
      <c r="I4" s="1222"/>
      <c r="J4" s="1222"/>
      <c r="K4" s="1222"/>
      <c r="L4" s="1222"/>
      <c r="M4" s="1222"/>
      <c r="N4" s="1222"/>
      <c r="O4" s="1222"/>
      <c r="P4" s="1222"/>
      <c r="Q4" s="1222"/>
      <c r="R4" s="1222"/>
      <c r="S4" s="1222"/>
      <c r="T4" s="1222"/>
      <c r="U4" s="1222"/>
      <c r="V4" s="1222"/>
      <c r="W4" s="1222"/>
      <c r="X4" s="1222"/>
      <c r="Y4" s="1222"/>
      <c r="Z4" s="1222"/>
      <c r="AA4" s="1222"/>
      <c r="AB4" s="1222"/>
      <c r="AC4" s="1222"/>
      <c r="AD4" s="1222"/>
      <c r="AE4" s="1222"/>
      <c r="AF4" s="1222"/>
      <c r="AG4" s="1222"/>
      <c r="AH4" s="1222"/>
      <c r="AI4" s="1222"/>
      <c r="AJ4" s="1222"/>
      <c r="AK4" s="1222"/>
      <c r="AL4" s="1222"/>
      <c r="AM4" s="1222"/>
      <c r="AN4" s="1222"/>
      <c r="AO4" s="122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2023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44786734.099999979</v>
      </c>
      <c r="F8" s="802"/>
      <c r="G8" s="803"/>
      <c r="H8" s="804">
        <v>1359610.01</v>
      </c>
      <c r="I8" s="802"/>
      <c r="J8" s="803"/>
      <c r="K8" s="804">
        <v>788251.23</v>
      </c>
      <c r="L8" s="802"/>
      <c r="M8" s="803"/>
      <c r="N8" s="804">
        <v>2739760.75</v>
      </c>
      <c r="O8" s="802"/>
      <c r="P8" s="803"/>
      <c r="Q8" s="804">
        <v>2399882.7000000002</v>
      </c>
      <c r="R8" s="802"/>
      <c r="S8" s="803"/>
      <c r="T8" s="804">
        <v>3061839.71999999</v>
      </c>
      <c r="U8" s="802"/>
      <c r="V8" s="803"/>
      <c r="W8" s="804">
        <v>1791786.59</v>
      </c>
      <c r="X8" s="802"/>
      <c r="Y8" s="803"/>
      <c r="Z8" s="804">
        <v>1070672.79999999</v>
      </c>
      <c r="AA8" s="802"/>
      <c r="AB8" s="803"/>
      <c r="AC8" s="804">
        <v>2532428.13</v>
      </c>
      <c r="AD8" s="802"/>
      <c r="AE8" s="803"/>
      <c r="AF8" s="804">
        <v>2506516.83</v>
      </c>
      <c r="AG8" s="802"/>
      <c r="AH8" s="803"/>
      <c r="AI8" s="804">
        <v>8285274.8799999999</v>
      </c>
      <c r="AJ8" s="802"/>
      <c r="AK8" s="803"/>
      <c r="AL8" s="804">
        <v>10151414.289999999</v>
      </c>
      <c r="AM8" s="802"/>
      <c r="AN8" s="803"/>
      <c r="AO8" s="804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86</v>
      </c>
      <c r="D9" s="806">
        <v>5345.9624418604608</v>
      </c>
      <c r="E9" s="807">
        <v>459752.76999999961</v>
      </c>
      <c r="F9" s="805">
        <v>4</v>
      </c>
      <c r="G9" s="806">
        <v>5270.979999999975</v>
      </c>
      <c r="H9" s="807">
        <v>21083.9199999999</v>
      </c>
      <c r="I9" s="805">
        <v>4</v>
      </c>
      <c r="J9" s="806">
        <v>3943.36</v>
      </c>
      <c r="K9" s="807">
        <v>15773.44</v>
      </c>
      <c r="L9" s="805">
        <v>9</v>
      </c>
      <c r="M9" s="806">
        <v>5970.7555555555446</v>
      </c>
      <c r="N9" s="807">
        <v>53736.799999999901</v>
      </c>
      <c r="O9" s="805">
        <v>9</v>
      </c>
      <c r="P9" s="806">
        <v>6333.3722222222104</v>
      </c>
      <c r="Q9" s="807">
        <v>57000.349999999897</v>
      </c>
      <c r="R9" s="805">
        <v>12</v>
      </c>
      <c r="S9" s="806">
        <v>4855.6391666666577</v>
      </c>
      <c r="T9" s="807">
        <v>58267.669999999896</v>
      </c>
      <c r="U9" s="805">
        <v>5</v>
      </c>
      <c r="V9" s="806">
        <v>5865.9580000000005</v>
      </c>
      <c r="W9" s="807">
        <v>29329.79</v>
      </c>
      <c r="X9" s="805">
        <v>2</v>
      </c>
      <c r="Y9" s="806">
        <v>4970.8799999999947</v>
      </c>
      <c r="Z9" s="807">
        <v>9941.7599999999893</v>
      </c>
      <c r="AA9" s="805">
        <v>9</v>
      </c>
      <c r="AB9" s="806">
        <v>5589.2288888888779</v>
      </c>
      <c r="AC9" s="807">
        <v>50303.059999999903</v>
      </c>
      <c r="AD9" s="805">
        <v>7</v>
      </c>
      <c r="AE9" s="806">
        <v>5593.4485714285711</v>
      </c>
      <c r="AF9" s="807">
        <v>39154.14</v>
      </c>
      <c r="AG9" s="805">
        <v>5</v>
      </c>
      <c r="AH9" s="806">
        <v>4279.2780000000002</v>
      </c>
      <c r="AI9" s="807">
        <v>21396.39</v>
      </c>
      <c r="AJ9" s="805">
        <v>14</v>
      </c>
      <c r="AK9" s="806">
        <v>5054.9321428571502</v>
      </c>
      <c r="AL9" s="807">
        <v>70769.050000000105</v>
      </c>
      <c r="AM9" s="805">
        <v>6</v>
      </c>
      <c r="AN9" s="806">
        <v>5499.4000000000005</v>
      </c>
      <c r="AO9" s="807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136</v>
      </c>
      <c r="D10" s="806">
        <v>5686.1199264705856</v>
      </c>
      <c r="E10" s="807">
        <v>773312.30999999959</v>
      </c>
      <c r="F10" s="805">
        <v>6</v>
      </c>
      <c r="G10" s="806">
        <v>4340.0666666666502</v>
      </c>
      <c r="H10" s="807">
        <v>26040.3999999999</v>
      </c>
      <c r="I10" s="805">
        <v>4</v>
      </c>
      <c r="J10" s="806">
        <v>4483.6225000000004</v>
      </c>
      <c r="K10" s="807">
        <v>17934.490000000002</v>
      </c>
      <c r="L10" s="805">
        <v>15</v>
      </c>
      <c r="M10" s="806">
        <v>6103.0680000000075</v>
      </c>
      <c r="N10" s="807">
        <v>91546.020000000106</v>
      </c>
      <c r="O10" s="805">
        <v>14</v>
      </c>
      <c r="P10" s="806">
        <v>6103.6800000000076</v>
      </c>
      <c r="Q10" s="807">
        <v>85451.520000000106</v>
      </c>
      <c r="R10" s="805">
        <v>16</v>
      </c>
      <c r="S10" s="806">
        <v>5055.2143749999941</v>
      </c>
      <c r="T10" s="807">
        <v>80883.429999999906</v>
      </c>
      <c r="U10" s="805">
        <v>13</v>
      </c>
      <c r="V10" s="806">
        <v>5473.6615384615307</v>
      </c>
      <c r="W10" s="807">
        <v>71157.599999999904</v>
      </c>
      <c r="X10" s="805">
        <v>9</v>
      </c>
      <c r="Y10" s="806">
        <v>5731.4566666666669</v>
      </c>
      <c r="Z10" s="807">
        <v>51583.11</v>
      </c>
      <c r="AA10" s="805">
        <v>14</v>
      </c>
      <c r="AB10" s="806">
        <v>5896.9685714285715</v>
      </c>
      <c r="AC10" s="807">
        <v>82557.56</v>
      </c>
      <c r="AD10" s="805">
        <v>17</v>
      </c>
      <c r="AE10" s="806">
        <v>7536.4664705882351</v>
      </c>
      <c r="AF10" s="807">
        <v>128119.93</v>
      </c>
      <c r="AG10" s="805">
        <v>13</v>
      </c>
      <c r="AH10" s="806">
        <v>4990.9961538461384</v>
      </c>
      <c r="AI10" s="807">
        <v>64882.949999999801</v>
      </c>
      <c r="AJ10" s="805">
        <v>8</v>
      </c>
      <c r="AK10" s="806">
        <v>4481.7612499999996</v>
      </c>
      <c r="AL10" s="807">
        <v>35854.089999999997</v>
      </c>
      <c r="AM10" s="805">
        <v>7</v>
      </c>
      <c r="AN10" s="806">
        <v>5328.744285714286</v>
      </c>
      <c r="AO10" s="807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222</v>
      </c>
      <c r="D16" s="811">
        <v>5554.3472072072036</v>
      </c>
      <c r="E16" s="812">
        <v>1233065.0799999991</v>
      </c>
      <c r="F16" s="810">
        <v>10</v>
      </c>
      <c r="G16" s="811">
        <v>4712.4319999999807</v>
      </c>
      <c r="H16" s="812">
        <v>47124.319999999803</v>
      </c>
      <c r="I16" s="810">
        <v>8</v>
      </c>
      <c r="J16" s="811">
        <v>4213.49125</v>
      </c>
      <c r="K16" s="812">
        <v>33707.93</v>
      </c>
      <c r="L16" s="810">
        <v>24</v>
      </c>
      <c r="M16" s="811">
        <v>6053.4508333333333</v>
      </c>
      <c r="N16" s="812">
        <v>145282.82</v>
      </c>
      <c r="O16" s="810">
        <v>23</v>
      </c>
      <c r="P16" s="811">
        <v>6193.5595652173915</v>
      </c>
      <c r="Q16" s="812">
        <v>142451.87</v>
      </c>
      <c r="R16" s="810">
        <v>28</v>
      </c>
      <c r="S16" s="811">
        <v>4969.6821428571357</v>
      </c>
      <c r="T16" s="812">
        <v>139151.0999999998</v>
      </c>
      <c r="U16" s="810">
        <v>18</v>
      </c>
      <c r="V16" s="811">
        <v>5582.6327777777724</v>
      </c>
      <c r="W16" s="812">
        <v>100487.3899999999</v>
      </c>
      <c r="X16" s="810">
        <v>11</v>
      </c>
      <c r="Y16" s="811">
        <v>5593.1699999999992</v>
      </c>
      <c r="Z16" s="812">
        <v>61524.869999999988</v>
      </c>
      <c r="AA16" s="810">
        <v>23</v>
      </c>
      <c r="AB16" s="811">
        <v>5776.54869565217</v>
      </c>
      <c r="AC16" s="812">
        <v>132860.61999999991</v>
      </c>
      <c r="AD16" s="810">
        <v>24</v>
      </c>
      <c r="AE16" s="811">
        <v>6969.7529166666673</v>
      </c>
      <c r="AF16" s="812">
        <v>167274.07</v>
      </c>
      <c r="AG16" s="810">
        <v>18</v>
      </c>
      <c r="AH16" s="811">
        <v>4793.2966666666553</v>
      </c>
      <c r="AI16" s="812">
        <v>86279.339999999793</v>
      </c>
      <c r="AJ16" s="810">
        <v>22</v>
      </c>
      <c r="AK16" s="811">
        <v>4846.5063636363684</v>
      </c>
      <c r="AL16" s="812">
        <v>106623.1400000001</v>
      </c>
      <c r="AM16" s="810">
        <v>13</v>
      </c>
      <c r="AN16" s="811">
        <v>5407.5084615384612</v>
      </c>
      <c r="AO16" s="812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21</v>
      </c>
      <c r="D18" s="816">
        <v>2993.8876190476085</v>
      </c>
      <c r="E18" s="817">
        <v>62871.639999999774</v>
      </c>
      <c r="F18" s="815">
        <v>2</v>
      </c>
      <c r="G18" s="816">
        <v>2749.99999999999</v>
      </c>
      <c r="H18" s="817">
        <v>5499.99999999998</v>
      </c>
      <c r="I18" s="815">
        <v>0</v>
      </c>
      <c r="J18" s="816">
        <v>0</v>
      </c>
      <c r="K18" s="817">
        <v>0</v>
      </c>
      <c r="L18" s="815">
        <v>1</v>
      </c>
      <c r="M18" s="816">
        <v>2500</v>
      </c>
      <c r="N18" s="817">
        <v>2500</v>
      </c>
      <c r="O18" s="815">
        <v>0</v>
      </c>
      <c r="P18" s="816">
        <v>0</v>
      </c>
      <c r="Q18" s="817">
        <v>0</v>
      </c>
      <c r="R18" s="815">
        <v>4</v>
      </c>
      <c r="S18" s="816">
        <v>5079.2874999999749</v>
      </c>
      <c r="T18" s="817">
        <v>20317.1499999999</v>
      </c>
      <c r="U18" s="815">
        <v>2</v>
      </c>
      <c r="V18" s="816">
        <v>5000</v>
      </c>
      <c r="W18" s="817">
        <v>10000</v>
      </c>
      <c r="X18" s="815">
        <v>2</v>
      </c>
      <c r="Y18" s="816">
        <v>7404.5999999999503</v>
      </c>
      <c r="Z18" s="817">
        <v>14809.199999999901</v>
      </c>
      <c r="AA18" s="815">
        <v>3</v>
      </c>
      <c r="AB18" s="816">
        <v>2568.3866666666668</v>
      </c>
      <c r="AC18" s="817">
        <v>7705.16</v>
      </c>
      <c r="AD18" s="815">
        <v>0</v>
      </c>
      <c r="AE18" s="816">
        <v>0</v>
      </c>
      <c r="AF18" s="817">
        <v>-558.61</v>
      </c>
      <c r="AG18" s="815">
        <v>4</v>
      </c>
      <c r="AH18" s="816">
        <v>3882.6524999999751</v>
      </c>
      <c r="AI18" s="817">
        <v>15530.609999999901</v>
      </c>
      <c r="AJ18" s="815">
        <v>0</v>
      </c>
      <c r="AK18" s="816">
        <v>0</v>
      </c>
      <c r="AL18" s="817">
        <v>-150</v>
      </c>
      <c r="AM18" s="815">
        <v>3</v>
      </c>
      <c r="AN18" s="816">
        <v>-4260.6233333333003</v>
      </c>
      <c r="AO18" s="817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3136.3025000000052</v>
      </c>
      <c r="E20" s="807">
        <v>12545.210000000021</v>
      </c>
      <c r="F20" s="805">
        <v>1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2</v>
      </c>
      <c r="M20" s="806">
        <v>3453.48000000001</v>
      </c>
      <c r="N20" s="807">
        <v>6906.96000000002</v>
      </c>
      <c r="O20" s="805">
        <v>1</v>
      </c>
      <c r="P20" s="806">
        <v>5638.25</v>
      </c>
      <c r="Q20" s="807">
        <v>5638.25</v>
      </c>
      <c r="R20" s="805">
        <v>0</v>
      </c>
      <c r="S20" s="806">
        <v>0</v>
      </c>
      <c r="T20" s="807">
        <v>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0</v>
      </c>
      <c r="AE20" s="806">
        <v>0</v>
      </c>
      <c r="AF20" s="807">
        <v>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83269.170000000042</v>
      </c>
      <c r="F22" s="808"/>
      <c r="G22" s="806"/>
      <c r="H22" s="807">
        <v>6793</v>
      </c>
      <c r="I22" s="808"/>
      <c r="J22" s="806"/>
      <c r="K22" s="807">
        <v>2996.96000000002</v>
      </c>
      <c r="L22" s="808"/>
      <c r="M22" s="806"/>
      <c r="N22" s="807">
        <v>7991.95999999999</v>
      </c>
      <c r="O22" s="808"/>
      <c r="P22" s="806"/>
      <c r="Q22" s="807">
        <v>8990.9200000000092</v>
      </c>
      <c r="R22" s="808"/>
      <c r="S22" s="806"/>
      <c r="T22" s="807">
        <v>8515.3300000000108</v>
      </c>
      <c r="U22" s="808"/>
      <c r="V22" s="806"/>
      <c r="W22" s="807">
        <v>9990</v>
      </c>
      <c r="X22" s="808"/>
      <c r="Y22" s="806"/>
      <c r="Z22" s="807">
        <v>3486</v>
      </c>
      <c r="AA22" s="808"/>
      <c r="AB22" s="806"/>
      <c r="AC22" s="807">
        <v>9990</v>
      </c>
      <c r="AD22" s="808"/>
      <c r="AE22" s="806"/>
      <c r="AF22" s="807">
        <v>3996</v>
      </c>
      <c r="AG22" s="808"/>
      <c r="AH22" s="806"/>
      <c r="AI22" s="807">
        <v>4995</v>
      </c>
      <c r="AJ22" s="808"/>
      <c r="AK22" s="806"/>
      <c r="AL22" s="807">
        <v>6029</v>
      </c>
      <c r="AM22" s="808"/>
      <c r="AN22" s="806"/>
      <c r="AO22" s="807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65.425843621399181</v>
      </c>
      <c r="E24" s="807">
        <v>15898.480000000001</v>
      </c>
      <c r="F24" s="805"/>
      <c r="G24" s="806">
        <v>117.1225</v>
      </c>
      <c r="H24" s="807">
        <v>1405.47</v>
      </c>
      <c r="I24" s="805"/>
      <c r="J24" s="806">
        <v>0</v>
      </c>
      <c r="K24" s="807">
        <v>0</v>
      </c>
      <c r="L24" s="805"/>
      <c r="M24" s="806">
        <v>16</v>
      </c>
      <c r="N24" s="807">
        <v>400</v>
      </c>
      <c r="O24" s="805"/>
      <c r="P24" s="806">
        <v>47.826086956521742</v>
      </c>
      <c r="Q24" s="807">
        <v>1100</v>
      </c>
      <c r="R24" s="805"/>
      <c r="S24" s="806">
        <v>252.4375</v>
      </c>
      <c r="T24" s="807">
        <v>8078</v>
      </c>
      <c r="U24" s="805"/>
      <c r="V24" s="806">
        <v>0</v>
      </c>
      <c r="W24" s="807">
        <v>0</v>
      </c>
      <c r="X24" s="805"/>
      <c r="Y24" s="806">
        <v>17.08923076923077</v>
      </c>
      <c r="Z24" s="807">
        <v>222.16</v>
      </c>
      <c r="AA24" s="805"/>
      <c r="AB24" s="806">
        <v>169.18076923076922</v>
      </c>
      <c r="AC24" s="807">
        <v>4398.7</v>
      </c>
      <c r="AD24" s="805"/>
      <c r="AE24" s="806">
        <v>-4.166666666666667</v>
      </c>
      <c r="AF24" s="807">
        <v>-100</v>
      </c>
      <c r="AG24" s="805"/>
      <c r="AH24" s="806">
        <v>0</v>
      </c>
      <c r="AI24" s="807">
        <v>0</v>
      </c>
      <c r="AJ24" s="805"/>
      <c r="AK24" s="806">
        <v>17.915909090909089</v>
      </c>
      <c r="AL24" s="807">
        <v>394.15</v>
      </c>
      <c r="AM24" s="805"/>
      <c r="AN24" s="806">
        <v>0</v>
      </c>
      <c r="AO24" s="807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1042.745802469135</v>
      </c>
      <c r="E25" s="807">
        <v>253387.22999999981</v>
      </c>
      <c r="F25" s="805"/>
      <c r="G25" s="806">
        <v>1740</v>
      </c>
      <c r="H25" s="807">
        <v>20880</v>
      </c>
      <c r="I25" s="805"/>
      <c r="J25" s="806">
        <v>504.29124999999999</v>
      </c>
      <c r="K25" s="807">
        <v>4034.33</v>
      </c>
      <c r="L25" s="805"/>
      <c r="M25" s="806">
        <v>798.16</v>
      </c>
      <c r="N25" s="807">
        <v>19954</v>
      </c>
      <c r="O25" s="805"/>
      <c r="P25" s="806">
        <v>1404.4491304347782</v>
      </c>
      <c r="Q25" s="807">
        <v>32302.3299999999</v>
      </c>
      <c r="R25" s="805"/>
      <c r="S25" s="806">
        <v>1132.4553125</v>
      </c>
      <c r="T25" s="807">
        <v>36238.57</v>
      </c>
      <c r="U25" s="805"/>
      <c r="V25" s="806">
        <v>993.7</v>
      </c>
      <c r="W25" s="807">
        <v>19874</v>
      </c>
      <c r="X25" s="805"/>
      <c r="Y25" s="806">
        <v>1323.3076923076924</v>
      </c>
      <c r="Z25" s="807">
        <v>17203</v>
      </c>
      <c r="AA25" s="805"/>
      <c r="AB25" s="806">
        <v>857.69230769230387</v>
      </c>
      <c r="AC25" s="807">
        <v>22299.999999999902</v>
      </c>
      <c r="AD25" s="805"/>
      <c r="AE25" s="806">
        <v>505.83333333333331</v>
      </c>
      <c r="AF25" s="807">
        <v>12140</v>
      </c>
      <c r="AG25" s="805"/>
      <c r="AH25" s="806">
        <v>1077.7272727272727</v>
      </c>
      <c r="AI25" s="807">
        <v>23710</v>
      </c>
      <c r="AJ25" s="805"/>
      <c r="AK25" s="806">
        <v>1069.5</v>
      </c>
      <c r="AL25" s="807">
        <v>23529</v>
      </c>
      <c r="AM25" s="805"/>
      <c r="AN25" s="806">
        <v>1326.375</v>
      </c>
      <c r="AO25" s="807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471.40230452674859</v>
      </c>
      <c r="E26" s="807">
        <v>114550.75999999991</v>
      </c>
      <c r="F26" s="805"/>
      <c r="G26" s="806">
        <v>370.74166666666662</v>
      </c>
      <c r="H26" s="807">
        <v>4448.8999999999996</v>
      </c>
      <c r="I26" s="805"/>
      <c r="J26" s="806">
        <v>475.125</v>
      </c>
      <c r="K26" s="807">
        <v>3801</v>
      </c>
      <c r="L26" s="805"/>
      <c r="M26" s="806">
        <v>603.55960000000005</v>
      </c>
      <c r="N26" s="807">
        <v>15088.99</v>
      </c>
      <c r="O26" s="805"/>
      <c r="P26" s="806">
        <v>452.38913043477828</v>
      </c>
      <c r="Q26" s="807">
        <v>10404.949999999901</v>
      </c>
      <c r="R26" s="805"/>
      <c r="S26" s="806">
        <v>433.41874999999999</v>
      </c>
      <c r="T26" s="807">
        <v>13869.4</v>
      </c>
      <c r="U26" s="805"/>
      <c r="V26" s="806">
        <v>509</v>
      </c>
      <c r="W26" s="807">
        <v>10180</v>
      </c>
      <c r="X26" s="805"/>
      <c r="Y26" s="806">
        <v>529.47615384615381</v>
      </c>
      <c r="Z26" s="807">
        <v>6883.19</v>
      </c>
      <c r="AA26" s="805"/>
      <c r="AB26" s="806">
        <v>544.04769230769227</v>
      </c>
      <c r="AC26" s="807">
        <v>14145.24</v>
      </c>
      <c r="AD26" s="805"/>
      <c r="AE26" s="806">
        <v>411.16666666666669</v>
      </c>
      <c r="AF26" s="807">
        <v>9868</v>
      </c>
      <c r="AG26" s="805"/>
      <c r="AH26" s="806">
        <v>425.59500000000003</v>
      </c>
      <c r="AI26" s="807">
        <v>9363.09</v>
      </c>
      <c r="AJ26" s="805"/>
      <c r="AK26" s="806">
        <v>411.54545454545456</v>
      </c>
      <c r="AL26" s="807">
        <v>9054</v>
      </c>
      <c r="AM26" s="805"/>
      <c r="AN26" s="806">
        <v>465.25</v>
      </c>
      <c r="AO26" s="807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243</v>
      </c>
      <c r="D27" s="811">
        <v>1579.5739506172827</v>
      </c>
      <c r="E27" s="812">
        <v>383836.46999999968</v>
      </c>
      <c r="F27" s="810">
        <v>12</v>
      </c>
      <c r="G27" s="811">
        <v>2227.8641666666667</v>
      </c>
      <c r="H27" s="812">
        <v>26734.370000000003</v>
      </c>
      <c r="I27" s="810">
        <v>8</v>
      </c>
      <c r="J27" s="811">
        <v>979.41624999999999</v>
      </c>
      <c r="K27" s="812">
        <v>7835.33</v>
      </c>
      <c r="L27" s="810">
        <v>25</v>
      </c>
      <c r="M27" s="811">
        <v>1417.7195999999999</v>
      </c>
      <c r="N27" s="812">
        <v>35442.99</v>
      </c>
      <c r="O27" s="810">
        <v>23</v>
      </c>
      <c r="P27" s="811">
        <v>1904.6643478260783</v>
      </c>
      <c r="Q27" s="812">
        <v>43807.279999999802</v>
      </c>
      <c r="R27" s="810">
        <v>32</v>
      </c>
      <c r="S27" s="811">
        <v>1818.3115625</v>
      </c>
      <c r="T27" s="812">
        <v>58185.97</v>
      </c>
      <c r="U27" s="810">
        <v>20</v>
      </c>
      <c r="V27" s="811">
        <v>1502.7</v>
      </c>
      <c r="W27" s="812">
        <v>30054</v>
      </c>
      <c r="X27" s="810">
        <v>13</v>
      </c>
      <c r="Y27" s="811">
        <v>1869.8730769230767</v>
      </c>
      <c r="Z27" s="812">
        <v>24308.35</v>
      </c>
      <c r="AA27" s="810">
        <v>26</v>
      </c>
      <c r="AB27" s="811">
        <v>1570.9207692307655</v>
      </c>
      <c r="AC27" s="812">
        <v>40843.9399999999</v>
      </c>
      <c r="AD27" s="810">
        <v>24</v>
      </c>
      <c r="AE27" s="811">
        <v>912.83333333333337</v>
      </c>
      <c r="AF27" s="812">
        <v>21908</v>
      </c>
      <c r="AG27" s="810">
        <v>22</v>
      </c>
      <c r="AH27" s="811">
        <v>1503.3222727272725</v>
      </c>
      <c r="AI27" s="812">
        <v>33073.089999999997</v>
      </c>
      <c r="AJ27" s="810">
        <v>22</v>
      </c>
      <c r="AK27" s="811">
        <v>1498.9613636363638</v>
      </c>
      <c r="AL27" s="812">
        <v>32977.15</v>
      </c>
      <c r="AM27" s="810">
        <v>16</v>
      </c>
      <c r="AN27" s="811">
        <v>1791.625</v>
      </c>
      <c r="AO27" s="812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247</v>
      </c>
      <c r="D30" s="824">
        <v>7188.6136437246896</v>
      </c>
      <c r="E30" s="825">
        <v>1775587.5699999984</v>
      </c>
      <c r="F30" s="823">
        <v>13</v>
      </c>
      <c r="G30" s="824">
        <v>6627.05307692306</v>
      </c>
      <c r="H30" s="825">
        <v>86151.689999999784</v>
      </c>
      <c r="I30" s="823">
        <v>8</v>
      </c>
      <c r="J30" s="824">
        <v>5567.5275000000029</v>
      </c>
      <c r="K30" s="825">
        <v>44540.220000000023</v>
      </c>
      <c r="L30" s="823">
        <v>27</v>
      </c>
      <c r="M30" s="824">
        <v>7337.9529629629633</v>
      </c>
      <c r="N30" s="825">
        <v>198124.73</v>
      </c>
      <c r="O30" s="823">
        <v>24</v>
      </c>
      <c r="P30" s="824">
        <v>8370.3466666666591</v>
      </c>
      <c r="Q30" s="825">
        <v>200888.3199999998</v>
      </c>
      <c r="R30" s="823">
        <v>32</v>
      </c>
      <c r="S30" s="824">
        <v>7067.7984374999915</v>
      </c>
      <c r="T30" s="825">
        <v>226169.54999999973</v>
      </c>
      <c r="U30" s="823">
        <v>20</v>
      </c>
      <c r="V30" s="824">
        <v>7526.5694999999951</v>
      </c>
      <c r="W30" s="825">
        <v>150531.3899999999</v>
      </c>
      <c r="X30" s="823">
        <v>13</v>
      </c>
      <c r="Y30" s="824">
        <v>8009.878461538452</v>
      </c>
      <c r="Z30" s="825">
        <v>104128.41999999988</v>
      </c>
      <c r="AA30" s="823">
        <v>26</v>
      </c>
      <c r="AB30" s="824">
        <v>7361.5276923076854</v>
      </c>
      <c r="AC30" s="825">
        <v>191399.71999999983</v>
      </c>
      <c r="AD30" s="823">
        <v>24</v>
      </c>
      <c r="AE30" s="824">
        <v>8025.8108333333339</v>
      </c>
      <c r="AF30" s="825">
        <v>192619.46000000002</v>
      </c>
      <c r="AG30" s="823">
        <v>22</v>
      </c>
      <c r="AH30" s="824">
        <v>6358.0927272727131</v>
      </c>
      <c r="AI30" s="825">
        <v>139878.03999999969</v>
      </c>
      <c r="AJ30" s="823">
        <v>22</v>
      </c>
      <c r="AK30" s="824">
        <v>6612.6950000000043</v>
      </c>
      <c r="AL30" s="825">
        <v>145479.2900000001</v>
      </c>
      <c r="AM30" s="823">
        <v>16</v>
      </c>
      <c r="AN30" s="824">
        <v>5979.7962500000067</v>
      </c>
      <c r="AO30" s="825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0.29749070618201201</v>
      </c>
      <c r="D34" s="834">
        <v>1586.5396296296296</v>
      </c>
      <c r="E34" s="835">
        <v>385529.13</v>
      </c>
      <c r="F34" s="833">
        <v>0.34976527962736764</v>
      </c>
      <c r="G34" s="834">
        <v>1533.8466666666666</v>
      </c>
      <c r="H34" s="835">
        <v>18406.16</v>
      </c>
      <c r="I34" s="833">
        <v>0.2960199573216154</v>
      </c>
      <c r="J34" s="834">
        <v>1247.2774999999999</v>
      </c>
      <c r="K34" s="835">
        <v>9978.2199999999993</v>
      </c>
      <c r="L34" s="833">
        <v>0.27019852510596287</v>
      </c>
      <c r="M34" s="834">
        <v>1597.2279999999998</v>
      </c>
      <c r="N34" s="835">
        <v>39930.699999999997</v>
      </c>
      <c r="O34" s="833">
        <v>0.28986239352280879</v>
      </c>
      <c r="P34" s="834">
        <v>1795.2800000000002</v>
      </c>
      <c r="Q34" s="835">
        <v>41291.440000000002</v>
      </c>
      <c r="R34" s="833">
        <v>0.3164066201265775</v>
      </c>
      <c r="S34" s="834">
        <v>1576.7753124999999</v>
      </c>
      <c r="T34" s="835">
        <v>50456.81</v>
      </c>
      <c r="U34" s="833">
        <v>0.27667410733478298</v>
      </c>
      <c r="V34" s="834">
        <v>1528.45</v>
      </c>
      <c r="W34" s="835">
        <v>30569</v>
      </c>
      <c r="X34" s="833">
        <v>0.26208271090484275</v>
      </c>
      <c r="Y34" s="834">
        <v>1538.9107692307693</v>
      </c>
      <c r="Z34" s="835">
        <v>20005.84</v>
      </c>
      <c r="AA34" s="833">
        <v>0.29395383428313793</v>
      </c>
      <c r="AB34" s="834">
        <v>1589.2249999999999</v>
      </c>
      <c r="AC34" s="835">
        <v>41319.85</v>
      </c>
      <c r="AD34" s="833">
        <v>0.23023089760241791</v>
      </c>
      <c r="AE34" s="834">
        <v>1599.29375</v>
      </c>
      <c r="AF34" s="835">
        <v>38383.050000000003</v>
      </c>
      <c r="AG34" s="833">
        <v>0.39350525169691292</v>
      </c>
      <c r="AH34" s="834">
        <v>1821.034090909091</v>
      </c>
      <c r="AI34" s="835">
        <v>40062.75</v>
      </c>
      <c r="AJ34" s="833">
        <v>0.30887113876795569</v>
      </c>
      <c r="AK34" s="834">
        <v>1494.8400000000001</v>
      </c>
      <c r="AL34" s="835">
        <v>32886.480000000003</v>
      </c>
      <c r="AM34" s="833">
        <v>0.38665641787795763</v>
      </c>
      <c r="AN34" s="834">
        <v>1389.9268750000001</v>
      </c>
      <c r="AO34" s="835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0.24949122213425967</v>
      </c>
      <c r="D35" s="837">
        <v>394.08983539094658</v>
      </c>
      <c r="E35" s="838">
        <v>95763.830000000016</v>
      </c>
      <c r="F35" s="836">
        <v>0.2499991583867508</v>
      </c>
      <c r="G35" s="837">
        <v>556.96416666666664</v>
      </c>
      <c r="H35" s="838">
        <v>6683.57</v>
      </c>
      <c r="I35" s="836">
        <v>0.24999968093239211</v>
      </c>
      <c r="J35" s="837">
        <v>244.85374999999999</v>
      </c>
      <c r="K35" s="838">
        <v>1958.83</v>
      </c>
      <c r="L35" s="836">
        <v>0.25000007053580975</v>
      </c>
      <c r="M35" s="837">
        <v>354.43</v>
      </c>
      <c r="N35" s="838">
        <v>8860.75</v>
      </c>
      <c r="O35" s="836">
        <v>0.24755200505486871</v>
      </c>
      <c r="P35" s="837">
        <v>471.50347826086954</v>
      </c>
      <c r="Q35" s="838">
        <v>10844.58</v>
      </c>
      <c r="R35" s="836">
        <v>0.24986195125732197</v>
      </c>
      <c r="S35" s="837">
        <v>454.32687499999997</v>
      </c>
      <c r="T35" s="838">
        <v>14538.46</v>
      </c>
      <c r="U35" s="836">
        <v>0.2498336327943036</v>
      </c>
      <c r="V35" s="837">
        <v>375.42500000000001</v>
      </c>
      <c r="W35" s="838">
        <v>7508.5</v>
      </c>
      <c r="X35" s="836">
        <v>0.25102855603115803</v>
      </c>
      <c r="Y35" s="837">
        <v>469.39153846153846</v>
      </c>
      <c r="Z35" s="838">
        <v>6102.09</v>
      </c>
      <c r="AA35" s="836">
        <v>0.25000012241718172</v>
      </c>
      <c r="AB35" s="837">
        <v>392.73038461538459</v>
      </c>
      <c r="AC35" s="838">
        <v>10210.99</v>
      </c>
      <c r="AD35" s="836">
        <v>0.25</v>
      </c>
      <c r="AE35" s="837">
        <v>228.20833333333334</v>
      </c>
      <c r="AF35" s="838">
        <v>5477</v>
      </c>
      <c r="AG35" s="836">
        <v>0.24168500735794574</v>
      </c>
      <c r="AH35" s="837">
        <v>363.33045454545459</v>
      </c>
      <c r="AI35" s="838">
        <v>7993.27</v>
      </c>
      <c r="AJ35" s="836">
        <v>0.25379057923440929</v>
      </c>
      <c r="AK35" s="837">
        <v>380.42227272727274</v>
      </c>
      <c r="AL35" s="838">
        <v>8369.2900000000009</v>
      </c>
      <c r="AM35" s="836">
        <v>0.25174422660992118</v>
      </c>
      <c r="AN35" s="837">
        <v>451.03125</v>
      </c>
      <c r="AO35" s="838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92.279917695473245</v>
      </c>
      <c r="E36" s="835">
        <v>22424.019999999997</v>
      </c>
      <c r="F36" s="813"/>
      <c r="G36" s="834">
        <v>95.435833333333335</v>
      </c>
      <c r="H36" s="835">
        <v>1145.23</v>
      </c>
      <c r="I36" s="813"/>
      <c r="J36" s="834">
        <v>117.30374999999999</v>
      </c>
      <c r="K36" s="835">
        <v>938.43</v>
      </c>
      <c r="L36" s="813"/>
      <c r="M36" s="834">
        <v>64.887600000000006</v>
      </c>
      <c r="N36" s="835">
        <v>1622.19</v>
      </c>
      <c r="O36" s="813"/>
      <c r="P36" s="834">
        <v>88.415217391304353</v>
      </c>
      <c r="Q36" s="835">
        <v>2033.55</v>
      </c>
      <c r="R36" s="813"/>
      <c r="S36" s="834">
        <v>41.204374999999999</v>
      </c>
      <c r="T36" s="835">
        <v>1318.54</v>
      </c>
      <c r="U36" s="813"/>
      <c r="V36" s="834">
        <v>112.023</v>
      </c>
      <c r="W36" s="835">
        <v>2240.46</v>
      </c>
      <c r="X36" s="813"/>
      <c r="Y36" s="834">
        <v>167.71846153846155</v>
      </c>
      <c r="Z36" s="835">
        <v>2180.34</v>
      </c>
      <c r="AA36" s="813"/>
      <c r="AB36" s="834">
        <v>97.216538461538462</v>
      </c>
      <c r="AC36" s="835">
        <v>2527.63</v>
      </c>
      <c r="AD36" s="813"/>
      <c r="AE36" s="834">
        <v>142.46208333333334</v>
      </c>
      <c r="AF36" s="835">
        <v>3419.09</v>
      </c>
      <c r="AG36" s="813"/>
      <c r="AH36" s="834">
        <v>105.57727272727271</v>
      </c>
      <c r="AI36" s="835">
        <v>2322.6999999999998</v>
      </c>
      <c r="AJ36" s="813"/>
      <c r="AK36" s="834">
        <v>74.969545454545454</v>
      </c>
      <c r="AL36" s="835">
        <v>1649.33</v>
      </c>
      <c r="AM36" s="813"/>
      <c r="AN36" s="834">
        <v>64.158124999999998</v>
      </c>
      <c r="AO36" s="835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44.812139917695475</v>
      </c>
      <c r="E37" s="835">
        <v>10889.35</v>
      </c>
      <c r="F37" s="813"/>
      <c r="G37" s="834">
        <v>66.046666666666667</v>
      </c>
      <c r="H37" s="835">
        <v>792.56</v>
      </c>
      <c r="I37" s="813"/>
      <c r="J37" s="834">
        <v>146</v>
      </c>
      <c r="K37" s="835">
        <v>1168</v>
      </c>
      <c r="L37" s="813"/>
      <c r="M37" s="834">
        <v>13.070799999999998</v>
      </c>
      <c r="N37" s="835">
        <v>326.77</v>
      </c>
      <c r="O37" s="813"/>
      <c r="P37" s="834">
        <v>32.10478260869565</v>
      </c>
      <c r="Q37" s="835">
        <v>738.41</v>
      </c>
      <c r="R37" s="813"/>
      <c r="S37" s="834">
        <v>49.581562499999997</v>
      </c>
      <c r="T37" s="835">
        <v>1586.61</v>
      </c>
      <c r="U37" s="813"/>
      <c r="V37" s="834">
        <v>25.25</v>
      </c>
      <c r="W37" s="835">
        <v>505</v>
      </c>
      <c r="X37" s="813"/>
      <c r="Y37" s="834">
        <v>67.839230769230767</v>
      </c>
      <c r="Z37" s="835">
        <v>881.91</v>
      </c>
      <c r="AA37" s="813"/>
      <c r="AB37" s="834">
        <v>62.066538461538464</v>
      </c>
      <c r="AC37" s="835">
        <v>1613.73</v>
      </c>
      <c r="AD37" s="813"/>
      <c r="AE37" s="834">
        <v>36.604999999999997</v>
      </c>
      <c r="AF37" s="835">
        <v>878.52</v>
      </c>
      <c r="AG37" s="813"/>
      <c r="AH37" s="834">
        <v>27.948181818181819</v>
      </c>
      <c r="AI37" s="835">
        <v>614.86</v>
      </c>
      <c r="AJ37" s="813"/>
      <c r="AK37" s="834">
        <v>53.870000000000005</v>
      </c>
      <c r="AL37" s="835">
        <v>1185.1400000000001</v>
      </c>
      <c r="AM37" s="813"/>
      <c r="AN37" s="834">
        <v>37.365000000000002</v>
      </c>
      <c r="AO37" s="835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46.574732510288058</v>
      </c>
      <c r="E38" s="838">
        <v>11317.659999999998</v>
      </c>
      <c r="F38" s="839"/>
      <c r="G38" s="837">
        <v>90.208333333333329</v>
      </c>
      <c r="H38" s="838">
        <v>1082.5</v>
      </c>
      <c r="I38" s="839"/>
      <c r="J38" s="837">
        <v>124.125</v>
      </c>
      <c r="K38" s="838">
        <v>993</v>
      </c>
      <c r="L38" s="839"/>
      <c r="M38" s="837">
        <v>11.76</v>
      </c>
      <c r="N38" s="838">
        <v>294</v>
      </c>
      <c r="O38" s="839"/>
      <c r="P38" s="837">
        <v>25.156521739130437</v>
      </c>
      <c r="Q38" s="838">
        <v>578.6</v>
      </c>
      <c r="R38" s="839"/>
      <c r="S38" s="837">
        <v>52.022187500000001</v>
      </c>
      <c r="T38" s="838">
        <v>1664.71</v>
      </c>
      <c r="U38" s="839"/>
      <c r="V38" s="837">
        <v>29.45</v>
      </c>
      <c r="W38" s="838">
        <v>589</v>
      </c>
      <c r="X38" s="839"/>
      <c r="Y38" s="837">
        <v>37.92307692307692</v>
      </c>
      <c r="Z38" s="838">
        <v>493</v>
      </c>
      <c r="AA38" s="839"/>
      <c r="AB38" s="837">
        <v>31.988461538461539</v>
      </c>
      <c r="AC38" s="838">
        <v>831.7</v>
      </c>
      <c r="AD38" s="839"/>
      <c r="AE38" s="837">
        <v>52.96875</v>
      </c>
      <c r="AF38" s="838">
        <v>1271.25</v>
      </c>
      <c r="AG38" s="839"/>
      <c r="AH38" s="837">
        <v>55.56818181818182</v>
      </c>
      <c r="AI38" s="838">
        <v>1222.5</v>
      </c>
      <c r="AJ38" s="839"/>
      <c r="AK38" s="837">
        <v>55.704545454545453</v>
      </c>
      <c r="AL38" s="838">
        <v>1225.5</v>
      </c>
      <c r="AM38" s="839"/>
      <c r="AN38" s="837">
        <v>66.993750000000006</v>
      </c>
      <c r="AO38" s="838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588.02543209876524</v>
      </c>
      <c r="E39" s="835">
        <v>142890.17999999996</v>
      </c>
      <c r="F39" s="813"/>
      <c r="G39" s="834">
        <v>705.63250000000005</v>
      </c>
      <c r="H39" s="835">
        <v>8467.59</v>
      </c>
      <c r="I39" s="813"/>
      <c r="J39" s="834">
        <v>1116.2625</v>
      </c>
      <c r="K39" s="835">
        <v>8930.1</v>
      </c>
      <c r="L39" s="813"/>
      <c r="M39" s="834">
        <v>728.6511999999999</v>
      </c>
      <c r="N39" s="835">
        <v>18216.28</v>
      </c>
      <c r="O39" s="813"/>
      <c r="P39" s="834">
        <v>727.05478260869563</v>
      </c>
      <c r="Q39" s="835">
        <v>16722.259999999998</v>
      </c>
      <c r="R39" s="813"/>
      <c r="S39" s="834">
        <v>436.26749999999998</v>
      </c>
      <c r="T39" s="835">
        <v>13960.56</v>
      </c>
      <c r="U39" s="813"/>
      <c r="V39" s="834">
        <v>542.34699999999998</v>
      </c>
      <c r="W39" s="835">
        <v>10846.94</v>
      </c>
      <c r="X39" s="813"/>
      <c r="Y39" s="834">
        <v>730.09769230769155</v>
      </c>
      <c r="Z39" s="835">
        <v>9491.2699999999895</v>
      </c>
      <c r="AA39" s="813"/>
      <c r="AB39" s="834">
        <v>353.25038461538463</v>
      </c>
      <c r="AC39" s="835">
        <v>9184.51</v>
      </c>
      <c r="AD39" s="813"/>
      <c r="AE39" s="834">
        <v>444.47583333333336</v>
      </c>
      <c r="AF39" s="835">
        <v>10667.42</v>
      </c>
      <c r="AG39" s="813"/>
      <c r="AH39" s="834">
        <v>466.17045454545456</v>
      </c>
      <c r="AI39" s="835">
        <v>10255.75</v>
      </c>
      <c r="AJ39" s="813"/>
      <c r="AK39" s="834">
        <v>667.48727272727274</v>
      </c>
      <c r="AL39" s="835">
        <v>14684.72</v>
      </c>
      <c r="AM39" s="813"/>
      <c r="AN39" s="834">
        <v>716.42375000000004</v>
      </c>
      <c r="AO39" s="835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476.6344855967078</v>
      </c>
      <c r="E40" s="835">
        <v>115822.18</v>
      </c>
      <c r="F40" s="813"/>
      <c r="G40" s="834">
        <v>441.8341666666667</v>
      </c>
      <c r="H40" s="835">
        <v>5302.01</v>
      </c>
      <c r="I40" s="813"/>
      <c r="J40" s="834">
        <v>750.3125</v>
      </c>
      <c r="K40" s="835">
        <v>6002.5</v>
      </c>
      <c r="L40" s="813"/>
      <c r="M40" s="834">
        <v>128.72239999999999</v>
      </c>
      <c r="N40" s="835">
        <v>3218.06</v>
      </c>
      <c r="O40" s="813"/>
      <c r="P40" s="834">
        <v>227.60826086956521</v>
      </c>
      <c r="Q40" s="835">
        <v>5234.99</v>
      </c>
      <c r="R40" s="813"/>
      <c r="S40" s="834">
        <v>236.32093750000001</v>
      </c>
      <c r="T40" s="835">
        <v>7562.27</v>
      </c>
      <c r="U40" s="813"/>
      <c r="V40" s="834">
        <v>276.64850000000001</v>
      </c>
      <c r="W40" s="835">
        <v>5532.97</v>
      </c>
      <c r="X40" s="813"/>
      <c r="Y40" s="834">
        <v>532.72153846153844</v>
      </c>
      <c r="Z40" s="835">
        <v>6925.38</v>
      </c>
      <c r="AA40" s="813"/>
      <c r="AB40" s="834">
        <v>563.73500000000001</v>
      </c>
      <c r="AC40" s="835">
        <v>14657.11</v>
      </c>
      <c r="AD40" s="813"/>
      <c r="AE40" s="834">
        <v>711.69708333333335</v>
      </c>
      <c r="AF40" s="835">
        <v>17080.73</v>
      </c>
      <c r="AG40" s="813"/>
      <c r="AH40" s="834">
        <v>631.93545454545449</v>
      </c>
      <c r="AI40" s="835">
        <v>13902.58</v>
      </c>
      <c r="AJ40" s="813"/>
      <c r="AK40" s="834">
        <v>645.76590909090908</v>
      </c>
      <c r="AL40" s="835">
        <v>14206.85</v>
      </c>
      <c r="AM40" s="813"/>
      <c r="AN40" s="834">
        <v>1012.295625</v>
      </c>
      <c r="AO40" s="835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0.44190236700068841</v>
      </c>
      <c r="E44" s="842">
        <v>784636.34999999986</v>
      </c>
      <c r="F44" s="840" t="s">
        <v>108</v>
      </c>
      <c r="G44" s="841">
        <v>0.48611489803624408</v>
      </c>
      <c r="H44" s="842">
        <v>41879.620000000003</v>
      </c>
      <c r="I44" s="840" t="s">
        <v>108</v>
      </c>
      <c r="J44" s="841">
        <v>0.67285433255605798</v>
      </c>
      <c r="K44" s="842">
        <v>29969.08</v>
      </c>
      <c r="L44" s="840" t="s">
        <v>108</v>
      </c>
      <c r="M44" s="841">
        <v>0.36577336912963865</v>
      </c>
      <c r="N44" s="842">
        <v>72468.75</v>
      </c>
      <c r="O44" s="840" t="s">
        <v>108</v>
      </c>
      <c r="P44" s="841">
        <v>0.38550688263011057</v>
      </c>
      <c r="Q44" s="842">
        <v>77443.830000000016</v>
      </c>
      <c r="R44" s="840" t="s">
        <v>108</v>
      </c>
      <c r="S44" s="841">
        <v>0.40274192525032709</v>
      </c>
      <c r="T44" s="842">
        <v>91087.96</v>
      </c>
      <c r="U44" s="840" t="s">
        <v>108</v>
      </c>
      <c r="V44" s="841">
        <v>0.38391906166547751</v>
      </c>
      <c r="W44" s="842">
        <v>57791.87</v>
      </c>
      <c r="X44" s="840" t="s">
        <v>108</v>
      </c>
      <c r="Y44" s="841">
        <v>0.44252885043295614</v>
      </c>
      <c r="Z44" s="842">
        <v>46079.829999999987</v>
      </c>
      <c r="AA44" s="840" t="s">
        <v>108</v>
      </c>
      <c r="AB44" s="841">
        <v>0.41977867052261131</v>
      </c>
      <c r="AC44" s="842">
        <v>80345.51999999999</v>
      </c>
      <c r="AD44" s="840" t="s">
        <v>108</v>
      </c>
      <c r="AE44" s="841">
        <v>0.40067114714162311</v>
      </c>
      <c r="AF44" s="842">
        <v>77177.06</v>
      </c>
      <c r="AG44" s="840" t="s">
        <v>108</v>
      </c>
      <c r="AH44" s="841">
        <v>0.54600715022887203</v>
      </c>
      <c r="AI44" s="842">
        <v>76374.41</v>
      </c>
      <c r="AJ44" s="840" t="s">
        <v>108</v>
      </c>
      <c r="AK44" s="841">
        <v>0.51008848063528467</v>
      </c>
      <c r="AL44" s="842">
        <v>74207.310000000012</v>
      </c>
      <c r="AM44" s="840" t="s">
        <v>108</v>
      </c>
      <c r="AN44" s="841">
        <v>0.62513741584422644</v>
      </c>
      <c r="AO44" s="842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186404.95</v>
      </c>
      <c r="F45" s="813"/>
      <c r="G45" s="821"/>
      <c r="H45" s="835">
        <v>17915.84</v>
      </c>
      <c r="I45" s="813"/>
      <c r="J45" s="821"/>
      <c r="K45" s="835">
        <v>15135.03</v>
      </c>
      <c r="L45" s="813"/>
      <c r="M45" s="821"/>
      <c r="N45" s="835">
        <v>14431.24</v>
      </c>
      <c r="O45" s="813"/>
      <c r="P45" s="821"/>
      <c r="Q45" s="835">
        <v>13604.22</v>
      </c>
      <c r="R45" s="813"/>
      <c r="S45" s="821"/>
      <c r="T45" s="835">
        <v>15431.24</v>
      </c>
      <c r="U45" s="813"/>
      <c r="V45" s="821"/>
      <c r="W45" s="835">
        <v>14604.22</v>
      </c>
      <c r="X45" s="813"/>
      <c r="Y45" s="821"/>
      <c r="Z45" s="835">
        <v>10496.39</v>
      </c>
      <c r="AA45" s="813"/>
      <c r="AB45" s="821"/>
      <c r="AC45" s="835">
        <v>18431.25</v>
      </c>
      <c r="AD45" s="813"/>
      <c r="AE45" s="821"/>
      <c r="AF45" s="835">
        <v>18400.43</v>
      </c>
      <c r="AG45" s="813"/>
      <c r="AH45" s="821"/>
      <c r="AI45" s="835">
        <v>17915.84</v>
      </c>
      <c r="AJ45" s="813"/>
      <c r="AK45" s="821"/>
      <c r="AL45" s="835">
        <v>15588.82</v>
      </c>
      <c r="AM45" s="813"/>
      <c r="AN45" s="821"/>
      <c r="AO45" s="835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81679.179999999993</v>
      </c>
      <c r="F46" s="813"/>
      <c r="G46" s="821"/>
      <c r="H46" s="835">
        <v>7006.44</v>
      </c>
      <c r="I46" s="813"/>
      <c r="J46" s="821"/>
      <c r="K46" s="835">
        <v>6781.09</v>
      </c>
      <c r="L46" s="813"/>
      <c r="M46" s="821"/>
      <c r="N46" s="835">
        <v>7221.4</v>
      </c>
      <c r="O46" s="813"/>
      <c r="P46" s="821"/>
      <c r="Q46" s="835">
        <v>6649.17</v>
      </c>
      <c r="R46" s="813"/>
      <c r="S46" s="821"/>
      <c r="T46" s="835">
        <v>8287.01</v>
      </c>
      <c r="U46" s="813"/>
      <c r="V46" s="821"/>
      <c r="W46" s="835">
        <v>6890.54</v>
      </c>
      <c r="X46" s="813"/>
      <c r="Y46" s="821"/>
      <c r="Z46" s="835">
        <v>6302.71</v>
      </c>
      <c r="AA46" s="813"/>
      <c r="AB46" s="821"/>
      <c r="AC46" s="835">
        <v>7085.63</v>
      </c>
      <c r="AD46" s="813"/>
      <c r="AE46" s="821"/>
      <c r="AF46" s="835">
        <v>6065.73</v>
      </c>
      <c r="AG46" s="813"/>
      <c r="AH46" s="821"/>
      <c r="AI46" s="835">
        <v>7314.42</v>
      </c>
      <c r="AJ46" s="813"/>
      <c r="AK46" s="821"/>
      <c r="AL46" s="835">
        <v>6694.98</v>
      </c>
      <c r="AM46" s="813"/>
      <c r="AN46" s="821"/>
      <c r="AO46" s="835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73886.69</v>
      </c>
      <c r="F52" s="813"/>
      <c r="G52" s="821"/>
      <c r="H52" s="835">
        <v>3903.18</v>
      </c>
      <c r="I52" s="813"/>
      <c r="J52" s="821"/>
      <c r="K52" s="835">
        <v>6938.82</v>
      </c>
      <c r="L52" s="813"/>
      <c r="M52" s="821"/>
      <c r="N52" s="835">
        <v>3234.63</v>
      </c>
      <c r="O52" s="813"/>
      <c r="P52" s="821"/>
      <c r="Q52" s="835">
        <v>5562.25</v>
      </c>
      <c r="R52" s="813"/>
      <c r="S52" s="821"/>
      <c r="T52" s="835">
        <v>7533.08</v>
      </c>
      <c r="U52" s="813"/>
      <c r="V52" s="821"/>
      <c r="W52" s="835">
        <v>7615.48</v>
      </c>
      <c r="X52" s="813"/>
      <c r="Y52" s="821"/>
      <c r="Z52" s="835">
        <v>4841.25</v>
      </c>
      <c r="AA52" s="813"/>
      <c r="AB52" s="821"/>
      <c r="AC52" s="835">
        <v>5383.38</v>
      </c>
      <c r="AD52" s="813"/>
      <c r="AE52" s="821"/>
      <c r="AF52" s="835">
        <v>6752.15</v>
      </c>
      <c r="AG52" s="813"/>
      <c r="AH52" s="821"/>
      <c r="AI52" s="835">
        <v>6363.86</v>
      </c>
      <c r="AJ52" s="813"/>
      <c r="AK52" s="821"/>
      <c r="AL52" s="835">
        <v>5043.63</v>
      </c>
      <c r="AM52" s="813"/>
      <c r="AN52" s="821"/>
      <c r="AO52" s="835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92813.140000000014</v>
      </c>
      <c r="F53" s="843"/>
      <c r="G53" s="844"/>
      <c r="H53" s="845">
        <v>8593.8700000000008</v>
      </c>
      <c r="I53" s="843"/>
      <c r="J53" s="844"/>
      <c r="K53" s="845">
        <v>8155.65</v>
      </c>
      <c r="L53" s="843"/>
      <c r="M53" s="844"/>
      <c r="N53" s="845">
        <v>8526.27</v>
      </c>
      <c r="O53" s="843"/>
      <c r="P53" s="844"/>
      <c r="Q53" s="845">
        <v>10343.44</v>
      </c>
      <c r="R53" s="843"/>
      <c r="S53" s="844"/>
      <c r="T53" s="845">
        <v>11152.22</v>
      </c>
      <c r="U53" s="843"/>
      <c r="V53" s="844"/>
      <c r="W53" s="845">
        <v>7630.09</v>
      </c>
      <c r="X53" s="843"/>
      <c r="Y53" s="844"/>
      <c r="Z53" s="845">
        <v>6444.83</v>
      </c>
      <c r="AA53" s="843"/>
      <c r="AB53" s="844"/>
      <c r="AC53" s="845">
        <v>6393.44</v>
      </c>
      <c r="AD53" s="843"/>
      <c r="AE53" s="844"/>
      <c r="AF53" s="845">
        <v>6336.97</v>
      </c>
      <c r="AG53" s="843"/>
      <c r="AH53" s="844"/>
      <c r="AI53" s="845">
        <v>5961.27</v>
      </c>
      <c r="AJ53" s="843"/>
      <c r="AK53" s="844"/>
      <c r="AL53" s="845">
        <v>6230.97</v>
      </c>
      <c r="AM53" s="843"/>
      <c r="AN53" s="844"/>
      <c r="AO53" s="845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41278.619999999995</v>
      </c>
      <c r="F54" s="813"/>
      <c r="G54" s="821"/>
      <c r="H54" s="835">
        <v>2223.6</v>
      </c>
      <c r="I54" s="813"/>
      <c r="J54" s="821"/>
      <c r="K54" s="835">
        <v>3026.84</v>
      </c>
      <c r="L54" s="813"/>
      <c r="M54" s="821"/>
      <c r="N54" s="835">
        <v>3288.12</v>
      </c>
      <c r="O54" s="813"/>
      <c r="P54" s="821"/>
      <c r="Q54" s="835">
        <v>3409.51</v>
      </c>
      <c r="R54" s="813"/>
      <c r="S54" s="821"/>
      <c r="T54" s="835">
        <v>4253.3</v>
      </c>
      <c r="U54" s="813"/>
      <c r="V54" s="821"/>
      <c r="W54" s="835">
        <v>3798.41</v>
      </c>
      <c r="X54" s="813"/>
      <c r="Y54" s="821"/>
      <c r="Z54" s="835">
        <v>3789.41</v>
      </c>
      <c r="AA54" s="813"/>
      <c r="AB54" s="821"/>
      <c r="AC54" s="835">
        <v>3306.05</v>
      </c>
      <c r="AD54" s="813"/>
      <c r="AE54" s="821"/>
      <c r="AF54" s="835">
        <v>3350.01</v>
      </c>
      <c r="AG54" s="813"/>
      <c r="AH54" s="821"/>
      <c r="AI54" s="835">
        <v>3452.34</v>
      </c>
      <c r="AJ54" s="813"/>
      <c r="AK54" s="821"/>
      <c r="AL54" s="835">
        <v>3801.06</v>
      </c>
      <c r="AM54" s="813"/>
      <c r="AN54" s="821"/>
      <c r="AO54" s="835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7035.6900000000014</v>
      </c>
      <c r="F55" s="813"/>
      <c r="G55" s="821"/>
      <c r="H55" s="835">
        <v>716.66</v>
      </c>
      <c r="I55" s="813"/>
      <c r="J55" s="821"/>
      <c r="K55" s="835">
        <v>1186.79</v>
      </c>
      <c r="L55" s="813"/>
      <c r="M55" s="821"/>
      <c r="N55" s="835">
        <v>666.22</v>
      </c>
      <c r="O55" s="813"/>
      <c r="P55" s="821"/>
      <c r="Q55" s="835">
        <v>900.84</v>
      </c>
      <c r="R55" s="813"/>
      <c r="S55" s="821"/>
      <c r="T55" s="835">
        <v>1068.9000000000001</v>
      </c>
      <c r="U55" s="813"/>
      <c r="V55" s="821"/>
      <c r="W55" s="835">
        <v>878.72</v>
      </c>
      <c r="X55" s="813"/>
      <c r="Y55" s="821"/>
      <c r="Z55" s="835">
        <v>707.76</v>
      </c>
      <c r="AA55" s="813"/>
      <c r="AB55" s="821"/>
      <c r="AC55" s="835">
        <v>303.64</v>
      </c>
      <c r="AD55" s="813"/>
      <c r="AE55" s="821"/>
      <c r="AF55" s="835">
        <v>100.85</v>
      </c>
      <c r="AG55" s="813"/>
      <c r="AH55" s="821"/>
      <c r="AI55" s="835">
        <v>87.56</v>
      </c>
      <c r="AJ55" s="813"/>
      <c r="AK55" s="821"/>
      <c r="AL55" s="835">
        <v>80.34</v>
      </c>
      <c r="AM55" s="813"/>
      <c r="AN55" s="821"/>
      <c r="AO55" s="835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0.27438932229064911</v>
      </c>
      <c r="E57" s="842">
        <v>487202.27</v>
      </c>
      <c r="F57" s="840" t="s">
        <v>108</v>
      </c>
      <c r="G57" s="841">
        <v>0.47244099332236089</v>
      </c>
      <c r="H57" s="842">
        <v>40701.590000000004</v>
      </c>
      <c r="I57" s="840" t="s">
        <v>108</v>
      </c>
      <c r="J57" s="841">
        <v>0.93322888840692719</v>
      </c>
      <c r="K57" s="842">
        <v>41566.220000000008</v>
      </c>
      <c r="L57" s="840" t="s">
        <v>108</v>
      </c>
      <c r="M57" s="841">
        <v>0.19033403856247527</v>
      </c>
      <c r="N57" s="842">
        <v>37709.880000000005</v>
      </c>
      <c r="O57" s="840" t="s">
        <v>108</v>
      </c>
      <c r="P57" s="841">
        <v>0.20315481756231543</v>
      </c>
      <c r="Q57" s="842">
        <v>40811.43</v>
      </c>
      <c r="R57" s="840" t="s">
        <v>108</v>
      </c>
      <c r="S57" s="841">
        <v>0.21252971498594778</v>
      </c>
      <c r="T57" s="842">
        <v>48067.750000000007</v>
      </c>
      <c r="U57" s="840" t="s">
        <v>108</v>
      </c>
      <c r="V57" s="841">
        <v>0.27741363445856732</v>
      </c>
      <c r="W57" s="842">
        <v>41759.460000000006</v>
      </c>
      <c r="X57" s="840" t="s">
        <v>108</v>
      </c>
      <c r="Y57" s="841">
        <v>0.31618985479660633</v>
      </c>
      <c r="Z57" s="842">
        <v>32924.35</v>
      </c>
      <c r="AA57" s="840" t="s">
        <v>108</v>
      </c>
      <c r="AB57" s="841">
        <v>0.21549347094133703</v>
      </c>
      <c r="AC57" s="842">
        <v>41245.390000000007</v>
      </c>
      <c r="AD57" s="840" t="s">
        <v>108</v>
      </c>
      <c r="AE57" s="841">
        <v>0.21466231916546746</v>
      </c>
      <c r="AF57" s="842">
        <v>41348.14</v>
      </c>
      <c r="AG57" s="840" t="s">
        <v>108</v>
      </c>
      <c r="AH57" s="841">
        <v>0.29623870909257871</v>
      </c>
      <c r="AI57" s="842">
        <v>41437.289999999994</v>
      </c>
      <c r="AJ57" s="840" t="s">
        <v>108</v>
      </c>
      <c r="AK57" s="841">
        <v>0.25970569419193601</v>
      </c>
      <c r="AL57" s="842">
        <v>37781.799999999996</v>
      </c>
      <c r="AM57" s="840" t="s">
        <v>108</v>
      </c>
      <c r="AN57" s="841">
        <v>0.43739962293865742</v>
      </c>
      <c r="AO57" s="842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57977.580000000009</v>
      </c>
      <c r="F60" s="848"/>
      <c r="G60" s="849"/>
      <c r="H60" s="850">
        <v>3900.35</v>
      </c>
      <c r="I60" s="848"/>
      <c r="J60" s="849"/>
      <c r="K60" s="850">
        <v>4453.62</v>
      </c>
      <c r="L60" s="848"/>
      <c r="M60" s="849"/>
      <c r="N60" s="850">
        <v>4220.6400000000003</v>
      </c>
      <c r="O60" s="848"/>
      <c r="P60" s="849"/>
      <c r="Q60" s="850">
        <v>3938.31</v>
      </c>
      <c r="R60" s="848"/>
      <c r="S60" s="849"/>
      <c r="T60" s="850">
        <v>4318.92</v>
      </c>
      <c r="U60" s="848"/>
      <c r="V60" s="849"/>
      <c r="W60" s="850">
        <v>6947.4</v>
      </c>
      <c r="X60" s="848"/>
      <c r="Y60" s="849"/>
      <c r="Z60" s="850">
        <v>4507.1099999999997</v>
      </c>
      <c r="AA60" s="848"/>
      <c r="AB60" s="849"/>
      <c r="AC60" s="850">
        <v>4266.63</v>
      </c>
      <c r="AD60" s="848"/>
      <c r="AE60" s="849"/>
      <c r="AF60" s="850">
        <v>5975.59</v>
      </c>
      <c r="AG60" s="848"/>
      <c r="AH60" s="849"/>
      <c r="AI60" s="850">
        <v>5945.3</v>
      </c>
      <c r="AJ60" s="848"/>
      <c r="AK60" s="849"/>
      <c r="AL60" s="850">
        <v>5151.59</v>
      </c>
      <c r="AM60" s="848"/>
      <c r="AN60" s="849"/>
      <c r="AO60" s="850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57517.159999999996</v>
      </c>
      <c r="F61" s="813"/>
      <c r="G61" s="821"/>
      <c r="H61" s="835">
        <v>4417.22</v>
      </c>
      <c r="I61" s="813"/>
      <c r="J61" s="821"/>
      <c r="K61" s="835">
        <v>5158.28</v>
      </c>
      <c r="L61" s="813"/>
      <c r="M61" s="821"/>
      <c r="N61" s="835">
        <v>4417.22</v>
      </c>
      <c r="O61" s="813"/>
      <c r="P61" s="821"/>
      <c r="Q61" s="835">
        <v>4620.97</v>
      </c>
      <c r="R61" s="813"/>
      <c r="S61" s="821"/>
      <c r="T61" s="835">
        <v>5673.05</v>
      </c>
      <c r="U61" s="813"/>
      <c r="V61" s="821"/>
      <c r="W61" s="835">
        <v>4560.8</v>
      </c>
      <c r="X61" s="813"/>
      <c r="Y61" s="821"/>
      <c r="Z61" s="835">
        <v>4923.88</v>
      </c>
      <c r="AA61" s="813"/>
      <c r="AB61" s="821"/>
      <c r="AC61" s="835">
        <v>4819.6099999999997</v>
      </c>
      <c r="AD61" s="813"/>
      <c r="AE61" s="821"/>
      <c r="AF61" s="835">
        <v>4534.6400000000003</v>
      </c>
      <c r="AG61" s="813"/>
      <c r="AH61" s="821"/>
      <c r="AI61" s="835">
        <v>4756.88</v>
      </c>
      <c r="AJ61" s="813"/>
      <c r="AK61" s="821"/>
      <c r="AL61" s="835">
        <v>4757.24</v>
      </c>
      <c r="AM61" s="813"/>
      <c r="AN61" s="821"/>
      <c r="AO61" s="835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10822.28</v>
      </c>
      <c r="F62" s="813"/>
      <c r="G62" s="821"/>
      <c r="H62" s="835">
        <v>794.79</v>
      </c>
      <c r="I62" s="813"/>
      <c r="J62" s="821"/>
      <c r="K62" s="835">
        <v>575.76</v>
      </c>
      <c r="L62" s="813"/>
      <c r="M62" s="821"/>
      <c r="N62" s="835">
        <v>676.56</v>
      </c>
      <c r="O62" s="813"/>
      <c r="P62" s="821"/>
      <c r="Q62" s="835">
        <v>524.23</v>
      </c>
      <c r="R62" s="813"/>
      <c r="S62" s="821"/>
      <c r="T62" s="835">
        <v>555.96</v>
      </c>
      <c r="U62" s="813"/>
      <c r="V62" s="821"/>
      <c r="W62" s="835">
        <v>1724.36</v>
      </c>
      <c r="X62" s="813"/>
      <c r="Y62" s="821"/>
      <c r="Z62" s="835">
        <v>681.65</v>
      </c>
      <c r="AA62" s="813"/>
      <c r="AB62" s="821"/>
      <c r="AC62" s="835">
        <v>428.8</v>
      </c>
      <c r="AD62" s="813"/>
      <c r="AE62" s="821"/>
      <c r="AF62" s="835">
        <v>342.17</v>
      </c>
      <c r="AG62" s="813"/>
      <c r="AH62" s="821"/>
      <c r="AI62" s="835">
        <v>544.79999999999995</v>
      </c>
      <c r="AJ62" s="813"/>
      <c r="AK62" s="821"/>
      <c r="AL62" s="835">
        <v>2422.62</v>
      </c>
      <c r="AM62" s="813"/>
      <c r="AN62" s="821"/>
      <c r="AO62" s="835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32741.49</v>
      </c>
      <c r="F63" s="848"/>
      <c r="G63" s="849"/>
      <c r="H63" s="850">
        <v>2505.85</v>
      </c>
      <c r="I63" s="848"/>
      <c r="J63" s="849"/>
      <c r="K63" s="850">
        <v>2535.84</v>
      </c>
      <c r="L63" s="848"/>
      <c r="M63" s="849"/>
      <c r="N63" s="850">
        <v>2995.68</v>
      </c>
      <c r="O63" s="848"/>
      <c r="P63" s="849"/>
      <c r="Q63" s="850">
        <v>3346.33</v>
      </c>
      <c r="R63" s="848"/>
      <c r="S63" s="849"/>
      <c r="T63" s="850">
        <v>2080.7199999999998</v>
      </c>
      <c r="U63" s="848"/>
      <c r="V63" s="849"/>
      <c r="W63" s="850">
        <v>3162.47</v>
      </c>
      <c r="X63" s="848"/>
      <c r="Y63" s="849"/>
      <c r="Z63" s="850">
        <v>2466.58</v>
      </c>
      <c r="AA63" s="848"/>
      <c r="AB63" s="849"/>
      <c r="AC63" s="850">
        <v>2359.25</v>
      </c>
      <c r="AD63" s="848"/>
      <c r="AE63" s="849"/>
      <c r="AF63" s="850">
        <v>3374.59</v>
      </c>
      <c r="AG63" s="848"/>
      <c r="AH63" s="849"/>
      <c r="AI63" s="850">
        <v>2150.34</v>
      </c>
      <c r="AJ63" s="848"/>
      <c r="AK63" s="849"/>
      <c r="AL63" s="850">
        <v>3183.03</v>
      </c>
      <c r="AM63" s="848"/>
      <c r="AN63" s="849"/>
      <c r="AO63" s="850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651.17000000000007</v>
      </c>
      <c r="F64" s="813"/>
      <c r="G64" s="821"/>
      <c r="H64" s="835">
        <v>191.66</v>
      </c>
      <c r="I64" s="813"/>
      <c r="J64" s="821"/>
      <c r="K64" s="835">
        <v>41.97</v>
      </c>
      <c r="L64" s="813"/>
      <c r="M64" s="821"/>
      <c r="N64" s="835">
        <v>0</v>
      </c>
      <c r="O64" s="813"/>
      <c r="P64" s="821"/>
      <c r="Q64" s="835">
        <v>20.69</v>
      </c>
      <c r="R64" s="813"/>
      <c r="S64" s="821"/>
      <c r="T64" s="835">
        <v>210.75</v>
      </c>
      <c r="U64" s="813"/>
      <c r="V64" s="821"/>
      <c r="W64" s="835">
        <v>36.35</v>
      </c>
      <c r="X64" s="813"/>
      <c r="Y64" s="821"/>
      <c r="Z64" s="835">
        <v>0</v>
      </c>
      <c r="AA64" s="813"/>
      <c r="AB64" s="821"/>
      <c r="AC64" s="835">
        <v>0</v>
      </c>
      <c r="AD64" s="813"/>
      <c r="AE64" s="821"/>
      <c r="AF64" s="835">
        <v>119.55</v>
      </c>
      <c r="AG64" s="813"/>
      <c r="AH64" s="821"/>
      <c r="AI64" s="835">
        <v>0</v>
      </c>
      <c r="AJ64" s="813"/>
      <c r="AK64" s="821"/>
      <c r="AL64" s="835">
        <v>30.2</v>
      </c>
      <c r="AM64" s="813"/>
      <c r="AN64" s="821"/>
      <c r="AO64" s="835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155.03</v>
      </c>
      <c r="F65" s="813"/>
      <c r="G65" s="821"/>
      <c r="H65" s="835">
        <v>0</v>
      </c>
      <c r="I65" s="813"/>
      <c r="J65" s="821"/>
      <c r="K65" s="835">
        <v>0</v>
      </c>
      <c r="L65" s="813"/>
      <c r="M65" s="821"/>
      <c r="N65" s="835">
        <v>71.89</v>
      </c>
      <c r="O65" s="813"/>
      <c r="P65" s="821"/>
      <c r="Q65" s="835">
        <v>83.14</v>
      </c>
      <c r="R65" s="813"/>
      <c r="S65" s="821"/>
      <c r="T65" s="835">
        <v>0</v>
      </c>
      <c r="U65" s="813"/>
      <c r="V65" s="821"/>
      <c r="W65" s="835">
        <v>0</v>
      </c>
      <c r="X65" s="813"/>
      <c r="Y65" s="821"/>
      <c r="Z65" s="835">
        <v>0</v>
      </c>
      <c r="AA65" s="813"/>
      <c r="AB65" s="821"/>
      <c r="AC65" s="835">
        <v>0</v>
      </c>
      <c r="AD65" s="813"/>
      <c r="AE65" s="821"/>
      <c r="AF65" s="835">
        <v>0</v>
      </c>
      <c r="AG65" s="813"/>
      <c r="AH65" s="821"/>
      <c r="AI65" s="835">
        <v>0</v>
      </c>
      <c r="AJ65" s="813"/>
      <c r="AK65" s="821"/>
      <c r="AL65" s="835">
        <v>0</v>
      </c>
      <c r="AM65" s="813"/>
      <c r="AN65" s="821"/>
      <c r="AO65" s="835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7349.04</v>
      </c>
      <c r="F66" s="813"/>
      <c r="G66" s="821"/>
      <c r="H66" s="835">
        <v>569.07000000000005</v>
      </c>
      <c r="I66" s="813"/>
      <c r="J66" s="821"/>
      <c r="K66" s="835">
        <v>738.18</v>
      </c>
      <c r="L66" s="813"/>
      <c r="M66" s="821"/>
      <c r="N66" s="835">
        <v>276.01</v>
      </c>
      <c r="O66" s="813"/>
      <c r="P66" s="821"/>
      <c r="Q66" s="835">
        <v>578.44000000000005</v>
      </c>
      <c r="R66" s="813"/>
      <c r="S66" s="821"/>
      <c r="T66" s="835">
        <v>561.34</v>
      </c>
      <c r="U66" s="813"/>
      <c r="V66" s="821"/>
      <c r="W66" s="835">
        <v>1019.53</v>
      </c>
      <c r="X66" s="813"/>
      <c r="Y66" s="821"/>
      <c r="Z66" s="835">
        <v>590.87</v>
      </c>
      <c r="AA66" s="813"/>
      <c r="AB66" s="821"/>
      <c r="AC66" s="835">
        <v>736.41</v>
      </c>
      <c r="AD66" s="813"/>
      <c r="AE66" s="821"/>
      <c r="AF66" s="835">
        <v>594.30999999999995</v>
      </c>
      <c r="AG66" s="813"/>
      <c r="AH66" s="821"/>
      <c r="AI66" s="835">
        <v>609.26</v>
      </c>
      <c r="AJ66" s="813"/>
      <c r="AK66" s="821"/>
      <c r="AL66" s="835">
        <v>746.08</v>
      </c>
      <c r="AM66" s="813"/>
      <c r="AN66" s="821"/>
      <c r="AO66" s="835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2939.9100000000003</v>
      </c>
      <c r="F67" s="813"/>
      <c r="G67" s="821"/>
      <c r="H67" s="835">
        <v>362.84</v>
      </c>
      <c r="I67" s="813"/>
      <c r="J67" s="821"/>
      <c r="K67" s="835">
        <v>219.4</v>
      </c>
      <c r="L67" s="813"/>
      <c r="M67" s="821"/>
      <c r="N67" s="835">
        <v>177.59</v>
      </c>
      <c r="O67" s="813"/>
      <c r="P67" s="821"/>
      <c r="Q67" s="835">
        <v>173.28</v>
      </c>
      <c r="R67" s="813"/>
      <c r="S67" s="821"/>
      <c r="T67" s="835">
        <v>340.2</v>
      </c>
      <c r="U67" s="813"/>
      <c r="V67" s="821"/>
      <c r="W67" s="835">
        <v>401.68</v>
      </c>
      <c r="X67" s="813"/>
      <c r="Y67" s="821"/>
      <c r="Z67" s="835">
        <v>138.35</v>
      </c>
      <c r="AA67" s="813"/>
      <c r="AB67" s="821"/>
      <c r="AC67" s="835">
        <v>273.86</v>
      </c>
      <c r="AD67" s="813"/>
      <c r="AE67" s="821"/>
      <c r="AF67" s="835">
        <v>219.58</v>
      </c>
      <c r="AG67" s="813"/>
      <c r="AH67" s="821"/>
      <c r="AI67" s="835">
        <v>206.26</v>
      </c>
      <c r="AJ67" s="813"/>
      <c r="AK67" s="821"/>
      <c r="AL67" s="835">
        <v>206.76</v>
      </c>
      <c r="AM67" s="813"/>
      <c r="AN67" s="821"/>
      <c r="AO67" s="835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3545.45</v>
      </c>
      <c r="F68" s="813"/>
      <c r="G68" s="821"/>
      <c r="H68" s="835">
        <v>204.12</v>
      </c>
      <c r="I68" s="813"/>
      <c r="J68" s="821"/>
      <c r="K68" s="835">
        <v>376.47</v>
      </c>
      <c r="L68" s="813"/>
      <c r="M68" s="821"/>
      <c r="N68" s="835">
        <v>228.77</v>
      </c>
      <c r="O68" s="813"/>
      <c r="P68" s="821"/>
      <c r="Q68" s="835">
        <v>295.54000000000002</v>
      </c>
      <c r="R68" s="813"/>
      <c r="S68" s="821"/>
      <c r="T68" s="835">
        <v>165.25</v>
      </c>
      <c r="U68" s="813"/>
      <c r="V68" s="821"/>
      <c r="W68" s="835">
        <v>198.76</v>
      </c>
      <c r="X68" s="813"/>
      <c r="Y68" s="821"/>
      <c r="Z68" s="835">
        <v>266.48</v>
      </c>
      <c r="AA68" s="813"/>
      <c r="AB68" s="821"/>
      <c r="AC68" s="835">
        <v>297.43</v>
      </c>
      <c r="AD68" s="813"/>
      <c r="AE68" s="821"/>
      <c r="AF68" s="835">
        <v>268.20999999999998</v>
      </c>
      <c r="AG68" s="813"/>
      <c r="AH68" s="821"/>
      <c r="AI68" s="835">
        <v>386.76</v>
      </c>
      <c r="AJ68" s="813"/>
      <c r="AK68" s="821"/>
      <c r="AL68" s="835">
        <v>319.88</v>
      </c>
      <c r="AM68" s="813"/>
      <c r="AN68" s="821"/>
      <c r="AO68" s="835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9654.35</v>
      </c>
      <c r="F69" s="813"/>
      <c r="G69" s="821"/>
      <c r="H69" s="835">
        <v>668.39</v>
      </c>
      <c r="I69" s="813"/>
      <c r="J69" s="821"/>
      <c r="K69" s="835">
        <v>762.73</v>
      </c>
      <c r="L69" s="813"/>
      <c r="M69" s="821"/>
      <c r="N69" s="835">
        <v>678.45</v>
      </c>
      <c r="O69" s="813"/>
      <c r="P69" s="821"/>
      <c r="Q69" s="835">
        <v>858.09</v>
      </c>
      <c r="R69" s="813"/>
      <c r="S69" s="821"/>
      <c r="T69" s="835">
        <v>972.45</v>
      </c>
      <c r="U69" s="813"/>
      <c r="V69" s="821"/>
      <c r="W69" s="835">
        <v>658.8</v>
      </c>
      <c r="X69" s="813"/>
      <c r="Y69" s="821"/>
      <c r="Z69" s="835">
        <v>668.16</v>
      </c>
      <c r="AA69" s="813"/>
      <c r="AB69" s="821"/>
      <c r="AC69" s="835">
        <v>1037.93</v>
      </c>
      <c r="AD69" s="813"/>
      <c r="AE69" s="821"/>
      <c r="AF69" s="835">
        <v>715.19</v>
      </c>
      <c r="AG69" s="813"/>
      <c r="AH69" s="821"/>
      <c r="AI69" s="835">
        <v>928.58</v>
      </c>
      <c r="AJ69" s="813"/>
      <c r="AK69" s="821"/>
      <c r="AL69" s="835">
        <v>751.95</v>
      </c>
      <c r="AM69" s="813"/>
      <c r="AN69" s="821"/>
      <c r="AO69" s="835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4850.8599999999997</v>
      </c>
      <c r="F70" s="813"/>
      <c r="G70" s="821"/>
      <c r="H70" s="835">
        <v>339.88</v>
      </c>
      <c r="I70" s="813"/>
      <c r="J70" s="821"/>
      <c r="K70" s="835">
        <v>57.63</v>
      </c>
      <c r="L70" s="813"/>
      <c r="M70" s="821"/>
      <c r="N70" s="835">
        <v>162.21</v>
      </c>
      <c r="O70" s="813"/>
      <c r="P70" s="821"/>
      <c r="Q70" s="835">
        <v>260.10000000000002</v>
      </c>
      <c r="R70" s="813"/>
      <c r="S70" s="821"/>
      <c r="T70" s="835">
        <v>239.26</v>
      </c>
      <c r="U70" s="813"/>
      <c r="V70" s="821"/>
      <c r="W70" s="835">
        <v>570.88</v>
      </c>
      <c r="X70" s="813"/>
      <c r="Y70" s="821"/>
      <c r="Z70" s="835">
        <v>1010.64</v>
      </c>
      <c r="AA70" s="813"/>
      <c r="AB70" s="821"/>
      <c r="AC70" s="835">
        <v>370.07</v>
      </c>
      <c r="AD70" s="813"/>
      <c r="AE70" s="821"/>
      <c r="AF70" s="835">
        <v>-256.86</v>
      </c>
      <c r="AG70" s="813"/>
      <c r="AH70" s="821"/>
      <c r="AI70" s="835">
        <v>488.73</v>
      </c>
      <c r="AJ70" s="813"/>
      <c r="AK70" s="821"/>
      <c r="AL70" s="835">
        <v>740.68</v>
      </c>
      <c r="AM70" s="813"/>
      <c r="AN70" s="821"/>
      <c r="AO70" s="835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31444.38</v>
      </c>
      <c r="F71" s="813"/>
      <c r="G71" s="821"/>
      <c r="H71" s="835">
        <v>1889.61</v>
      </c>
      <c r="I71" s="813"/>
      <c r="J71" s="821"/>
      <c r="K71" s="835">
        <v>1938.39</v>
      </c>
      <c r="L71" s="813"/>
      <c r="M71" s="821"/>
      <c r="N71" s="835">
        <v>2199.58</v>
      </c>
      <c r="O71" s="813"/>
      <c r="P71" s="821"/>
      <c r="Q71" s="835">
        <v>3314.97</v>
      </c>
      <c r="R71" s="813"/>
      <c r="S71" s="821"/>
      <c r="T71" s="835">
        <v>3184.55</v>
      </c>
      <c r="U71" s="813"/>
      <c r="V71" s="821"/>
      <c r="W71" s="835">
        <v>3121.95</v>
      </c>
      <c r="X71" s="813"/>
      <c r="Y71" s="821"/>
      <c r="Z71" s="835">
        <v>2428.92</v>
      </c>
      <c r="AA71" s="813"/>
      <c r="AB71" s="821"/>
      <c r="AC71" s="835">
        <v>2629.8</v>
      </c>
      <c r="AD71" s="813"/>
      <c r="AE71" s="821"/>
      <c r="AF71" s="835">
        <v>2576.4499999999998</v>
      </c>
      <c r="AG71" s="813"/>
      <c r="AH71" s="821"/>
      <c r="AI71" s="835">
        <v>3065.55</v>
      </c>
      <c r="AJ71" s="813"/>
      <c r="AK71" s="821"/>
      <c r="AL71" s="835">
        <v>3509.48</v>
      </c>
      <c r="AM71" s="813"/>
      <c r="AN71" s="821"/>
      <c r="AO71" s="835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0.12370479705487025</v>
      </c>
      <c r="E75" s="842">
        <v>219648.70000000004</v>
      </c>
      <c r="F75" s="840" t="s">
        <v>108</v>
      </c>
      <c r="G75" s="841">
        <v>0.18390562042369732</v>
      </c>
      <c r="H75" s="842">
        <v>15843.78</v>
      </c>
      <c r="I75" s="840" t="s">
        <v>108</v>
      </c>
      <c r="J75" s="841">
        <v>0.37849543625963206</v>
      </c>
      <c r="K75" s="842">
        <v>16858.269999999997</v>
      </c>
      <c r="L75" s="840" t="s">
        <v>108</v>
      </c>
      <c r="M75" s="841">
        <v>8.1285158092076634E-2</v>
      </c>
      <c r="N75" s="842">
        <v>16104.6</v>
      </c>
      <c r="O75" s="840" t="s">
        <v>108</v>
      </c>
      <c r="P75" s="841">
        <v>8.9672162124707008E-2</v>
      </c>
      <c r="Q75" s="842">
        <v>18014.090000000004</v>
      </c>
      <c r="R75" s="840" t="s">
        <v>108</v>
      </c>
      <c r="S75" s="841">
        <v>8.0923581445866713E-2</v>
      </c>
      <c r="T75" s="842">
        <v>18302.45</v>
      </c>
      <c r="U75" s="840" t="s">
        <v>108</v>
      </c>
      <c r="V75" s="841">
        <v>0.14882596912178925</v>
      </c>
      <c r="W75" s="842">
        <v>22402.98</v>
      </c>
      <c r="X75" s="840" t="s">
        <v>108</v>
      </c>
      <c r="Y75" s="841">
        <v>0.1698156948890612</v>
      </c>
      <c r="Z75" s="842">
        <v>17682.64</v>
      </c>
      <c r="AA75" s="840" t="s">
        <v>108</v>
      </c>
      <c r="AB75" s="841">
        <v>8.9967686473104644E-2</v>
      </c>
      <c r="AC75" s="842">
        <v>17219.79</v>
      </c>
      <c r="AD75" s="840" t="s">
        <v>108</v>
      </c>
      <c r="AE75" s="841">
        <v>9.5854385636840622E-2</v>
      </c>
      <c r="AF75" s="842">
        <v>18463.419999999998</v>
      </c>
      <c r="AG75" s="840" t="s">
        <v>108</v>
      </c>
      <c r="AH75" s="841">
        <v>0.13642212887741378</v>
      </c>
      <c r="AI75" s="842">
        <v>19082.46</v>
      </c>
      <c r="AJ75" s="840" t="s">
        <v>108</v>
      </c>
      <c r="AK75" s="841">
        <v>0.14998361622468728</v>
      </c>
      <c r="AL75" s="842">
        <v>21819.510000000002</v>
      </c>
      <c r="AM75" s="840" t="s">
        <v>108</v>
      </c>
      <c r="AN75" s="841">
        <v>0.18661494946420604</v>
      </c>
      <c r="AO75" s="842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0.83999648634620772</v>
      </c>
      <c r="E77" s="851">
        <v>1491487.3199999998</v>
      </c>
      <c r="F77" s="840" t="s">
        <v>108</v>
      </c>
      <c r="G77" s="841">
        <v>1.1424615117823023</v>
      </c>
      <c r="H77" s="851">
        <v>98424.99</v>
      </c>
      <c r="I77" s="840" t="s">
        <v>108</v>
      </c>
      <c r="J77" s="841">
        <v>1.9845786572226172</v>
      </c>
      <c r="K77" s="851">
        <v>88393.57</v>
      </c>
      <c r="L77" s="840" t="s">
        <v>108</v>
      </c>
      <c r="M77" s="841">
        <v>0.63739256578419057</v>
      </c>
      <c r="N77" s="851">
        <v>126283.23000000001</v>
      </c>
      <c r="O77" s="840" t="s">
        <v>108</v>
      </c>
      <c r="P77" s="841">
        <v>0.67833386231713289</v>
      </c>
      <c r="Q77" s="851">
        <v>136269.35</v>
      </c>
      <c r="R77" s="840" t="s">
        <v>108</v>
      </c>
      <c r="S77" s="841">
        <v>0.69619522168214165</v>
      </c>
      <c r="T77" s="851">
        <v>157458.16000000003</v>
      </c>
      <c r="U77" s="840" t="s">
        <v>108</v>
      </c>
      <c r="V77" s="841">
        <v>0.81015866524583413</v>
      </c>
      <c r="W77" s="851">
        <v>121954.31000000001</v>
      </c>
      <c r="X77" s="840" t="s">
        <v>108</v>
      </c>
      <c r="Y77" s="841">
        <v>0.92853440011862376</v>
      </c>
      <c r="Z77" s="851">
        <v>96686.819999999992</v>
      </c>
      <c r="AA77" s="840" t="s">
        <v>108</v>
      </c>
      <c r="AB77" s="841">
        <v>0.72523982793705311</v>
      </c>
      <c r="AC77" s="851">
        <v>138810.70000000001</v>
      </c>
      <c r="AD77" s="840" t="s">
        <v>108</v>
      </c>
      <c r="AE77" s="841">
        <v>0.71118785194393119</v>
      </c>
      <c r="AF77" s="851">
        <v>136988.62</v>
      </c>
      <c r="AG77" s="840" t="s">
        <v>108</v>
      </c>
      <c r="AH77" s="841">
        <v>0.97866798819886458</v>
      </c>
      <c r="AI77" s="851">
        <v>136894.16</v>
      </c>
      <c r="AJ77" s="840" t="s">
        <v>108</v>
      </c>
      <c r="AK77" s="841">
        <v>0.91977779105190804</v>
      </c>
      <c r="AL77" s="851">
        <v>133808.62000000002</v>
      </c>
      <c r="AM77" s="840" t="s">
        <v>108</v>
      </c>
      <c r="AN77" s="841">
        <v>1.2491519882470898</v>
      </c>
      <c r="AO77" s="851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394</v>
      </c>
      <c r="C78" s="813"/>
      <c r="D78" s="821"/>
      <c r="E78" s="835">
        <v>435844.24</v>
      </c>
      <c r="F78" s="813"/>
      <c r="G78" s="821"/>
      <c r="H78" s="835">
        <v>17143.900000000001</v>
      </c>
      <c r="I78" s="813"/>
      <c r="J78" s="821"/>
      <c r="K78" s="835">
        <v>12729</v>
      </c>
      <c r="L78" s="813"/>
      <c r="M78" s="821"/>
      <c r="N78" s="835">
        <v>40832.300000000003</v>
      </c>
      <c r="O78" s="813"/>
      <c r="P78" s="821"/>
      <c r="Q78" s="835">
        <v>44091.88</v>
      </c>
      <c r="R78" s="813"/>
      <c r="S78" s="821"/>
      <c r="T78" s="835">
        <v>38478.17</v>
      </c>
      <c r="U78" s="813"/>
      <c r="V78" s="821"/>
      <c r="W78" s="835">
        <v>28947.02</v>
      </c>
      <c r="X78" s="813"/>
      <c r="Y78" s="821"/>
      <c r="Z78" s="835">
        <v>24477.93</v>
      </c>
      <c r="AA78" s="813"/>
      <c r="AB78" s="821"/>
      <c r="AC78" s="835">
        <v>44929.74</v>
      </c>
      <c r="AD78" s="813"/>
      <c r="AE78" s="821"/>
      <c r="AF78" s="835">
        <v>83436.11</v>
      </c>
      <c r="AG78" s="813"/>
      <c r="AH78" s="821"/>
      <c r="AI78" s="835">
        <v>36701.35</v>
      </c>
      <c r="AJ78" s="813"/>
      <c r="AK78" s="821"/>
      <c r="AL78" s="835">
        <v>36663.839999999997</v>
      </c>
      <c r="AM78" s="813"/>
      <c r="AN78" s="821"/>
      <c r="AO78" s="835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432057.70000000007</v>
      </c>
      <c r="F81" s="813"/>
      <c r="G81" s="821"/>
      <c r="H81" s="835">
        <v>23124.6</v>
      </c>
      <c r="I81" s="813"/>
      <c r="J81" s="821"/>
      <c r="K81" s="835">
        <v>13235.2</v>
      </c>
      <c r="L81" s="813"/>
      <c r="M81" s="821"/>
      <c r="N81" s="835">
        <v>41421.5</v>
      </c>
      <c r="O81" s="813"/>
      <c r="P81" s="821"/>
      <c r="Q81" s="835">
        <v>48030.400000000001</v>
      </c>
      <c r="R81" s="813"/>
      <c r="S81" s="821"/>
      <c r="T81" s="835">
        <v>57482.6</v>
      </c>
      <c r="U81" s="813"/>
      <c r="V81" s="821"/>
      <c r="W81" s="835">
        <v>32547.599999999999</v>
      </c>
      <c r="X81" s="813"/>
      <c r="Y81" s="821"/>
      <c r="Z81" s="835">
        <v>25316</v>
      </c>
      <c r="AA81" s="813"/>
      <c r="AB81" s="821"/>
      <c r="AC81" s="835">
        <v>43027.7</v>
      </c>
      <c r="AD81" s="813"/>
      <c r="AE81" s="821"/>
      <c r="AF81" s="835">
        <v>49858.9</v>
      </c>
      <c r="AG81" s="813"/>
      <c r="AH81" s="821"/>
      <c r="AI81" s="835">
        <v>33506.300000000003</v>
      </c>
      <c r="AJ81" s="813"/>
      <c r="AK81" s="821"/>
      <c r="AL81" s="835">
        <v>28951</v>
      </c>
      <c r="AM81" s="813"/>
      <c r="AN81" s="821"/>
      <c r="AO81" s="835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143300</v>
      </c>
      <c r="F85" s="813"/>
      <c r="G85" s="821"/>
      <c r="H85" s="835">
        <v>6545</v>
      </c>
      <c r="I85" s="813"/>
      <c r="J85" s="821"/>
      <c r="K85" s="835">
        <v>4760</v>
      </c>
      <c r="L85" s="813"/>
      <c r="M85" s="821"/>
      <c r="N85" s="835">
        <v>14875</v>
      </c>
      <c r="O85" s="813"/>
      <c r="P85" s="821"/>
      <c r="Q85" s="835">
        <v>13685</v>
      </c>
      <c r="R85" s="813"/>
      <c r="S85" s="821"/>
      <c r="T85" s="835">
        <v>18945</v>
      </c>
      <c r="U85" s="813"/>
      <c r="V85" s="821"/>
      <c r="W85" s="835">
        <v>11900</v>
      </c>
      <c r="X85" s="813"/>
      <c r="Y85" s="821"/>
      <c r="Z85" s="835">
        <v>7735</v>
      </c>
      <c r="AA85" s="813"/>
      <c r="AB85" s="821"/>
      <c r="AC85" s="835">
        <v>15470</v>
      </c>
      <c r="AD85" s="813"/>
      <c r="AE85" s="821"/>
      <c r="AF85" s="835">
        <v>14280</v>
      </c>
      <c r="AG85" s="813"/>
      <c r="AH85" s="821"/>
      <c r="AI85" s="835">
        <v>12495</v>
      </c>
      <c r="AJ85" s="813"/>
      <c r="AK85" s="821"/>
      <c r="AL85" s="835">
        <v>13090</v>
      </c>
      <c r="AM85" s="813"/>
      <c r="AN85" s="821"/>
      <c r="AO85" s="835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1011201.9400000001</v>
      </c>
      <c r="F86" s="852"/>
      <c r="G86" s="853"/>
      <c r="H86" s="854">
        <v>46813.5</v>
      </c>
      <c r="I86" s="852"/>
      <c r="J86" s="853"/>
      <c r="K86" s="854">
        <v>30724.2</v>
      </c>
      <c r="L86" s="852"/>
      <c r="M86" s="853"/>
      <c r="N86" s="854">
        <v>97128.8</v>
      </c>
      <c r="O86" s="852"/>
      <c r="P86" s="853"/>
      <c r="Q86" s="854">
        <v>105807.28</v>
      </c>
      <c r="R86" s="852"/>
      <c r="S86" s="853"/>
      <c r="T86" s="854">
        <v>114905.76999999999</v>
      </c>
      <c r="U86" s="852"/>
      <c r="V86" s="853"/>
      <c r="W86" s="854">
        <v>73394.62</v>
      </c>
      <c r="X86" s="852"/>
      <c r="Y86" s="853"/>
      <c r="Z86" s="854">
        <v>57528.93</v>
      </c>
      <c r="AA86" s="852"/>
      <c r="AB86" s="853"/>
      <c r="AC86" s="854">
        <v>103427.44</v>
      </c>
      <c r="AD86" s="852"/>
      <c r="AE86" s="853"/>
      <c r="AF86" s="854">
        <v>147575.01</v>
      </c>
      <c r="AG86" s="852"/>
      <c r="AH86" s="853"/>
      <c r="AI86" s="854">
        <v>82702.649999999994</v>
      </c>
      <c r="AJ86" s="852"/>
      <c r="AK86" s="853"/>
      <c r="AL86" s="854">
        <v>78704.84</v>
      </c>
      <c r="AM86" s="852"/>
      <c r="AN86" s="853"/>
      <c r="AO86" s="854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1295302.1899999985</v>
      </c>
      <c r="F88" s="858"/>
      <c r="G88" s="859"/>
      <c r="H88" s="860">
        <v>34540.199999999779</v>
      </c>
      <c r="I88" s="858"/>
      <c r="J88" s="859"/>
      <c r="K88" s="860">
        <v>-13129.149999999983</v>
      </c>
      <c r="L88" s="858"/>
      <c r="M88" s="859"/>
      <c r="N88" s="860">
        <v>168970.3</v>
      </c>
      <c r="O88" s="858"/>
      <c r="P88" s="859"/>
      <c r="Q88" s="860">
        <v>170426.2499999998</v>
      </c>
      <c r="R88" s="858"/>
      <c r="S88" s="859"/>
      <c r="T88" s="860">
        <v>183617.15999999968</v>
      </c>
      <c r="U88" s="858"/>
      <c r="V88" s="859"/>
      <c r="W88" s="860">
        <v>101971.69999999988</v>
      </c>
      <c r="X88" s="858"/>
      <c r="Y88" s="859"/>
      <c r="Z88" s="860">
        <v>64970.52999999989</v>
      </c>
      <c r="AA88" s="858"/>
      <c r="AB88" s="859"/>
      <c r="AC88" s="860">
        <v>156016.45999999982</v>
      </c>
      <c r="AD88" s="858"/>
      <c r="AE88" s="859"/>
      <c r="AF88" s="860">
        <v>203205.85000000003</v>
      </c>
      <c r="AG88" s="858"/>
      <c r="AH88" s="859"/>
      <c r="AI88" s="860">
        <v>85686.529999999679</v>
      </c>
      <c r="AJ88" s="858"/>
      <c r="AK88" s="859"/>
      <c r="AL88" s="860">
        <v>90375.510000000068</v>
      </c>
      <c r="AM88" s="858"/>
      <c r="AN88" s="859"/>
      <c r="AO88" s="860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2824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2023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16009693.419999981</v>
      </c>
      <c r="F96" s="802"/>
      <c r="G96" s="803"/>
      <c r="H96" s="867">
        <v>1163648.19</v>
      </c>
      <c r="I96" s="802"/>
      <c r="J96" s="803"/>
      <c r="K96" s="867">
        <v>1094326.55</v>
      </c>
      <c r="L96" s="802"/>
      <c r="M96" s="803"/>
      <c r="N96" s="867">
        <v>1035414.61</v>
      </c>
      <c r="O96" s="802"/>
      <c r="P96" s="803"/>
      <c r="Q96" s="867">
        <v>1647548.1299999901</v>
      </c>
      <c r="R96" s="802"/>
      <c r="S96" s="803"/>
      <c r="T96" s="867">
        <v>1602636.35</v>
      </c>
      <c r="U96" s="802"/>
      <c r="V96" s="803"/>
      <c r="W96" s="867">
        <v>1633050.91</v>
      </c>
      <c r="X96" s="802"/>
      <c r="Y96" s="803"/>
      <c r="Z96" s="867">
        <v>1084525.48</v>
      </c>
      <c r="AA96" s="802"/>
      <c r="AB96" s="803"/>
      <c r="AC96" s="867">
        <v>2262127.0499999998</v>
      </c>
      <c r="AD96" s="802"/>
      <c r="AE96" s="803"/>
      <c r="AF96" s="867">
        <v>1028845.17999999</v>
      </c>
      <c r="AG96" s="802"/>
      <c r="AH96" s="803"/>
      <c r="AI96" s="867">
        <v>1429683.96</v>
      </c>
      <c r="AJ96" s="802"/>
      <c r="AK96" s="803"/>
      <c r="AL96" s="867">
        <v>1257294.74</v>
      </c>
      <c r="AM96" s="802"/>
      <c r="AN96" s="803"/>
      <c r="AO96" s="867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66</v>
      </c>
      <c r="D97" s="806">
        <v>2688.5633333333294</v>
      </c>
      <c r="E97" s="807">
        <v>177445.17999999973</v>
      </c>
      <c r="F97" s="805">
        <v>3</v>
      </c>
      <c r="G97" s="806">
        <v>1853.0666666666632</v>
      </c>
      <c r="H97" s="807">
        <v>5559.1999999999898</v>
      </c>
      <c r="I97" s="805">
        <v>4</v>
      </c>
      <c r="J97" s="806">
        <v>3467.44</v>
      </c>
      <c r="K97" s="807">
        <v>13869.76</v>
      </c>
      <c r="L97" s="805">
        <v>4</v>
      </c>
      <c r="M97" s="806">
        <v>4328.6850000000004</v>
      </c>
      <c r="N97" s="807">
        <v>17314.740000000002</v>
      </c>
      <c r="O97" s="805">
        <v>3</v>
      </c>
      <c r="P97" s="806">
        <v>2381.7333333333368</v>
      </c>
      <c r="Q97" s="807">
        <v>7145.2000000000098</v>
      </c>
      <c r="R97" s="805">
        <v>5</v>
      </c>
      <c r="S97" s="806">
        <v>2240.6879999999801</v>
      </c>
      <c r="T97" s="807">
        <v>11203.4399999999</v>
      </c>
      <c r="U97" s="805">
        <v>6</v>
      </c>
      <c r="V97" s="806">
        <v>3063.1899999999837</v>
      </c>
      <c r="W97" s="807">
        <v>18379.139999999901</v>
      </c>
      <c r="X97" s="805">
        <v>8</v>
      </c>
      <c r="Y97" s="806">
        <v>3135.9624999999874</v>
      </c>
      <c r="Z97" s="807">
        <v>25087.699999999899</v>
      </c>
      <c r="AA97" s="805">
        <v>10</v>
      </c>
      <c r="AB97" s="806">
        <v>4122.3510000000006</v>
      </c>
      <c r="AC97" s="807">
        <v>41223.51</v>
      </c>
      <c r="AD97" s="805">
        <v>4</v>
      </c>
      <c r="AE97" s="806">
        <v>1977.9975000000024</v>
      </c>
      <c r="AF97" s="807">
        <v>7911.9900000000098</v>
      </c>
      <c r="AG97" s="805">
        <v>8</v>
      </c>
      <c r="AH97" s="806">
        <v>2241.9812499999998</v>
      </c>
      <c r="AI97" s="807">
        <v>17935.849999999999</v>
      </c>
      <c r="AJ97" s="805">
        <v>4</v>
      </c>
      <c r="AK97" s="806">
        <v>2058.2749999999974</v>
      </c>
      <c r="AL97" s="807">
        <v>8233.0999999999894</v>
      </c>
      <c r="AM97" s="805">
        <v>7</v>
      </c>
      <c r="AN97" s="806">
        <v>511.65000000000146</v>
      </c>
      <c r="AO97" s="807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130</v>
      </c>
      <c r="D98" s="806">
        <v>2188.0289999999936</v>
      </c>
      <c r="E98" s="807">
        <v>284443.76999999915</v>
      </c>
      <c r="F98" s="805">
        <v>13</v>
      </c>
      <c r="G98" s="806">
        <v>857.3</v>
      </c>
      <c r="H98" s="807">
        <v>11144.9</v>
      </c>
      <c r="I98" s="805">
        <v>7</v>
      </c>
      <c r="J98" s="806">
        <v>1944.9785714285572</v>
      </c>
      <c r="K98" s="807">
        <v>13614.8499999999</v>
      </c>
      <c r="L98" s="805">
        <v>10</v>
      </c>
      <c r="M98" s="806">
        <v>1808.4649999999899</v>
      </c>
      <c r="N98" s="807">
        <v>18084.6499999999</v>
      </c>
      <c r="O98" s="805">
        <v>14</v>
      </c>
      <c r="P98" s="806">
        <v>2545.8421428571282</v>
      </c>
      <c r="Q98" s="807">
        <v>35641.789999999797</v>
      </c>
      <c r="R98" s="805">
        <v>15</v>
      </c>
      <c r="S98" s="806">
        <v>2698.6186666666667</v>
      </c>
      <c r="T98" s="807">
        <v>40479.279999999999</v>
      </c>
      <c r="U98" s="805">
        <v>16</v>
      </c>
      <c r="V98" s="806">
        <v>2929.0137499999937</v>
      </c>
      <c r="W98" s="807">
        <v>46864.219999999899</v>
      </c>
      <c r="X98" s="805">
        <v>10</v>
      </c>
      <c r="Y98" s="806">
        <v>1906.8099999999899</v>
      </c>
      <c r="Z98" s="807">
        <v>19068.0999999999</v>
      </c>
      <c r="AA98" s="805">
        <v>9</v>
      </c>
      <c r="AB98" s="806">
        <v>3497.2777777777778</v>
      </c>
      <c r="AC98" s="807">
        <v>31475.5</v>
      </c>
      <c r="AD98" s="805">
        <v>7</v>
      </c>
      <c r="AE98" s="806">
        <v>1875.0671428571284</v>
      </c>
      <c r="AF98" s="807">
        <v>13125.469999999899</v>
      </c>
      <c r="AG98" s="805">
        <v>11</v>
      </c>
      <c r="AH98" s="806">
        <v>2755.0963636363545</v>
      </c>
      <c r="AI98" s="807">
        <v>30306.059999999899</v>
      </c>
      <c r="AJ98" s="805">
        <v>12</v>
      </c>
      <c r="AK98" s="806">
        <v>1574.45</v>
      </c>
      <c r="AL98" s="807">
        <v>18893.400000000001</v>
      </c>
      <c r="AM98" s="805">
        <v>6</v>
      </c>
      <c r="AN98" s="806">
        <v>957.59166666666169</v>
      </c>
      <c r="AO98" s="807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2825</v>
      </c>
      <c r="C99" s="805"/>
      <c r="D99" s="806"/>
      <c r="E99" s="807"/>
      <c r="F99" s="805"/>
      <c r="G99" s="806"/>
      <c r="H99" s="807"/>
      <c r="I99" s="805"/>
      <c r="J99" s="806"/>
      <c r="K99" s="807"/>
      <c r="L99" s="805"/>
      <c r="M99" s="806"/>
      <c r="N99" s="807"/>
      <c r="O99" s="805"/>
      <c r="P99" s="806"/>
      <c r="Q99" s="807"/>
      <c r="R99" s="805"/>
      <c r="S99" s="806"/>
      <c r="T99" s="807"/>
      <c r="U99" s="805"/>
      <c r="V99" s="806"/>
      <c r="W99" s="807"/>
      <c r="X99" s="805"/>
      <c r="Y99" s="806"/>
      <c r="Z99" s="807"/>
      <c r="AA99" s="805"/>
      <c r="AB99" s="806"/>
      <c r="AC99" s="807"/>
      <c r="AD99" s="805"/>
      <c r="AE99" s="806"/>
      <c r="AF99" s="807"/>
      <c r="AG99" s="805"/>
      <c r="AH99" s="806"/>
      <c r="AI99" s="807"/>
      <c r="AJ99" s="805"/>
      <c r="AK99" s="806"/>
      <c r="AL99" s="807"/>
      <c r="AM99" s="805"/>
      <c r="AN99" s="806"/>
      <c r="AO99" s="807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196</v>
      </c>
      <c r="D100" s="811">
        <v>2356.5762755101987</v>
      </c>
      <c r="E100" s="812">
        <v>461888.94999999891</v>
      </c>
      <c r="F100" s="810">
        <v>16</v>
      </c>
      <c r="G100" s="811">
        <v>1044.0062499999995</v>
      </c>
      <c r="H100" s="812">
        <v>16704.099999999991</v>
      </c>
      <c r="I100" s="810">
        <v>11</v>
      </c>
      <c r="J100" s="811">
        <v>2498.6009090908997</v>
      </c>
      <c r="K100" s="812">
        <v>27484.609999999899</v>
      </c>
      <c r="L100" s="810">
        <v>14</v>
      </c>
      <c r="M100" s="811">
        <v>2528.5278571428498</v>
      </c>
      <c r="N100" s="812">
        <v>35399.389999999898</v>
      </c>
      <c r="O100" s="810">
        <v>17</v>
      </c>
      <c r="P100" s="811">
        <v>2516.8817647058713</v>
      </c>
      <c r="Q100" s="812">
        <v>42786.989999999809</v>
      </c>
      <c r="R100" s="810">
        <v>20</v>
      </c>
      <c r="S100" s="811">
        <v>2584.135999999995</v>
      </c>
      <c r="T100" s="812">
        <v>51682.719999999899</v>
      </c>
      <c r="U100" s="810">
        <v>22</v>
      </c>
      <c r="V100" s="811">
        <v>2965.6072727272635</v>
      </c>
      <c r="W100" s="812">
        <v>65243.359999999797</v>
      </c>
      <c r="X100" s="810">
        <v>18</v>
      </c>
      <c r="Y100" s="811">
        <v>2453.099999999989</v>
      </c>
      <c r="Z100" s="812">
        <v>44155.799999999799</v>
      </c>
      <c r="AA100" s="810">
        <v>19</v>
      </c>
      <c r="AB100" s="811">
        <v>3826.2636842105267</v>
      </c>
      <c r="AC100" s="812">
        <v>72699.010000000009</v>
      </c>
      <c r="AD100" s="810">
        <v>11</v>
      </c>
      <c r="AE100" s="811">
        <v>1912.4963636363552</v>
      </c>
      <c r="AF100" s="812">
        <v>21037.459999999908</v>
      </c>
      <c r="AG100" s="810">
        <v>19</v>
      </c>
      <c r="AH100" s="811">
        <v>2539.047894736837</v>
      </c>
      <c r="AI100" s="812">
        <v>48241.909999999902</v>
      </c>
      <c r="AJ100" s="810">
        <v>16</v>
      </c>
      <c r="AK100" s="811">
        <v>1695.4062499999995</v>
      </c>
      <c r="AL100" s="812">
        <v>27126.499999999993</v>
      </c>
      <c r="AM100" s="810">
        <v>13</v>
      </c>
      <c r="AN100" s="811">
        <v>717.46923076922928</v>
      </c>
      <c r="AO100" s="812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>
        <v>0</v>
      </c>
      <c r="J102" s="821"/>
      <c r="K102" s="814">
        <v>0</v>
      </c>
      <c r="L102" s="813">
        <v>0</v>
      </c>
      <c r="M102" s="821"/>
      <c r="N102" s="814">
        <v>0</v>
      </c>
      <c r="O102" s="813">
        <v>0</v>
      </c>
      <c r="P102" s="821"/>
      <c r="Q102" s="814">
        <v>0</v>
      </c>
      <c r="R102" s="813">
        <v>0</v>
      </c>
      <c r="S102" s="821"/>
      <c r="T102" s="814">
        <v>0</v>
      </c>
      <c r="U102" s="813">
        <v>0</v>
      </c>
      <c r="V102" s="821"/>
      <c r="W102" s="814">
        <v>0</v>
      </c>
      <c r="X102" s="813">
        <v>0</v>
      </c>
      <c r="Y102" s="821"/>
      <c r="Z102" s="814">
        <v>0</v>
      </c>
      <c r="AA102" s="813">
        <v>0</v>
      </c>
      <c r="AB102" s="821"/>
      <c r="AC102" s="814">
        <v>0</v>
      </c>
      <c r="AD102" s="813">
        <v>0</v>
      </c>
      <c r="AE102" s="821"/>
      <c r="AF102" s="814">
        <v>0</v>
      </c>
      <c r="AG102" s="813">
        <v>0</v>
      </c>
      <c r="AH102" s="821"/>
      <c r="AI102" s="814">
        <v>0</v>
      </c>
      <c r="AJ102" s="813">
        <v>0</v>
      </c>
      <c r="AK102" s="821"/>
      <c r="AL102" s="814">
        <v>0</v>
      </c>
      <c r="AM102" s="813">
        <v>0</v>
      </c>
      <c r="AN102" s="821"/>
      <c r="AO102" s="814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214</v>
      </c>
      <c r="D103" s="806">
        <v>375.70560747663524</v>
      </c>
      <c r="E103" s="807">
        <v>80400.999999999942</v>
      </c>
      <c r="F103" s="805">
        <v>17</v>
      </c>
      <c r="G103" s="806">
        <v>-350.3147058823547</v>
      </c>
      <c r="H103" s="807">
        <v>-5955.3500000000304</v>
      </c>
      <c r="I103" s="805">
        <v>13</v>
      </c>
      <c r="J103" s="806">
        <v>228.82692307692307</v>
      </c>
      <c r="K103" s="807">
        <v>2974.75</v>
      </c>
      <c r="L103" s="805">
        <v>14</v>
      </c>
      <c r="M103" s="806">
        <v>226.710714285715</v>
      </c>
      <c r="N103" s="807">
        <v>3173.9500000000098</v>
      </c>
      <c r="O103" s="805">
        <v>21</v>
      </c>
      <c r="P103" s="806">
        <v>470.61238095238002</v>
      </c>
      <c r="Q103" s="807">
        <v>9882.8599999999806</v>
      </c>
      <c r="R103" s="805">
        <v>26</v>
      </c>
      <c r="S103" s="806">
        <v>11.195384615387461</v>
      </c>
      <c r="T103" s="807">
        <v>291.08000000007399</v>
      </c>
      <c r="U103" s="805">
        <v>23</v>
      </c>
      <c r="V103" s="806">
        <v>1285.4086956521739</v>
      </c>
      <c r="W103" s="807">
        <v>29564.400000000001</v>
      </c>
      <c r="X103" s="805">
        <v>14</v>
      </c>
      <c r="Y103" s="806">
        <v>530.30785714285651</v>
      </c>
      <c r="Z103" s="807">
        <v>7424.3099999999904</v>
      </c>
      <c r="AA103" s="805">
        <v>31</v>
      </c>
      <c r="AB103" s="806">
        <v>511.53451612902904</v>
      </c>
      <c r="AC103" s="807">
        <v>15857.5699999999</v>
      </c>
      <c r="AD103" s="805">
        <v>13</v>
      </c>
      <c r="AE103" s="806">
        <v>333.00461538461002</v>
      </c>
      <c r="AF103" s="807">
        <v>4329.0599999999304</v>
      </c>
      <c r="AG103" s="805">
        <v>19</v>
      </c>
      <c r="AH103" s="806">
        <v>812.57684210526315</v>
      </c>
      <c r="AI103" s="807">
        <v>15438.96</v>
      </c>
      <c r="AJ103" s="805">
        <v>17</v>
      </c>
      <c r="AK103" s="806">
        <v>-234.15823529411236</v>
      </c>
      <c r="AL103" s="807">
        <v>-3980.68999999991</v>
      </c>
      <c r="AM103" s="805">
        <v>6</v>
      </c>
      <c r="AN103" s="806">
        <v>233.35</v>
      </c>
      <c r="AO103" s="807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576.11035714285708</v>
      </c>
      <c r="E105" s="807">
        <v>112917.62999999999</v>
      </c>
      <c r="F105" s="805"/>
      <c r="G105" s="806">
        <v>351.69875000000002</v>
      </c>
      <c r="H105" s="807">
        <v>5627.18</v>
      </c>
      <c r="I105" s="805"/>
      <c r="J105" s="806">
        <v>1150.46</v>
      </c>
      <c r="K105" s="807">
        <v>12655.06</v>
      </c>
      <c r="L105" s="805"/>
      <c r="M105" s="806">
        <v>521.32928571428567</v>
      </c>
      <c r="N105" s="807">
        <v>7298.61</v>
      </c>
      <c r="O105" s="805"/>
      <c r="P105" s="806">
        <v>799.83529411764709</v>
      </c>
      <c r="Q105" s="807">
        <v>13597.2</v>
      </c>
      <c r="R105" s="805"/>
      <c r="S105" s="806">
        <v>836.71749999999997</v>
      </c>
      <c r="T105" s="807">
        <v>16734.349999999999</v>
      </c>
      <c r="U105" s="805"/>
      <c r="V105" s="806">
        <v>384.2918181818182</v>
      </c>
      <c r="W105" s="807">
        <v>8454.42</v>
      </c>
      <c r="X105" s="805"/>
      <c r="Y105" s="806">
        <v>356.19333333333333</v>
      </c>
      <c r="Z105" s="807">
        <v>6411.48</v>
      </c>
      <c r="AA105" s="805"/>
      <c r="AB105" s="806">
        <v>813.998947368421</v>
      </c>
      <c r="AC105" s="807">
        <v>15465.98</v>
      </c>
      <c r="AD105" s="805"/>
      <c r="AE105" s="806">
        <v>544.42636363636359</v>
      </c>
      <c r="AF105" s="807">
        <v>5988.69</v>
      </c>
      <c r="AG105" s="805"/>
      <c r="AH105" s="806">
        <v>417.16263157894684</v>
      </c>
      <c r="AI105" s="807">
        <v>7926.0899999999901</v>
      </c>
      <c r="AJ105" s="805"/>
      <c r="AK105" s="806">
        <v>418.41437499999938</v>
      </c>
      <c r="AL105" s="807">
        <v>6694.6299999999901</v>
      </c>
      <c r="AM105" s="805"/>
      <c r="AN105" s="806">
        <v>466.45692307692303</v>
      </c>
      <c r="AO105" s="807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752.09520408163257</v>
      </c>
      <c r="E106" s="807">
        <v>147410.65999999997</v>
      </c>
      <c r="F106" s="805"/>
      <c r="G106" s="806">
        <v>963.98125000000005</v>
      </c>
      <c r="H106" s="807">
        <v>15423.7</v>
      </c>
      <c r="I106" s="805"/>
      <c r="J106" s="806">
        <v>577</v>
      </c>
      <c r="K106" s="807">
        <v>6347</v>
      </c>
      <c r="L106" s="805"/>
      <c r="M106" s="806">
        <v>511.87857142857143</v>
      </c>
      <c r="N106" s="807">
        <v>7166.3</v>
      </c>
      <c r="O106" s="805"/>
      <c r="P106" s="806">
        <v>750.93470588235289</v>
      </c>
      <c r="Q106" s="807">
        <v>12765.89</v>
      </c>
      <c r="R106" s="805"/>
      <c r="S106" s="806">
        <v>858.90200000000004</v>
      </c>
      <c r="T106" s="807">
        <v>17178.04</v>
      </c>
      <c r="U106" s="805"/>
      <c r="V106" s="806">
        <v>665.34090909090912</v>
      </c>
      <c r="W106" s="807">
        <v>14637.5</v>
      </c>
      <c r="X106" s="805"/>
      <c r="Y106" s="806">
        <v>1413.7222222222222</v>
      </c>
      <c r="Z106" s="807">
        <v>25447</v>
      </c>
      <c r="AA106" s="805"/>
      <c r="AB106" s="806">
        <v>994.57894736842104</v>
      </c>
      <c r="AC106" s="807">
        <v>18897</v>
      </c>
      <c r="AD106" s="805"/>
      <c r="AE106" s="806">
        <v>463.74818181818176</v>
      </c>
      <c r="AF106" s="807">
        <v>5101.2299999999996</v>
      </c>
      <c r="AG106" s="805"/>
      <c r="AH106" s="806">
        <v>463.26315789473682</v>
      </c>
      <c r="AI106" s="807">
        <v>8802</v>
      </c>
      <c r="AJ106" s="805"/>
      <c r="AK106" s="806">
        <v>451.25</v>
      </c>
      <c r="AL106" s="807">
        <v>7220</v>
      </c>
      <c r="AM106" s="805"/>
      <c r="AN106" s="806">
        <v>648.07692307692309</v>
      </c>
      <c r="AO106" s="807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161.56535714285715</v>
      </c>
      <c r="E107" s="807">
        <v>31666.81</v>
      </c>
      <c r="F107" s="805"/>
      <c r="G107" s="869">
        <v>139.31562500000001</v>
      </c>
      <c r="H107" s="807">
        <v>2229.0500000000002</v>
      </c>
      <c r="I107" s="805"/>
      <c r="J107" s="869">
        <v>128.18181818181819</v>
      </c>
      <c r="K107" s="807">
        <v>1410</v>
      </c>
      <c r="L107" s="805"/>
      <c r="M107" s="869">
        <v>164.5</v>
      </c>
      <c r="N107" s="807">
        <v>2303</v>
      </c>
      <c r="O107" s="805"/>
      <c r="P107" s="869">
        <v>170.64647058823527</v>
      </c>
      <c r="Q107" s="807">
        <v>2900.99</v>
      </c>
      <c r="R107" s="805"/>
      <c r="S107" s="869">
        <v>202.92500000000001</v>
      </c>
      <c r="T107" s="807">
        <v>4058.5</v>
      </c>
      <c r="U107" s="805"/>
      <c r="V107" s="869">
        <v>160.46681818181818</v>
      </c>
      <c r="W107" s="807">
        <v>3530.27</v>
      </c>
      <c r="X107" s="805"/>
      <c r="Y107" s="869">
        <v>198.27777777777777</v>
      </c>
      <c r="Z107" s="807">
        <v>3569</v>
      </c>
      <c r="AA107" s="805"/>
      <c r="AB107" s="869">
        <v>173.15789473684211</v>
      </c>
      <c r="AC107" s="807">
        <v>3290</v>
      </c>
      <c r="AD107" s="805"/>
      <c r="AE107" s="869">
        <v>119.63636363636364</v>
      </c>
      <c r="AF107" s="807">
        <v>1316</v>
      </c>
      <c r="AG107" s="805"/>
      <c r="AH107" s="869">
        <v>173.15789473684211</v>
      </c>
      <c r="AI107" s="807">
        <v>3290</v>
      </c>
      <c r="AJ107" s="805"/>
      <c r="AK107" s="869">
        <v>102.8125</v>
      </c>
      <c r="AL107" s="807">
        <v>1645</v>
      </c>
      <c r="AM107" s="805"/>
      <c r="AN107" s="869">
        <v>163.46153846153845</v>
      </c>
      <c r="AO107" s="807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196</v>
      </c>
      <c r="D108" s="811">
        <v>1489.7709183673469</v>
      </c>
      <c r="E108" s="812">
        <v>291995.09999999998</v>
      </c>
      <c r="F108" s="810">
        <v>16</v>
      </c>
      <c r="G108" s="811">
        <v>1454.995625</v>
      </c>
      <c r="H108" s="812">
        <v>23279.93</v>
      </c>
      <c r="I108" s="810">
        <v>11</v>
      </c>
      <c r="J108" s="811">
        <v>1855.6418181818181</v>
      </c>
      <c r="K108" s="812">
        <v>20412.059999999998</v>
      </c>
      <c r="L108" s="810">
        <v>14</v>
      </c>
      <c r="M108" s="811">
        <v>1197.7078571428572</v>
      </c>
      <c r="N108" s="812">
        <v>16767.91</v>
      </c>
      <c r="O108" s="810">
        <v>17</v>
      </c>
      <c r="P108" s="811">
        <v>1721.4164705882354</v>
      </c>
      <c r="Q108" s="812">
        <v>29264.080000000002</v>
      </c>
      <c r="R108" s="810">
        <v>20</v>
      </c>
      <c r="S108" s="811">
        <v>1898.5445</v>
      </c>
      <c r="T108" s="812">
        <v>37970.89</v>
      </c>
      <c r="U108" s="810">
        <v>22</v>
      </c>
      <c r="V108" s="811">
        <v>1210.0995454545455</v>
      </c>
      <c r="W108" s="812">
        <v>26622.19</v>
      </c>
      <c r="X108" s="810">
        <v>18</v>
      </c>
      <c r="Y108" s="811">
        <v>1968.1933333333332</v>
      </c>
      <c r="Z108" s="812">
        <v>35427.479999999996</v>
      </c>
      <c r="AA108" s="810">
        <v>19</v>
      </c>
      <c r="AB108" s="811">
        <v>1981.735789473684</v>
      </c>
      <c r="AC108" s="812">
        <v>37652.979999999996</v>
      </c>
      <c r="AD108" s="810">
        <v>11</v>
      </c>
      <c r="AE108" s="811">
        <v>1127.810909090909</v>
      </c>
      <c r="AF108" s="812">
        <v>12405.919999999998</v>
      </c>
      <c r="AG108" s="810">
        <v>19</v>
      </c>
      <c r="AH108" s="811">
        <v>1053.5836842105257</v>
      </c>
      <c r="AI108" s="812">
        <v>20018.089999999989</v>
      </c>
      <c r="AJ108" s="810">
        <v>16</v>
      </c>
      <c r="AK108" s="811">
        <v>972.47687499999938</v>
      </c>
      <c r="AL108" s="812">
        <v>15559.62999999999</v>
      </c>
      <c r="AM108" s="810">
        <v>13</v>
      </c>
      <c r="AN108" s="811">
        <v>1277.9953846153844</v>
      </c>
      <c r="AO108" s="812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410</v>
      </c>
      <c r="D111" s="824">
        <v>2034.841585365851</v>
      </c>
      <c r="E111" s="825">
        <v>834285.04999999888</v>
      </c>
      <c r="F111" s="823">
        <v>33</v>
      </c>
      <c r="G111" s="824">
        <v>1031.1721212121201</v>
      </c>
      <c r="H111" s="825">
        <v>34028.679999999964</v>
      </c>
      <c r="I111" s="823">
        <v>24</v>
      </c>
      <c r="J111" s="824">
        <v>2119.6424999999958</v>
      </c>
      <c r="K111" s="825">
        <v>50871.419999999896</v>
      </c>
      <c r="L111" s="823">
        <v>28</v>
      </c>
      <c r="M111" s="824">
        <v>1976.4732142857113</v>
      </c>
      <c r="N111" s="825">
        <v>55341.249999999913</v>
      </c>
      <c r="O111" s="823">
        <v>38</v>
      </c>
      <c r="P111" s="824">
        <v>2156.1560526315734</v>
      </c>
      <c r="Q111" s="825">
        <v>81933.929999999789</v>
      </c>
      <c r="R111" s="823">
        <v>46</v>
      </c>
      <c r="S111" s="824">
        <v>1955.3193478260864</v>
      </c>
      <c r="T111" s="825">
        <v>89944.689999999973</v>
      </c>
      <c r="U111" s="823">
        <v>45</v>
      </c>
      <c r="V111" s="824">
        <v>2698.4433333333291</v>
      </c>
      <c r="W111" s="825">
        <v>121429.94999999981</v>
      </c>
      <c r="X111" s="823">
        <v>32</v>
      </c>
      <c r="Y111" s="824">
        <v>2718.9871874999935</v>
      </c>
      <c r="Z111" s="825">
        <v>87007.589999999793</v>
      </c>
      <c r="AA111" s="823">
        <v>50</v>
      </c>
      <c r="AB111" s="824">
        <v>2524.1911999999984</v>
      </c>
      <c r="AC111" s="825">
        <v>126209.55999999991</v>
      </c>
      <c r="AD111" s="823">
        <v>24</v>
      </c>
      <c r="AE111" s="824">
        <v>1573.8516666666599</v>
      </c>
      <c r="AF111" s="825">
        <v>37772.439999999835</v>
      </c>
      <c r="AG111" s="823">
        <v>38</v>
      </c>
      <c r="AH111" s="824">
        <v>2202.6042105263127</v>
      </c>
      <c r="AI111" s="825">
        <v>83698.959999999875</v>
      </c>
      <c r="AJ111" s="823">
        <v>33</v>
      </c>
      <c r="AK111" s="824">
        <v>1172.8921212121236</v>
      </c>
      <c r="AL111" s="825">
        <v>38705.440000000075</v>
      </c>
      <c r="AM111" s="823">
        <v>19</v>
      </c>
      <c r="AN111" s="824">
        <v>1439.0073684210515</v>
      </c>
      <c r="AO111" s="825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0.3541059598849472</v>
      </c>
      <c r="D115" s="834">
        <v>834.47770408163262</v>
      </c>
      <c r="E115" s="835">
        <v>163557.63</v>
      </c>
      <c r="F115" s="874">
        <v>0.66292227656683123</v>
      </c>
      <c r="G115" s="834">
        <v>692.09500000000003</v>
      </c>
      <c r="H115" s="835">
        <v>11073.52</v>
      </c>
      <c r="I115" s="874">
        <v>0.44310106637860402</v>
      </c>
      <c r="J115" s="834">
        <v>1107.1327272727272</v>
      </c>
      <c r="K115" s="835">
        <v>12178.46</v>
      </c>
      <c r="L115" s="874">
        <v>0.35392982760437497</v>
      </c>
      <c r="M115" s="834">
        <v>894.92142857142858</v>
      </c>
      <c r="N115" s="835">
        <v>12528.9</v>
      </c>
      <c r="O115" s="874">
        <v>0.2818043522108018</v>
      </c>
      <c r="P115" s="834">
        <v>709.26823529411763</v>
      </c>
      <c r="Q115" s="835">
        <v>12057.56</v>
      </c>
      <c r="R115" s="874">
        <v>0.26773126491794602</v>
      </c>
      <c r="S115" s="834">
        <v>691.85400000000004</v>
      </c>
      <c r="T115" s="835">
        <v>13837.08</v>
      </c>
      <c r="U115" s="874">
        <v>0.31115135701165703</v>
      </c>
      <c r="V115" s="834">
        <v>922.75272727272738</v>
      </c>
      <c r="W115" s="835">
        <v>20300.560000000001</v>
      </c>
      <c r="X115" s="874">
        <v>0.34913895796248895</v>
      </c>
      <c r="Y115" s="834">
        <v>856.47277777777776</v>
      </c>
      <c r="Z115" s="835">
        <v>15416.51</v>
      </c>
      <c r="AA115" s="874">
        <v>0.32145430866252506</v>
      </c>
      <c r="AB115" s="834">
        <v>1229.9689473684211</v>
      </c>
      <c r="AC115" s="835">
        <v>23369.41</v>
      </c>
      <c r="AD115" s="874">
        <v>0.34660362990589316</v>
      </c>
      <c r="AE115" s="834">
        <v>662.87818181818182</v>
      </c>
      <c r="AF115" s="835">
        <v>7291.66</v>
      </c>
      <c r="AG115" s="874">
        <v>0.35317134002364409</v>
      </c>
      <c r="AH115" s="834">
        <v>896.71894736842103</v>
      </c>
      <c r="AI115" s="835">
        <v>17037.66</v>
      </c>
      <c r="AJ115" s="874">
        <v>0.39248557683446089</v>
      </c>
      <c r="AK115" s="834">
        <v>665.42250000000001</v>
      </c>
      <c r="AL115" s="835">
        <v>10646.76</v>
      </c>
      <c r="AM115" s="874">
        <v>0.8383688391890316</v>
      </c>
      <c r="AN115" s="834">
        <v>601.50384615384621</v>
      </c>
      <c r="AO115" s="835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0.2390451757580864</v>
      </c>
      <c r="D116" s="837">
        <v>356.1225510204082</v>
      </c>
      <c r="E116" s="838">
        <v>69800.02</v>
      </c>
      <c r="F116" s="836">
        <v>0.24873356577962219</v>
      </c>
      <c r="G116" s="837">
        <v>361.90625</v>
      </c>
      <c r="H116" s="838">
        <v>5790.5</v>
      </c>
      <c r="I116" s="836">
        <v>0.23753163570947766</v>
      </c>
      <c r="J116" s="837">
        <v>440.7736363636364</v>
      </c>
      <c r="K116" s="838">
        <v>4848.51</v>
      </c>
      <c r="L116" s="836">
        <v>0.23699972149182574</v>
      </c>
      <c r="M116" s="837">
        <v>283.85642857142858</v>
      </c>
      <c r="N116" s="838">
        <v>3973.99</v>
      </c>
      <c r="O116" s="836">
        <v>0.24024435417071027</v>
      </c>
      <c r="P116" s="837">
        <v>413.56058823529412</v>
      </c>
      <c r="Q116" s="838">
        <v>7030.53</v>
      </c>
      <c r="R116" s="836">
        <v>0.2395548273954074</v>
      </c>
      <c r="S116" s="837">
        <v>454.80550000000005</v>
      </c>
      <c r="T116" s="838">
        <v>9096.11</v>
      </c>
      <c r="U116" s="836">
        <v>0.24742705239501336</v>
      </c>
      <c r="V116" s="837">
        <v>299.41136363636366</v>
      </c>
      <c r="W116" s="838">
        <v>6587.05</v>
      </c>
      <c r="X116" s="836">
        <v>0.23375611248669112</v>
      </c>
      <c r="Y116" s="837">
        <v>460.07722222222219</v>
      </c>
      <c r="Z116" s="838">
        <v>8281.39</v>
      </c>
      <c r="AA116" s="836">
        <v>0.24317490939628156</v>
      </c>
      <c r="AB116" s="837">
        <v>481.90842105263158</v>
      </c>
      <c r="AC116" s="838">
        <v>9156.26</v>
      </c>
      <c r="AD116" s="836">
        <v>0.2187447605659234</v>
      </c>
      <c r="AE116" s="837">
        <v>246.70272727272729</v>
      </c>
      <c r="AF116" s="838">
        <v>2713.73</v>
      </c>
      <c r="AG116" s="836">
        <v>0.23672488234392003</v>
      </c>
      <c r="AH116" s="837">
        <v>249.40947368421052</v>
      </c>
      <c r="AI116" s="838">
        <v>4738.78</v>
      </c>
      <c r="AJ116" s="836">
        <v>0.23015778652834304</v>
      </c>
      <c r="AK116" s="837">
        <v>223.823125</v>
      </c>
      <c r="AL116" s="838">
        <v>3581.17</v>
      </c>
      <c r="AM116" s="836">
        <v>0.24088205446751346</v>
      </c>
      <c r="AN116" s="837">
        <v>307.84615384615387</v>
      </c>
      <c r="AO116" s="838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111.00821428571427</v>
      </c>
      <c r="E117" s="835">
        <v>21757.609999999997</v>
      </c>
      <c r="F117" s="813"/>
      <c r="G117" s="834">
        <v>66.84375</v>
      </c>
      <c r="H117" s="835">
        <v>1069.5</v>
      </c>
      <c r="I117" s="813"/>
      <c r="J117" s="834">
        <v>148.03727272727272</v>
      </c>
      <c r="K117" s="835">
        <v>1628.41</v>
      </c>
      <c r="L117" s="813"/>
      <c r="M117" s="834">
        <v>121.34214285714286</v>
      </c>
      <c r="N117" s="835">
        <v>1698.79</v>
      </c>
      <c r="O117" s="813"/>
      <c r="P117" s="834">
        <v>127.70882352941177</v>
      </c>
      <c r="Q117" s="835">
        <v>2171.0500000000002</v>
      </c>
      <c r="R117" s="813"/>
      <c r="S117" s="834">
        <v>72.029499999999999</v>
      </c>
      <c r="T117" s="835">
        <v>1440.59</v>
      </c>
      <c r="U117" s="813"/>
      <c r="V117" s="834">
        <v>104.4909090909091</v>
      </c>
      <c r="W117" s="835">
        <v>2298.8000000000002</v>
      </c>
      <c r="X117" s="813"/>
      <c r="Y117" s="834">
        <v>104.76888888888888</v>
      </c>
      <c r="Z117" s="835">
        <v>1885.84</v>
      </c>
      <c r="AA117" s="813"/>
      <c r="AB117" s="834">
        <v>110.39157894736843</v>
      </c>
      <c r="AC117" s="835">
        <v>2097.44</v>
      </c>
      <c r="AD117" s="813"/>
      <c r="AE117" s="834">
        <v>152.9609090909091</v>
      </c>
      <c r="AF117" s="835">
        <v>1682.57</v>
      </c>
      <c r="AG117" s="813"/>
      <c r="AH117" s="834">
        <v>79.408947368421053</v>
      </c>
      <c r="AI117" s="835">
        <v>1508.77</v>
      </c>
      <c r="AJ117" s="813"/>
      <c r="AK117" s="834">
        <v>132.31125</v>
      </c>
      <c r="AL117" s="835">
        <v>2116.98</v>
      </c>
      <c r="AM117" s="813"/>
      <c r="AN117" s="834">
        <v>166.06692307692308</v>
      </c>
      <c r="AO117" s="835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80.059795918367328</v>
      </c>
      <c r="E118" s="835">
        <v>15691.719999999998</v>
      </c>
      <c r="F118" s="813"/>
      <c r="G118" s="834">
        <v>33.574375000000003</v>
      </c>
      <c r="H118" s="835">
        <v>537.19000000000005</v>
      </c>
      <c r="I118" s="813"/>
      <c r="J118" s="834">
        <v>61.104545454545452</v>
      </c>
      <c r="K118" s="835">
        <v>672.15</v>
      </c>
      <c r="L118" s="813"/>
      <c r="M118" s="834">
        <v>114.45571428571429</v>
      </c>
      <c r="N118" s="835">
        <v>1602.38</v>
      </c>
      <c r="O118" s="813"/>
      <c r="P118" s="834">
        <v>67.367647058823536</v>
      </c>
      <c r="Q118" s="835">
        <v>1145.25</v>
      </c>
      <c r="R118" s="813"/>
      <c r="S118" s="834">
        <v>244.64150000000001</v>
      </c>
      <c r="T118" s="835">
        <v>4892.83</v>
      </c>
      <c r="U118" s="813"/>
      <c r="V118" s="834">
        <v>2.7022727272727276</v>
      </c>
      <c r="W118" s="835">
        <v>59.45</v>
      </c>
      <c r="X118" s="813"/>
      <c r="Y118" s="834">
        <v>88.027222222222221</v>
      </c>
      <c r="Z118" s="835">
        <v>1584.49</v>
      </c>
      <c r="AA118" s="813"/>
      <c r="AB118" s="834">
        <v>78.738947368421051</v>
      </c>
      <c r="AC118" s="835">
        <v>1496.04</v>
      </c>
      <c r="AD118" s="813"/>
      <c r="AE118" s="834">
        <v>255.2709090909091</v>
      </c>
      <c r="AF118" s="835">
        <v>2807.98</v>
      </c>
      <c r="AG118" s="813"/>
      <c r="AH118" s="834">
        <v>1.8421052631578947</v>
      </c>
      <c r="AI118" s="835">
        <v>35</v>
      </c>
      <c r="AJ118" s="813"/>
      <c r="AK118" s="834">
        <v>28.936875000000001</v>
      </c>
      <c r="AL118" s="835">
        <v>462.99</v>
      </c>
      <c r="AM118" s="813"/>
      <c r="AN118" s="834">
        <v>30.459230769230771</v>
      </c>
      <c r="AO118" s="835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109.40035714285716</v>
      </c>
      <c r="E119" s="838">
        <v>21442.470000000005</v>
      </c>
      <c r="F119" s="839"/>
      <c r="G119" s="837">
        <v>95.763750000000002</v>
      </c>
      <c r="H119" s="838">
        <v>1532.22</v>
      </c>
      <c r="I119" s="839"/>
      <c r="J119" s="837">
        <v>127.09090909090909</v>
      </c>
      <c r="K119" s="838">
        <v>1398</v>
      </c>
      <c r="L119" s="839"/>
      <c r="M119" s="837">
        <v>111.58357142857143</v>
      </c>
      <c r="N119" s="838">
        <v>1562.17</v>
      </c>
      <c r="O119" s="839"/>
      <c r="P119" s="837">
        <v>135.79117647058823</v>
      </c>
      <c r="Q119" s="838">
        <v>2308.4499999999998</v>
      </c>
      <c r="R119" s="839"/>
      <c r="S119" s="837">
        <v>95.619</v>
      </c>
      <c r="T119" s="838">
        <v>1912.38</v>
      </c>
      <c r="U119" s="839"/>
      <c r="V119" s="837">
        <v>76.803636363636372</v>
      </c>
      <c r="W119" s="838">
        <v>1689.68</v>
      </c>
      <c r="X119" s="839"/>
      <c r="Y119" s="837">
        <v>92.417222222222222</v>
      </c>
      <c r="Z119" s="838">
        <v>1663.51</v>
      </c>
      <c r="AA119" s="839"/>
      <c r="AB119" s="837">
        <v>93.446842105263158</v>
      </c>
      <c r="AC119" s="838">
        <v>1775.49</v>
      </c>
      <c r="AD119" s="839"/>
      <c r="AE119" s="837">
        <v>220.67090909090911</v>
      </c>
      <c r="AF119" s="838">
        <v>2427.38</v>
      </c>
      <c r="AG119" s="839"/>
      <c r="AH119" s="837">
        <v>84.151578947368421</v>
      </c>
      <c r="AI119" s="838">
        <v>1598.88</v>
      </c>
      <c r="AJ119" s="839"/>
      <c r="AK119" s="837">
        <v>113.72375</v>
      </c>
      <c r="AL119" s="838">
        <v>1819.58</v>
      </c>
      <c r="AM119" s="839"/>
      <c r="AN119" s="837">
        <v>134.97923076923078</v>
      </c>
      <c r="AO119" s="838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419.34852040816327</v>
      </c>
      <c r="E120" s="835">
        <v>82192.31</v>
      </c>
      <c r="F120" s="813"/>
      <c r="G120" s="834">
        <v>287.84375</v>
      </c>
      <c r="H120" s="835">
        <v>4605.5</v>
      </c>
      <c r="I120" s="813"/>
      <c r="J120" s="834">
        <v>331.26363636363544</v>
      </c>
      <c r="K120" s="835">
        <v>3643.8999999999901</v>
      </c>
      <c r="L120" s="813"/>
      <c r="M120" s="834">
        <v>489.27428571428572</v>
      </c>
      <c r="N120" s="835">
        <v>6849.84</v>
      </c>
      <c r="O120" s="813"/>
      <c r="P120" s="834">
        <v>407.39058823529354</v>
      </c>
      <c r="Q120" s="835">
        <v>6925.6399999999903</v>
      </c>
      <c r="R120" s="813"/>
      <c r="S120" s="834">
        <v>254.26350000000002</v>
      </c>
      <c r="T120" s="835">
        <v>5085.2700000000004</v>
      </c>
      <c r="U120" s="813"/>
      <c r="V120" s="834">
        <v>277.39227272727271</v>
      </c>
      <c r="W120" s="835">
        <v>6102.63</v>
      </c>
      <c r="X120" s="813"/>
      <c r="Y120" s="834">
        <v>479.74</v>
      </c>
      <c r="Z120" s="835">
        <v>8635.32</v>
      </c>
      <c r="AA120" s="813"/>
      <c r="AB120" s="834">
        <v>313.63421052631583</v>
      </c>
      <c r="AC120" s="835">
        <v>5959.05</v>
      </c>
      <c r="AD120" s="813"/>
      <c r="AE120" s="834">
        <v>555.55272727272722</v>
      </c>
      <c r="AF120" s="835">
        <v>6111.08</v>
      </c>
      <c r="AG120" s="813"/>
      <c r="AH120" s="834">
        <v>446.68</v>
      </c>
      <c r="AI120" s="835">
        <v>8486.92</v>
      </c>
      <c r="AJ120" s="813"/>
      <c r="AK120" s="834">
        <v>397.65125</v>
      </c>
      <c r="AL120" s="835">
        <v>6362.42</v>
      </c>
      <c r="AM120" s="813"/>
      <c r="AN120" s="834">
        <v>1032.6723076923076</v>
      </c>
      <c r="AO120" s="835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376.27204081632647</v>
      </c>
      <c r="E121" s="835">
        <v>73749.319999999992</v>
      </c>
      <c r="F121" s="813"/>
      <c r="G121" s="834">
        <v>504.50687499999998</v>
      </c>
      <c r="H121" s="835">
        <v>8072.11</v>
      </c>
      <c r="I121" s="813"/>
      <c r="J121" s="834">
        <v>414.45545454545459</v>
      </c>
      <c r="K121" s="835">
        <v>4559.01</v>
      </c>
      <c r="L121" s="813"/>
      <c r="M121" s="834">
        <v>486.79214285714289</v>
      </c>
      <c r="N121" s="835">
        <v>6815.09</v>
      </c>
      <c r="O121" s="813"/>
      <c r="P121" s="834">
        <v>377.58588235294116</v>
      </c>
      <c r="Q121" s="835">
        <v>6418.96</v>
      </c>
      <c r="R121" s="813"/>
      <c r="S121" s="834">
        <v>254.708</v>
      </c>
      <c r="T121" s="835">
        <v>5094.16</v>
      </c>
      <c r="U121" s="813"/>
      <c r="V121" s="834">
        <v>250.86545454545455</v>
      </c>
      <c r="W121" s="835">
        <v>5519.04</v>
      </c>
      <c r="X121" s="813"/>
      <c r="Y121" s="834">
        <v>339.82277777777779</v>
      </c>
      <c r="Z121" s="835">
        <v>6116.81</v>
      </c>
      <c r="AA121" s="813"/>
      <c r="AB121" s="834">
        <v>308.24894736842106</v>
      </c>
      <c r="AC121" s="835">
        <v>5856.73</v>
      </c>
      <c r="AD121" s="813"/>
      <c r="AE121" s="834">
        <v>474.48363636363632</v>
      </c>
      <c r="AF121" s="835">
        <v>5219.32</v>
      </c>
      <c r="AG121" s="813"/>
      <c r="AH121" s="834">
        <v>312.49894736842106</v>
      </c>
      <c r="AI121" s="835">
        <v>5937.48</v>
      </c>
      <c r="AJ121" s="813"/>
      <c r="AK121" s="834">
        <v>450.88875000000002</v>
      </c>
      <c r="AL121" s="835">
        <v>7214.22</v>
      </c>
      <c r="AM121" s="813"/>
      <c r="AN121" s="834">
        <v>532.7992307692308</v>
      </c>
      <c r="AO121" s="835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0.53721576336529175</v>
      </c>
      <c r="E125" s="842">
        <v>448191.08</v>
      </c>
      <c r="F125" s="840" t="s">
        <v>108</v>
      </c>
      <c r="G125" s="841">
        <v>0.9603822422732835</v>
      </c>
      <c r="H125" s="842">
        <v>32680.54</v>
      </c>
      <c r="I125" s="840" t="s">
        <v>108</v>
      </c>
      <c r="J125" s="841">
        <v>0.56865800089716489</v>
      </c>
      <c r="K125" s="842">
        <v>28928.439999999995</v>
      </c>
      <c r="L125" s="840" t="s">
        <v>108</v>
      </c>
      <c r="M125" s="841">
        <v>0.6330026878684536</v>
      </c>
      <c r="N125" s="842">
        <v>35031.160000000003</v>
      </c>
      <c r="O125" s="840" t="s">
        <v>108</v>
      </c>
      <c r="P125" s="841">
        <v>0.46448937576898952</v>
      </c>
      <c r="Q125" s="842">
        <v>38057.439999999988</v>
      </c>
      <c r="R125" s="840" t="s">
        <v>108</v>
      </c>
      <c r="S125" s="841">
        <v>0.4598205852952521</v>
      </c>
      <c r="T125" s="842">
        <v>41358.42</v>
      </c>
      <c r="U125" s="840" t="s">
        <v>108</v>
      </c>
      <c r="V125" s="841">
        <v>0.35046716234339276</v>
      </c>
      <c r="W125" s="842">
        <v>42557.21</v>
      </c>
      <c r="X125" s="840" t="s">
        <v>108</v>
      </c>
      <c r="Y125" s="841">
        <v>0.5009203220086903</v>
      </c>
      <c r="Z125" s="842">
        <v>43583.869999999995</v>
      </c>
      <c r="AA125" s="840" t="s">
        <v>108</v>
      </c>
      <c r="AB125" s="841">
        <v>0.39387206484199799</v>
      </c>
      <c r="AC125" s="842">
        <v>49710.42</v>
      </c>
      <c r="AD125" s="840" t="s">
        <v>108</v>
      </c>
      <c r="AE125" s="841">
        <v>0.74799827599170521</v>
      </c>
      <c r="AF125" s="842">
        <v>28253.72</v>
      </c>
      <c r="AG125" s="840" t="s">
        <v>108</v>
      </c>
      <c r="AH125" s="841">
        <v>0.47005948461008434</v>
      </c>
      <c r="AI125" s="842">
        <v>39343.490000000005</v>
      </c>
      <c r="AJ125" s="840" t="s">
        <v>108</v>
      </c>
      <c r="AK125" s="841">
        <v>0.83203084630997448</v>
      </c>
      <c r="AL125" s="842">
        <v>32204.120000000003</v>
      </c>
      <c r="AM125" s="840" t="s">
        <v>108</v>
      </c>
      <c r="AN125" s="841">
        <v>1.3343353642167091</v>
      </c>
      <c r="AO125" s="842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19005.2</v>
      </c>
      <c r="F126" s="813"/>
      <c r="G126" s="821"/>
      <c r="H126" s="835">
        <v>1917.1</v>
      </c>
      <c r="I126" s="813"/>
      <c r="J126" s="821"/>
      <c r="K126" s="835">
        <v>1417.1</v>
      </c>
      <c r="L126" s="813"/>
      <c r="M126" s="821"/>
      <c r="N126" s="835">
        <v>1417.1</v>
      </c>
      <c r="O126" s="813"/>
      <c r="P126" s="821"/>
      <c r="Q126" s="835">
        <v>1417.1</v>
      </c>
      <c r="R126" s="813"/>
      <c r="S126" s="821"/>
      <c r="T126" s="835">
        <v>1417.1</v>
      </c>
      <c r="U126" s="813"/>
      <c r="V126" s="821"/>
      <c r="W126" s="835">
        <v>1917.1</v>
      </c>
      <c r="X126" s="813"/>
      <c r="Y126" s="821"/>
      <c r="Z126" s="835">
        <v>1417.1</v>
      </c>
      <c r="AA126" s="813"/>
      <c r="AB126" s="821"/>
      <c r="AC126" s="835">
        <v>1917.1</v>
      </c>
      <c r="AD126" s="813"/>
      <c r="AE126" s="821"/>
      <c r="AF126" s="835">
        <v>1417.1</v>
      </c>
      <c r="AG126" s="813"/>
      <c r="AH126" s="821"/>
      <c r="AI126" s="835">
        <v>1917.1</v>
      </c>
      <c r="AJ126" s="813"/>
      <c r="AK126" s="821"/>
      <c r="AL126" s="835">
        <v>1417.1</v>
      </c>
      <c r="AM126" s="813"/>
      <c r="AN126" s="821"/>
      <c r="AO126" s="835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56210.76</v>
      </c>
      <c r="F127" s="813"/>
      <c r="G127" s="821"/>
      <c r="H127" s="835">
        <v>4461.24</v>
      </c>
      <c r="I127" s="813"/>
      <c r="J127" s="821"/>
      <c r="K127" s="835">
        <v>4015.12</v>
      </c>
      <c r="L127" s="813"/>
      <c r="M127" s="821"/>
      <c r="N127" s="835">
        <v>4641.01</v>
      </c>
      <c r="O127" s="813"/>
      <c r="P127" s="821"/>
      <c r="Q127" s="835">
        <v>6021.82</v>
      </c>
      <c r="R127" s="813"/>
      <c r="S127" s="821"/>
      <c r="T127" s="835">
        <v>7797.28</v>
      </c>
      <c r="U127" s="813"/>
      <c r="V127" s="821"/>
      <c r="W127" s="835">
        <v>2907.89</v>
      </c>
      <c r="X127" s="813"/>
      <c r="Y127" s="821"/>
      <c r="Z127" s="835">
        <v>4259.63</v>
      </c>
      <c r="AA127" s="813"/>
      <c r="AB127" s="821"/>
      <c r="AC127" s="835">
        <v>4772.12</v>
      </c>
      <c r="AD127" s="813"/>
      <c r="AE127" s="821"/>
      <c r="AF127" s="835">
        <v>4267.43</v>
      </c>
      <c r="AG127" s="813"/>
      <c r="AH127" s="821"/>
      <c r="AI127" s="835">
        <v>4874.12</v>
      </c>
      <c r="AJ127" s="813"/>
      <c r="AK127" s="821"/>
      <c r="AL127" s="835">
        <v>4217.0600000000004</v>
      </c>
      <c r="AM127" s="813"/>
      <c r="AN127" s="821"/>
      <c r="AO127" s="835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49993.200000000004</v>
      </c>
      <c r="F133" s="813"/>
      <c r="G133" s="821"/>
      <c r="H133" s="835">
        <v>2827.92</v>
      </c>
      <c r="I133" s="813"/>
      <c r="J133" s="821"/>
      <c r="K133" s="835">
        <v>2788.33</v>
      </c>
      <c r="L133" s="813"/>
      <c r="M133" s="821"/>
      <c r="N133" s="835">
        <v>1891.52</v>
      </c>
      <c r="O133" s="813"/>
      <c r="P133" s="821"/>
      <c r="Q133" s="835">
        <v>3924.92</v>
      </c>
      <c r="R133" s="813"/>
      <c r="S133" s="821"/>
      <c r="T133" s="835">
        <v>5847.62</v>
      </c>
      <c r="U133" s="813"/>
      <c r="V133" s="821"/>
      <c r="W133" s="835">
        <v>6380.3</v>
      </c>
      <c r="X133" s="813"/>
      <c r="Y133" s="821"/>
      <c r="Z133" s="835">
        <v>3174.38</v>
      </c>
      <c r="AA133" s="813"/>
      <c r="AB133" s="821"/>
      <c r="AC133" s="835">
        <v>3977.24</v>
      </c>
      <c r="AD133" s="813"/>
      <c r="AE133" s="821"/>
      <c r="AF133" s="835">
        <v>5208.51</v>
      </c>
      <c r="AG133" s="813"/>
      <c r="AH133" s="821"/>
      <c r="AI133" s="835">
        <v>4624.4799999999996</v>
      </c>
      <c r="AJ133" s="813"/>
      <c r="AK133" s="821"/>
      <c r="AL133" s="835">
        <v>3347.69</v>
      </c>
      <c r="AM133" s="813"/>
      <c r="AN133" s="821"/>
      <c r="AO133" s="835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48508.24</v>
      </c>
      <c r="F134" s="843"/>
      <c r="G134" s="844"/>
      <c r="H134" s="845">
        <v>3993.87</v>
      </c>
      <c r="I134" s="843"/>
      <c r="J134" s="844"/>
      <c r="K134" s="845">
        <v>4005.13</v>
      </c>
      <c r="L134" s="843"/>
      <c r="M134" s="844"/>
      <c r="N134" s="845">
        <v>4508.01</v>
      </c>
      <c r="O134" s="843"/>
      <c r="P134" s="844"/>
      <c r="Q134" s="845">
        <v>6790.19</v>
      </c>
      <c r="R134" s="843"/>
      <c r="S134" s="844"/>
      <c r="T134" s="845">
        <v>7130.69</v>
      </c>
      <c r="U134" s="843"/>
      <c r="V134" s="844"/>
      <c r="W134" s="845">
        <v>3844.58</v>
      </c>
      <c r="X134" s="843"/>
      <c r="Y134" s="844"/>
      <c r="Z134" s="845">
        <v>3012.42</v>
      </c>
      <c r="AA134" s="843"/>
      <c r="AB134" s="844"/>
      <c r="AC134" s="845">
        <v>3257.77</v>
      </c>
      <c r="AD134" s="843"/>
      <c r="AE134" s="844"/>
      <c r="AF134" s="845">
        <v>3224</v>
      </c>
      <c r="AG134" s="843"/>
      <c r="AH134" s="844"/>
      <c r="AI134" s="845">
        <v>2625.4</v>
      </c>
      <c r="AJ134" s="843"/>
      <c r="AK134" s="844"/>
      <c r="AL134" s="845">
        <v>3008.47</v>
      </c>
      <c r="AM134" s="843"/>
      <c r="AN134" s="844"/>
      <c r="AO134" s="845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22749.079999999998</v>
      </c>
      <c r="F135" s="813"/>
      <c r="G135" s="821"/>
      <c r="H135" s="835">
        <v>1240.6099999999999</v>
      </c>
      <c r="I135" s="813"/>
      <c r="J135" s="821"/>
      <c r="K135" s="835">
        <v>1464.64</v>
      </c>
      <c r="L135" s="813"/>
      <c r="M135" s="821"/>
      <c r="N135" s="835">
        <v>1668.71</v>
      </c>
      <c r="O135" s="813"/>
      <c r="P135" s="821"/>
      <c r="Q135" s="835">
        <v>2055.31</v>
      </c>
      <c r="R135" s="813"/>
      <c r="S135" s="821"/>
      <c r="T135" s="835">
        <v>2501.83</v>
      </c>
      <c r="U135" s="813"/>
      <c r="V135" s="821"/>
      <c r="W135" s="835">
        <v>2325.4699999999998</v>
      </c>
      <c r="X135" s="813"/>
      <c r="Y135" s="821"/>
      <c r="Z135" s="835">
        <v>1971.58</v>
      </c>
      <c r="AA135" s="813"/>
      <c r="AB135" s="821"/>
      <c r="AC135" s="835">
        <v>1985.56</v>
      </c>
      <c r="AD135" s="813"/>
      <c r="AE135" s="821"/>
      <c r="AF135" s="835">
        <v>1866.89</v>
      </c>
      <c r="AG135" s="813"/>
      <c r="AH135" s="821"/>
      <c r="AI135" s="835">
        <v>1607.52</v>
      </c>
      <c r="AJ135" s="813"/>
      <c r="AK135" s="821"/>
      <c r="AL135" s="835">
        <v>2169.0300000000002</v>
      </c>
      <c r="AM135" s="813"/>
      <c r="AN135" s="821"/>
      <c r="AO135" s="835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4838.91</v>
      </c>
      <c r="F136" s="813"/>
      <c r="G136" s="821"/>
      <c r="H136" s="835">
        <v>430.71</v>
      </c>
      <c r="I136" s="813"/>
      <c r="J136" s="821"/>
      <c r="K136" s="835">
        <v>548.64</v>
      </c>
      <c r="L136" s="813"/>
      <c r="M136" s="821"/>
      <c r="N136" s="835">
        <v>487.15</v>
      </c>
      <c r="O136" s="813"/>
      <c r="P136" s="821"/>
      <c r="Q136" s="835">
        <v>776.85</v>
      </c>
      <c r="R136" s="813"/>
      <c r="S136" s="821"/>
      <c r="T136" s="835">
        <v>886.59</v>
      </c>
      <c r="U136" s="813"/>
      <c r="V136" s="821"/>
      <c r="W136" s="835">
        <v>700.94</v>
      </c>
      <c r="X136" s="813"/>
      <c r="Y136" s="821"/>
      <c r="Z136" s="835">
        <v>469.33</v>
      </c>
      <c r="AA136" s="813"/>
      <c r="AB136" s="821"/>
      <c r="AC136" s="835">
        <v>141.69</v>
      </c>
      <c r="AD136" s="813"/>
      <c r="AE136" s="821"/>
      <c r="AF136" s="835">
        <v>65.16</v>
      </c>
      <c r="AG136" s="813"/>
      <c r="AH136" s="821"/>
      <c r="AI136" s="835">
        <v>75.319999999999993</v>
      </c>
      <c r="AJ136" s="813"/>
      <c r="AK136" s="821"/>
      <c r="AL136" s="835">
        <v>69.27</v>
      </c>
      <c r="AM136" s="813"/>
      <c r="AN136" s="821"/>
      <c r="AO136" s="835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0.28169435614362298</v>
      </c>
      <c r="E138" s="842">
        <v>235013.38999999998</v>
      </c>
      <c r="F138" s="840" t="s">
        <v>108</v>
      </c>
      <c r="G138" s="841">
        <v>0.51957495853497759</v>
      </c>
      <c r="H138" s="842">
        <v>17680.45</v>
      </c>
      <c r="I138" s="840" t="s">
        <v>108</v>
      </c>
      <c r="J138" s="841">
        <v>0.33511861866643461</v>
      </c>
      <c r="K138" s="842">
        <v>17047.96</v>
      </c>
      <c r="L138" s="840" t="s">
        <v>108</v>
      </c>
      <c r="M138" s="841">
        <v>0.31481941589682255</v>
      </c>
      <c r="N138" s="842">
        <v>17422.500000000004</v>
      </c>
      <c r="O138" s="840" t="s">
        <v>108</v>
      </c>
      <c r="P138" s="841">
        <v>0.29041924389566154</v>
      </c>
      <c r="Q138" s="842">
        <v>23795.19</v>
      </c>
      <c r="R138" s="840" t="s">
        <v>108</v>
      </c>
      <c r="S138" s="841">
        <v>0.31563964476390999</v>
      </c>
      <c r="T138" s="842">
        <v>28390.109999999997</v>
      </c>
      <c r="U138" s="840" t="s">
        <v>108</v>
      </c>
      <c r="V138" s="841">
        <v>0.1719944708863014</v>
      </c>
      <c r="W138" s="842">
        <v>20885.280000000002</v>
      </c>
      <c r="X138" s="840" t="s">
        <v>108</v>
      </c>
      <c r="Y138" s="841">
        <v>0.19668904747275545</v>
      </c>
      <c r="Z138" s="842">
        <v>17113.440000000002</v>
      </c>
      <c r="AA138" s="840" t="s">
        <v>108</v>
      </c>
      <c r="AB138" s="841">
        <v>0.14943780803926432</v>
      </c>
      <c r="AC138" s="842">
        <v>18860.48</v>
      </c>
      <c r="AD138" s="840" t="s">
        <v>108</v>
      </c>
      <c r="AE138" s="841">
        <v>0.49925527712798229</v>
      </c>
      <c r="AF138" s="842">
        <v>18858.09</v>
      </c>
      <c r="AG138" s="840" t="s">
        <v>108</v>
      </c>
      <c r="AH138" s="841">
        <v>0.22142377874229294</v>
      </c>
      <c r="AI138" s="842">
        <v>18532.939999999999</v>
      </c>
      <c r="AJ138" s="840" t="s">
        <v>108</v>
      </c>
      <c r="AK138" s="841">
        <v>0.44018670243769265</v>
      </c>
      <c r="AL138" s="842">
        <v>17037.62</v>
      </c>
      <c r="AM138" s="840" t="s">
        <v>108</v>
      </c>
      <c r="AN138" s="841">
        <v>0.70916318778222176</v>
      </c>
      <c r="AO138" s="842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9309.7699999999986</v>
      </c>
      <c r="F141" s="848"/>
      <c r="G141" s="849"/>
      <c r="H141" s="850">
        <v>619.39</v>
      </c>
      <c r="I141" s="848"/>
      <c r="J141" s="849"/>
      <c r="K141" s="850">
        <v>860.81</v>
      </c>
      <c r="L141" s="848"/>
      <c r="M141" s="849"/>
      <c r="N141" s="850">
        <v>823.35</v>
      </c>
      <c r="O141" s="848"/>
      <c r="P141" s="849"/>
      <c r="Q141" s="850">
        <v>712.29</v>
      </c>
      <c r="R141" s="848"/>
      <c r="S141" s="849"/>
      <c r="T141" s="850">
        <v>801.6</v>
      </c>
      <c r="U141" s="848"/>
      <c r="V141" s="849"/>
      <c r="W141" s="850">
        <v>895.29</v>
      </c>
      <c r="X141" s="848"/>
      <c r="Y141" s="849"/>
      <c r="Z141" s="850">
        <v>824.91</v>
      </c>
      <c r="AA141" s="848"/>
      <c r="AB141" s="849"/>
      <c r="AC141" s="850">
        <v>777.94</v>
      </c>
      <c r="AD141" s="848"/>
      <c r="AE141" s="849"/>
      <c r="AF141" s="850">
        <v>887.24</v>
      </c>
      <c r="AG141" s="848"/>
      <c r="AH141" s="849"/>
      <c r="AI141" s="850">
        <v>768.79</v>
      </c>
      <c r="AJ141" s="848"/>
      <c r="AK141" s="849"/>
      <c r="AL141" s="850">
        <v>580.11</v>
      </c>
      <c r="AM141" s="848"/>
      <c r="AN141" s="849"/>
      <c r="AO141" s="850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16849.41</v>
      </c>
      <c r="F142" s="813"/>
      <c r="G142" s="821"/>
      <c r="H142" s="835">
        <v>1429.38</v>
      </c>
      <c r="I142" s="813"/>
      <c r="J142" s="821"/>
      <c r="K142" s="835">
        <v>1404.01</v>
      </c>
      <c r="L142" s="813"/>
      <c r="M142" s="821"/>
      <c r="N142" s="835">
        <v>1330.35</v>
      </c>
      <c r="O142" s="813"/>
      <c r="P142" s="821"/>
      <c r="Q142" s="835">
        <v>1294.67</v>
      </c>
      <c r="R142" s="813"/>
      <c r="S142" s="821"/>
      <c r="T142" s="835">
        <v>1841.29</v>
      </c>
      <c r="U142" s="813"/>
      <c r="V142" s="821"/>
      <c r="W142" s="835">
        <v>1281.29</v>
      </c>
      <c r="X142" s="813"/>
      <c r="Y142" s="821"/>
      <c r="Z142" s="835">
        <v>1537.81</v>
      </c>
      <c r="AA142" s="813"/>
      <c r="AB142" s="821"/>
      <c r="AC142" s="835">
        <v>1347.69</v>
      </c>
      <c r="AD142" s="813"/>
      <c r="AE142" s="821"/>
      <c r="AF142" s="835">
        <v>1275.48</v>
      </c>
      <c r="AG142" s="813"/>
      <c r="AH142" s="821"/>
      <c r="AI142" s="835">
        <v>1421.96</v>
      </c>
      <c r="AJ142" s="813"/>
      <c r="AK142" s="821"/>
      <c r="AL142" s="835">
        <v>1324.95</v>
      </c>
      <c r="AM142" s="813"/>
      <c r="AN142" s="821"/>
      <c r="AO142" s="835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2851.4800000000005</v>
      </c>
      <c r="F143" s="813"/>
      <c r="G143" s="821"/>
      <c r="H143" s="835">
        <v>168.61</v>
      </c>
      <c r="I143" s="813"/>
      <c r="J143" s="821"/>
      <c r="K143" s="835">
        <v>137.11000000000001</v>
      </c>
      <c r="L143" s="813"/>
      <c r="M143" s="821"/>
      <c r="N143" s="835">
        <v>143.9</v>
      </c>
      <c r="O143" s="813"/>
      <c r="P143" s="821"/>
      <c r="Q143" s="835">
        <v>152.80000000000001</v>
      </c>
      <c r="R143" s="813"/>
      <c r="S143" s="821"/>
      <c r="T143" s="835">
        <v>196.28</v>
      </c>
      <c r="U143" s="813"/>
      <c r="V143" s="821"/>
      <c r="W143" s="835">
        <v>684.93</v>
      </c>
      <c r="X143" s="813"/>
      <c r="Y143" s="821"/>
      <c r="Z143" s="835">
        <v>181.74</v>
      </c>
      <c r="AA143" s="813"/>
      <c r="AB143" s="821"/>
      <c r="AC143" s="835">
        <v>95.29</v>
      </c>
      <c r="AD143" s="813"/>
      <c r="AE143" s="821"/>
      <c r="AF143" s="835">
        <v>29.47</v>
      </c>
      <c r="AG143" s="813"/>
      <c r="AH143" s="821"/>
      <c r="AI143" s="835">
        <v>486.32</v>
      </c>
      <c r="AJ143" s="813"/>
      <c r="AK143" s="821"/>
      <c r="AL143" s="835">
        <v>-76.5</v>
      </c>
      <c r="AM143" s="813"/>
      <c r="AN143" s="821"/>
      <c r="AO143" s="835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7643.2099999999991</v>
      </c>
      <c r="F144" s="848"/>
      <c r="G144" s="849"/>
      <c r="H144" s="850">
        <v>556.84</v>
      </c>
      <c r="I144" s="848"/>
      <c r="J144" s="849"/>
      <c r="K144" s="850">
        <v>569.38</v>
      </c>
      <c r="L144" s="848"/>
      <c r="M144" s="849"/>
      <c r="N144" s="850">
        <v>665.73</v>
      </c>
      <c r="O144" s="848"/>
      <c r="P144" s="849"/>
      <c r="Q144" s="850">
        <v>772.97</v>
      </c>
      <c r="R144" s="848"/>
      <c r="S144" s="849"/>
      <c r="T144" s="850">
        <v>493.32</v>
      </c>
      <c r="U144" s="848"/>
      <c r="V144" s="849"/>
      <c r="W144" s="850">
        <v>720.39</v>
      </c>
      <c r="X144" s="848"/>
      <c r="Y144" s="849"/>
      <c r="Z144" s="850">
        <v>559.87</v>
      </c>
      <c r="AA144" s="848"/>
      <c r="AB144" s="849"/>
      <c r="AC144" s="850">
        <v>593.87</v>
      </c>
      <c r="AD144" s="848"/>
      <c r="AE144" s="849"/>
      <c r="AF144" s="850">
        <v>845.9</v>
      </c>
      <c r="AG144" s="848"/>
      <c r="AH144" s="849"/>
      <c r="AI144" s="850">
        <v>554.71</v>
      </c>
      <c r="AJ144" s="848"/>
      <c r="AK144" s="849"/>
      <c r="AL144" s="850">
        <v>736.7</v>
      </c>
      <c r="AM144" s="848"/>
      <c r="AN144" s="849"/>
      <c r="AO144" s="850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407.18</v>
      </c>
      <c r="F145" s="813"/>
      <c r="G145" s="821"/>
      <c r="H145" s="835">
        <v>126.78</v>
      </c>
      <c r="I145" s="813"/>
      <c r="J145" s="821"/>
      <c r="K145" s="835">
        <v>27.98</v>
      </c>
      <c r="L145" s="813"/>
      <c r="M145" s="821"/>
      <c r="N145" s="835">
        <v>0</v>
      </c>
      <c r="O145" s="813"/>
      <c r="P145" s="821"/>
      <c r="Q145" s="835">
        <v>8.14</v>
      </c>
      <c r="R145" s="813"/>
      <c r="S145" s="821"/>
      <c r="T145" s="835">
        <v>50.9</v>
      </c>
      <c r="U145" s="813"/>
      <c r="V145" s="821"/>
      <c r="W145" s="835">
        <v>146.68</v>
      </c>
      <c r="X145" s="813"/>
      <c r="Y145" s="821"/>
      <c r="Z145" s="835">
        <v>0</v>
      </c>
      <c r="AA145" s="813"/>
      <c r="AB145" s="821"/>
      <c r="AC145" s="835">
        <v>0</v>
      </c>
      <c r="AD145" s="813"/>
      <c r="AE145" s="821"/>
      <c r="AF145" s="835">
        <v>26.57</v>
      </c>
      <c r="AG145" s="813"/>
      <c r="AH145" s="821"/>
      <c r="AI145" s="835">
        <v>0</v>
      </c>
      <c r="AJ145" s="813"/>
      <c r="AK145" s="821"/>
      <c r="AL145" s="835">
        <v>20.13</v>
      </c>
      <c r="AM145" s="813"/>
      <c r="AN145" s="821"/>
      <c r="AO145" s="835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34.46</v>
      </c>
      <c r="F146" s="813"/>
      <c r="G146" s="821"/>
      <c r="H146" s="835">
        <v>0</v>
      </c>
      <c r="I146" s="813"/>
      <c r="J146" s="821"/>
      <c r="K146" s="835">
        <v>0</v>
      </c>
      <c r="L146" s="813"/>
      <c r="M146" s="821"/>
      <c r="N146" s="835">
        <v>15.98</v>
      </c>
      <c r="O146" s="813"/>
      <c r="P146" s="821"/>
      <c r="Q146" s="835">
        <v>18.48</v>
      </c>
      <c r="R146" s="813"/>
      <c r="S146" s="821"/>
      <c r="T146" s="835">
        <v>0</v>
      </c>
      <c r="U146" s="813"/>
      <c r="V146" s="821"/>
      <c r="W146" s="835">
        <v>0</v>
      </c>
      <c r="X146" s="813"/>
      <c r="Y146" s="821"/>
      <c r="Z146" s="835">
        <v>0</v>
      </c>
      <c r="AA146" s="813"/>
      <c r="AB146" s="821"/>
      <c r="AC146" s="835">
        <v>0</v>
      </c>
      <c r="AD146" s="813"/>
      <c r="AE146" s="821"/>
      <c r="AF146" s="835">
        <v>0</v>
      </c>
      <c r="AG146" s="813"/>
      <c r="AH146" s="821"/>
      <c r="AI146" s="835">
        <v>0</v>
      </c>
      <c r="AJ146" s="813"/>
      <c r="AK146" s="821"/>
      <c r="AL146" s="835">
        <v>0</v>
      </c>
      <c r="AM146" s="813"/>
      <c r="AN146" s="821"/>
      <c r="AO146" s="835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2842.43</v>
      </c>
      <c r="F147" s="813"/>
      <c r="G147" s="821"/>
      <c r="H147" s="835">
        <v>126.46</v>
      </c>
      <c r="I147" s="813"/>
      <c r="J147" s="821"/>
      <c r="K147" s="835">
        <v>279.60000000000002</v>
      </c>
      <c r="L147" s="813"/>
      <c r="M147" s="821"/>
      <c r="N147" s="835">
        <v>95.68</v>
      </c>
      <c r="O147" s="813"/>
      <c r="P147" s="821"/>
      <c r="Q147" s="835">
        <v>276.89</v>
      </c>
      <c r="R147" s="813"/>
      <c r="S147" s="821"/>
      <c r="T147" s="835">
        <v>211.1</v>
      </c>
      <c r="U147" s="813"/>
      <c r="V147" s="821"/>
      <c r="W147" s="835">
        <v>732.96</v>
      </c>
      <c r="X147" s="813"/>
      <c r="Y147" s="821"/>
      <c r="Z147" s="835">
        <v>131.30000000000001</v>
      </c>
      <c r="AA147" s="813"/>
      <c r="AB147" s="821"/>
      <c r="AC147" s="835">
        <v>163.65</v>
      </c>
      <c r="AD147" s="813"/>
      <c r="AE147" s="821"/>
      <c r="AF147" s="835">
        <v>455.23</v>
      </c>
      <c r="AG147" s="813"/>
      <c r="AH147" s="821"/>
      <c r="AI147" s="835">
        <v>135.4</v>
      </c>
      <c r="AJ147" s="813"/>
      <c r="AK147" s="821"/>
      <c r="AL147" s="835">
        <v>160.91999999999999</v>
      </c>
      <c r="AM147" s="813"/>
      <c r="AN147" s="821"/>
      <c r="AO147" s="835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849.8900000000001</v>
      </c>
      <c r="F148" s="813"/>
      <c r="G148" s="821"/>
      <c r="H148" s="835">
        <v>150.4</v>
      </c>
      <c r="I148" s="813"/>
      <c r="J148" s="821"/>
      <c r="K148" s="835">
        <v>75.430000000000007</v>
      </c>
      <c r="L148" s="813"/>
      <c r="M148" s="821"/>
      <c r="N148" s="835">
        <v>79.47</v>
      </c>
      <c r="O148" s="813"/>
      <c r="P148" s="821"/>
      <c r="Q148" s="835">
        <v>38.51</v>
      </c>
      <c r="R148" s="813"/>
      <c r="S148" s="821"/>
      <c r="T148" s="835">
        <v>31.16</v>
      </c>
      <c r="U148" s="813"/>
      <c r="V148" s="821"/>
      <c r="W148" s="835">
        <v>31.51</v>
      </c>
      <c r="X148" s="813"/>
      <c r="Y148" s="821"/>
      <c r="Z148" s="835">
        <v>30.75</v>
      </c>
      <c r="AA148" s="813"/>
      <c r="AB148" s="821"/>
      <c r="AC148" s="835">
        <v>91.33</v>
      </c>
      <c r="AD148" s="813"/>
      <c r="AE148" s="821"/>
      <c r="AF148" s="835">
        <v>84.72</v>
      </c>
      <c r="AG148" s="813"/>
      <c r="AH148" s="821"/>
      <c r="AI148" s="835">
        <v>75.349999999999994</v>
      </c>
      <c r="AJ148" s="813"/>
      <c r="AK148" s="821"/>
      <c r="AL148" s="835">
        <v>75.459999999999994</v>
      </c>
      <c r="AM148" s="813"/>
      <c r="AN148" s="821"/>
      <c r="AO148" s="835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1525.89</v>
      </c>
      <c r="F149" s="813"/>
      <c r="G149" s="821"/>
      <c r="H149" s="835">
        <v>90.33</v>
      </c>
      <c r="I149" s="813"/>
      <c r="J149" s="821"/>
      <c r="K149" s="835">
        <v>224.19</v>
      </c>
      <c r="L149" s="813"/>
      <c r="M149" s="821"/>
      <c r="N149" s="835">
        <v>144.91999999999999</v>
      </c>
      <c r="O149" s="813"/>
      <c r="P149" s="821"/>
      <c r="Q149" s="835">
        <v>57.21</v>
      </c>
      <c r="R149" s="813"/>
      <c r="S149" s="821"/>
      <c r="T149" s="835">
        <v>190.65</v>
      </c>
      <c r="U149" s="813"/>
      <c r="V149" s="821"/>
      <c r="W149" s="835">
        <v>65.59</v>
      </c>
      <c r="X149" s="813"/>
      <c r="Y149" s="821"/>
      <c r="Z149" s="835">
        <v>59.22</v>
      </c>
      <c r="AA149" s="813"/>
      <c r="AB149" s="821"/>
      <c r="AC149" s="835">
        <v>91.1</v>
      </c>
      <c r="AD149" s="813"/>
      <c r="AE149" s="821"/>
      <c r="AF149" s="835">
        <v>118</v>
      </c>
      <c r="AG149" s="813"/>
      <c r="AH149" s="821"/>
      <c r="AI149" s="835">
        <v>103.24</v>
      </c>
      <c r="AJ149" s="813"/>
      <c r="AK149" s="821"/>
      <c r="AL149" s="835">
        <v>75.92</v>
      </c>
      <c r="AM149" s="813"/>
      <c r="AN149" s="821"/>
      <c r="AO149" s="835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3004.9599999999996</v>
      </c>
      <c r="F150" s="813"/>
      <c r="G150" s="821"/>
      <c r="H150" s="835">
        <v>148.53</v>
      </c>
      <c r="I150" s="813"/>
      <c r="J150" s="821"/>
      <c r="K150" s="835">
        <v>169.5</v>
      </c>
      <c r="L150" s="813"/>
      <c r="M150" s="821"/>
      <c r="N150" s="835">
        <v>160.1</v>
      </c>
      <c r="O150" s="813"/>
      <c r="P150" s="821"/>
      <c r="Q150" s="835">
        <v>179.57</v>
      </c>
      <c r="R150" s="813"/>
      <c r="S150" s="821"/>
      <c r="T150" s="835">
        <v>216.1</v>
      </c>
      <c r="U150" s="813"/>
      <c r="V150" s="821"/>
      <c r="W150" s="835">
        <v>894.4</v>
      </c>
      <c r="X150" s="813"/>
      <c r="Y150" s="821"/>
      <c r="Z150" s="835">
        <v>148.47999999999999</v>
      </c>
      <c r="AA150" s="813"/>
      <c r="AB150" s="821"/>
      <c r="AC150" s="835">
        <v>230.65</v>
      </c>
      <c r="AD150" s="813"/>
      <c r="AE150" s="821"/>
      <c r="AF150" s="835">
        <v>158.93</v>
      </c>
      <c r="AG150" s="813"/>
      <c r="AH150" s="821"/>
      <c r="AI150" s="835">
        <v>206.35</v>
      </c>
      <c r="AJ150" s="813"/>
      <c r="AK150" s="821"/>
      <c r="AL150" s="835">
        <v>167.1</v>
      </c>
      <c r="AM150" s="813"/>
      <c r="AN150" s="821"/>
      <c r="AO150" s="835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2124.35</v>
      </c>
      <c r="F151" s="813"/>
      <c r="G151" s="821"/>
      <c r="H151" s="835">
        <v>75.53</v>
      </c>
      <c r="I151" s="813"/>
      <c r="J151" s="821"/>
      <c r="K151" s="835">
        <v>12.8</v>
      </c>
      <c r="L151" s="813"/>
      <c r="M151" s="821"/>
      <c r="N151" s="835">
        <v>36.049999999999997</v>
      </c>
      <c r="O151" s="813"/>
      <c r="P151" s="821"/>
      <c r="Q151" s="835">
        <v>57.8</v>
      </c>
      <c r="R151" s="813"/>
      <c r="S151" s="821"/>
      <c r="T151" s="835">
        <v>53.17</v>
      </c>
      <c r="U151" s="813"/>
      <c r="V151" s="821"/>
      <c r="W151" s="835">
        <v>448.26</v>
      </c>
      <c r="X151" s="813"/>
      <c r="Y151" s="821"/>
      <c r="Z151" s="835">
        <v>224.59</v>
      </c>
      <c r="AA151" s="813"/>
      <c r="AB151" s="821"/>
      <c r="AC151" s="835">
        <v>82.24</v>
      </c>
      <c r="AD151" s="813"/>
      <c r="AE151" s="821"/>
      <c r="AF151" s="835">
        <v>-21.88</v>
      </c>
      <c r="AG151" s="813"/>
      <c r="AH151" s="821"/>
      <c r="AI151" s="835">
        <v>834.61</v>
      </c>
      <c r="AJ151" s="813"/>
      <c r="AK151" s="821"/>
      <c r="AL151" s="835">
        <v>128.37</v>
      </c>
      <c r="AM151" s="813"/>
      <c r="AN151" s="821"/>
      <c r="AO151" s="835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6911.74</v>
      </c>
      <c r="F152" s="813"/>
      <c r="G152" s="821"/>
      <c r="H152" s="835">
        <v>419.92</v>
      </c>
      <c r="I152" s="813"/>
      <c r="J152" s="821"/>
      <c r="K152" s="835">
        <v>354.83</v>
      </c>
      <c r="L152" s="813"/>
      <c r="M152" s="821"/>
      <c r="N152" s="835">
        <v>488.8</v>
      </c>
      <c r="O152" s="813"/>
      <c r="P152" s="821"/>
      <c r="Q152" s="835">
        <v>736.66</v>
      </c>
      <c r="R152" s="813"/>
      <c r="S152" s="821"/>
      <c r="T152" s="835">
        <v>707.68</v>
      </c>
      <c r="U152" s="813"/>
      <c r="V152" s="821"/>
      <c r="W152" s="835">
        <v>693.77</v>
      </c>
      <c r="X152" s="813"/>
      <c r="Y152" s="821"/>
      <c r="Z152" s="835">
        <v>539.76</v>
      </c>
      <c r="AA152" s="813"/>
      <c r="AB152" s="821"/>
      <c r="AC152" s="835">
        <v>584.4</v>
      </c>
      <c r="AD152" s="813"/>
      <c r="AE152" s="821"/>
      <c r="AF152" s="835">
        <v>572.54999999999995</v>
      </c>
      <c r="AG152" s="813"/>
      <c r="AH152" s="821"/>
      <c r="AI152" s="835">
        <v>681.24</v>
      </c>
      <c r="AJ152" s="813"/>
      <c r="AK152" s="821"/>
      <c r="AL152" s="835">
        <v>779.88</v>
      </c>
      <c r="AM152" s="813"/>
      <c r="AN152" s="821"/>
      <c r="AO152" s="835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6.515131728657976E-2</v>
      </c>
      <c r="E156" s="842">
        <v>54354.76999999999</v>
      </c>
      <c r="F156" s="840" t="s">
        <v>108</v>
      </c>
      <c r="G156" s="841">
        <v>0.1149668456137589</v>
      </c>
      <c r="H156" s="842">
        <v>3912.170000000001</v>
      </c>
      <c r="I156" s="840" t="s">
        <v>108</v>
      </c>
      <c r="J156" s="841">
        <v>8.090279374941782E-2</v>
      </c>
      <c r="K156" s="842">
        <v>4115.6400000000003</v>
      </c>
      <c r="L156" s="840" t="s">
        <v>108</v>
      </c>
      <c r="M156" s="841">
        <v>7.1995663271068253E-2</v>
      </c>
      <c r="N156" s="842">
        <v>3984.33</v>
      </c>
      <c r="O156" s="840" t="s">
        <v>108</v>
      </c>
      <c r="P156" s="841">
        <v>5.2554417931618948E-2</v>
      </c>
      <c r="Q156" s="842">
        <v>4305.9900000000007</v>
      </c>
      <c r="R156" s="840" t="s">
        <v>108</v>
      </c>
      <c r="S156" s="841">
        <v>5.3291083664861162E-2</v>
      </c>
      <c r="T156" s="842">
        <v>4793.25</v>
      </c>
      <c r="U156" s="840" t="s">
        <v>108</v>
      </c>
      <c r="V156" s="841">
        <v>5.4311724578656337E-2</v>
      </c>
      <c r="W156" s="842">
        <v>6595.07</v>
      </c>
      <c r="X156" s="840" t="s">
        <v>108</v>
      </c>
      <c r="Y156" s="841">
        <v>4.8713336388239353E-2</v>
      </c>
      <c r="Z156" s="842">
        <v>4238.43</v>
      </c>
      <c r="AA156" s="840" t="s">
        <v>108</v>
      </c>
      <c r="AB156" s="841">
        <v>3.2154141096760049E-2</v>
      </c>
      <c r="AC156" s="842">
        <v>4058.16</v>
      </c>
      <c r="AD156" s="840" t="s">
        <v>108</v>
      </c>
      <c r="AE156" s="841">
        <v>0.11733978530378285</v>
      </c>
      <c r="AF156" s="842">
        <v>4432.21</v>
      </c>
      <c r="AG156" s="840" t="s">
        <v>108</v>
      </c>
      <c r="AH156" s="841">
        <v>6.2939491721283117E-2</v>
      </c>
      <c r="AI156" s="842">
        <v>5267.9699999999993</v>
      </c>
      <c r="AJ156" s="840" t="s">
        <v>108</v>
      </c>
      <c r="AK156" s="841">
        <v>0.1026481032123648</v>
      </c>
      <c r="AL156" s="842">
        <v>3973.0400000000004</v>
      </c>
      <c r="AM156" s="840" t="s">
        <v>108</v>
      </c>
      <c r="AN156" s="841">
        <v>0.17111612756454206</v>
      </c>
      <c r="AO156" s="842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0.88406143679549454</v>
      </c>
      <c r="E158" s="851">
        <v>737559.24</v>
      </c>
      <c r="F158" s="840" t="s">
        <v>108</v>
      </c>
      <c r="G158" s="841">
        <v>1.59492404642202</v>
      </c>
      <c r="H158" s="851">
        <v>54273.16</v>
      </c>
      <c r="I158" s="840" t="s">
        <v>108</v>
      </c>
      <c r="J158" s="841">
        <v>0.98467941331301734</v>
      </c>
      <c r="K158" s="851">
        <v>50092.039999999994</v>
      </c>
      <c r="L158" s="840" t="s">
        <v>108</v>
      </c>
      <c r="M158" s="841">
        <v>1.0198177670363444</v>
      </c>
      <c r="N158" s="851">
        <v>56437.990000000005</v>
      </c>
      <c r="O158" s="840" t="s">
        <v>108</v>
      </c>
      <c r="P158" s="841">
        <v>0.80746303759627014</v>
      </c>
      <c r="Q158" s="851">
        <v>66158.62</v>
      </c>
      <c r="R158" s="840" t="s">
        <v>108</v>
      </c>
      <c r="S158" s="841">
        <v>0.82875131372402333</v>
      </c>
      <c r="T158" s="851">
        <v>74541.78</v>
      </c>
      <c r="U158" s="840" t="s">
        <v>108</v>
      </c>
      <c r="V158" s="841">
        <v>0.57677335780835048</v>
      </c>
      <c r="W158" s="851">
        <v>70037.56</v>
      </c>
      <c r="X158" s="840" t="s">
        <v>108</v>
      </c>
      <c r="Y158" s="841">
        <v>0.74632270586968508</v>
      </c>
      <c r="Z158" s="851">
        <v>64935.74</v>
      </c>
      <c r="AA158" s="840" t="s">
        <v>108</v>
      </c>
      <c r="AB158" s="841">
        <v>0.57546401397802238</v>
      </c>
      <c r="AC158" s="851">
        <v>72629.06</v>
      </c>
      <c r="AD158" s="840" t="s">
        <v>108</v>
      </c>
      <c r="AE158" s="841">
        <v>1.3645933384234701</v>
      </c>
      <c r="AF158" s="851">
        <v>51544.02</v>
      </c>
      <c r="AG158" s="840" t="s">
        <v>108</v>
      </c>
      <c r="AH158" s="841">
        <v>0.75442275507366041</v>
      </c>
      <c r="AI158" s="851">
        <v>63144.400000000009</v>
      </c>
      <c r="AJ158" s="840" t="s">
        <v>108</v>
      </c>
      <c r="AK158" s="841">
        <v>1.374865651960032</v>
      </c>
      <c r="AL158" s="851">
        <v>53214.780000000006</v>
      </c>
      <c r="AM158" s="840" t="s">
        <v>108</v>
      </c>
      <c r="AN158" s="841">
        <v>2.2146146795634731</v>
      </c>
      <c r="AO158" s="851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395</v>
      </c>
      <c r="C159" s="865"/>
      <c r="D159" s="876"/>
      <c r="E159" s="835">
        <v>24275</v>
      </c>
      <c r="F159" s="865"/>
      <c r="G159" s="876"/>
      <c r="H159" s="835">
        <v>1500</v>
      </c>
      <c r="I159" s="865"/>
      <c r="J159" s="876"/>
      <c r="K159" s="835">
        <v>1400</v>
      </c>
      <c r="L159" s="865"/>
      <c r="M159" s="876"/>
      <c r="N159" s="835">
        <v>0</v>
      </c>
      <c r="O159" s="865"/>
      <c r="P159" s="876"/>
      <c r="Q159" s="835">
        <v>1500</v>
      </c>
      <c r="R159" s="865"/>
      <c r="S159" s="876"/>
      <c r="T159" s="835">
        <v>2625</v>
      </c>
      <c r="U159" s="865"/>
      <c r="V159" s="876"/>
      <c r="W159" s="835">
        <v>2250</v>
      </c>
      <c r="X159" s="865"/>
      <c r="Y159" s="876"/>
      <c r="Z159" s="835">
        <v>3375</v>
      </c>
      <c r="AA159" s="865"/>
      <c r="AB159" s="876"/>
      <c r="AC159" s="835">
        <v>6000</v>
      </c>
      <c r="AD159" s="865"/>
      <c r="AE159" s="876"/>
      <c r="AF159" s="835">
        <v>1500</v>
      </c>
      <c r="AG159" s="865"/>
      <c r="AH159" s="876"/>
      <c r="AI159" s="835">
        <v>0</v>
      </c>
      <c r="AJ159" s="865"/>
      <c r="AK159" s="876"/>
      <c r="AL159" s="835">
        <v>1875</v>
      </c>
      <c r="AM159" s="865"/>
      <c r="AN159" s="876"/>
      <c r="AO159" s="835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8500</v>
      </c>
      <c r="F160" s="865"/>
      <c r="G160" s="876"/>
      <c r="H160" s="835">
        <v>-3750</v>
      </c>
      <c r="I160" s="865"/>
      <c r="J160" s="876"/>
      <c r="K160" s="835">
        <v>0</v>
      </c>
      <c r="L160" s="865"/>
      <c r="M160" s="876"/>
      <c r="N160" s="835">
        <v>0</v>
      </c>
      <c r="O160" s="865"/>
      <c r="P160" s="876"/>
      <c r="Q160" s="835">
        <v>0</v>
      </c>
      <c r="R160" s="865"/>
      <c r="S160" s="876"/>
      <c r="T160" s="835">
        <v>0</v>
      </c>
      <c r="U160" s="865"/>
      <c r="V160" s="876"/>
      <c r="W160" s="835">
        <v>4750</v>
      </c>
      <c r="X160" s="865"/>
      <c r="Y160" s="876"/>
      <c r="Z160" s="835">
        <v>3875</v>
      </c>
      <c r="AA160" s="865"/>
      <c r="AB160" s="876"/>
      <c r="AC160" s="835">
        <v>0</v>
      </c>
      <c r="AD160" s="865"/>
      <c r="AE160" s="876"/>
      <c r="AF160" s="835">
        <v>0</v>
      </c>
      <c r="AG160" s="865"/>
      <c r="AH160" s="876"/>
      <c r="AI160" s="835">
        <v>3625</v>
      </c>
      <c r="AJ160" s="865"/>
      <c r="AK160" s="876"/>
      <c r="AL160" s="835">
        <v>0</v>
      </c>
      <c r="AM160" s="865"/>
      <c r="AN160" s="876"/>
      <c r="AO160" s="835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/>
      <c r="F162" s="813"/>
      <c r="G162" s="821"/>
      <c r="H162" s="835"/>
      <c r="I162" s="813"/>
      <c r="J162" s="821"/>
      <c r="K162" s="835"/>
      <c r="L162" s="813"/>
      <c r="M162" s="821"/>
      <c r="N162" s="835"/>
      <c r="O162" s="813"/>
      <c r="P162" s="821"/>
      <c r="Q162" s="835"/>
      <c r="R162" s="813"/>
      <c r="S162" s="821"/>
      <c r="T162" s="835"/>
      <c r="U162" s="813"/>
      <c r="V162" s="821"/>
      <c r="W162" s="835"/>
      <c r="X162" s="813"/>
      <c r="Y162" s="821"/>
      <c r="Z162" s="835"/>
      <c r="AA162" s="813"/>
      <c r="AB162" s="821"/>
      <c r="AC162" s="835"/>
      <c r="AD162" s="813"/>
      <c r="AE162" s="821"/>
      <c r="AF162" s="835"/>
      <c r="AG162" s="813"/>
      <c r="AH162" s="821"/>
      <c r="AI162" s="835"/>
      <c r="AJ162" s="813"/>
      <c r="AK162" s="821"/>
      <c r="AL162" s="835"/>
      <c r="AM162" s="813"/>
      <c r="AN162" s="821"/>
      <c r="AO162" s="835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/>
      <c r="I163" s="813"/>
      <c r="J163" s="821"/>
      <c r="K163" s="835"/>
      <c r="L163" s="813"/>
      <c r="M163" s="821"/>
      <c r="N163" s="835"/>
      <c r="O163" s="813"/>
      <c r="P163" s="821"/>
      <c r="Q163" s="835"/>
      <c r="R163" s="813"/>
      <c r="S163" s="821"/>
      <c r="T163" s="835"/>
      <c r="U163" s="813"/>
      <c r="V163" s="821"/>
      <c r="W163" s="835"/>
      <c r="X163" s="813"/>
      <c r="Y163" s="821"/>
      <c r="Z163" s="835"/>
      <c r="AA163" s="813"/>
      <c r="AB163" s="821"/>
      <c r="AC163" s="835"/>
      <c r="AD163" s="813"/>
      <c r="AE163" s="821"/>
      <c r="AF163" s="835"/>
      <c r="AG163" s="813"/>
      <c r="AH163" s="821"/>
      <c r="AI163" s="835"/>
      <c r="AJ163" s="813"/>
      <c r="AK163" s="821"/>
      <c r="AL163" s="835"/>
      <c r="AM163" s="813"/>
      <c r="AN163" s="821"/>
      <c r="AO163" s="835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/>
      <c r="I164" s="813"/>
      <c r="J164" s="821"/>
      <c r="K164" s="835"/>
      <c r="L164" s="813"/>
      <c r="M164" s="821"/>
      <c r="N164" s="835"/>
      <c r="O164" s="813"/>
      <c r="P164" s="821"/>
      <c r="Q164" s="835"/>
      <c r="R164" s="813"/>
      <c r="S164" s="821"/>
      <c r="T164" s="835"/>
      <c r="U164" s="813"/>
      <c r="V164" s="821"/>
      <c r="W164" s="835"/>
      <c r="X164" s="813"/>
      <c r="Y164" s="821"/>
      <c r="Z164" s="835"/>
      <c r="AA164" s="813"/>
      <c r="AB164" s="821"/>
      <c r="AC164" s="835"/>
      <c r="AD164" s="813"/>
      <c r="AE164" s="821"/>
      <c r="AF164" s="835"/>
      <c r="AG164" s="813"/>
      <c r="AH164" s="821"/>
      <c r="AI164" s="835"/>
      <c r="AJ164" s="813"/>
      <c r="AK164" s="821"/>
      <c r="AL164" s="835"/>
      <c r="AM164" s="813"/>
      <c r="AN164" s="821"/>
      <c r="AO164" s="835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97580</v>
      </c>
      <c r="F165" s="839"/>
      <c r="G165" s="846"/>
      <c r="H165" s="838">
        <v>7140</v>
      </c>
      <c r="I165" s="839"/>
      <c r="J165" s="846"/>
      <c r="K165" s="838">
        <v>5950</v>
      </c>
      <c r="L165" s="839"/>
      <c r="M165" s="846"/>
      <c r="N165" s="838">
        <v>7735</v>
      </c>
      <c r="O165" s="839"/>
      <c r="P165" s="846"/>
      <c r="Q165" s="838">
        <v>7735</v>
      </c>
      <c r="R165" s="839"/>
      <c r="S165" s="846"/>
      <c r="T165" s="838">
        <v>10710</v>
      </c>
      <c r="U165" s="839"/>
      <c r="V165" s="846"/>
      <c r="W165" s="838">
        <v>11900</v>
      </c>
      <c r="X165" s="839"/>
      <c r="Y165" s="846"/>
      <c r="Z165" s="838">
        <v>9520</v>
      </c>
      <c r="AA165" s="839"/>
      <c r="AB165" s="846"/>
      <c r="AC165" s="838">
        <v>10115</v>
      </c>
      <c r="AD165" s="839"/>
      <c r="AE165" s="846"/>
      <c r="AF165" s="838">
        <v>4760</v>
      </c>
      <c r="AG165" s="839"/>
      <c r="AH165" s="846"/>
      <c r="AI165" s="838">
        <v>9520</v>
      </c>
      <c r="AJ165" s="839"/>
      <c r="AK165" s="846"/>
      <c r="AL165" s="838">
        <v>7735</v>
      </c>
      <c r="AM165" s="839"/>
      <c r="AN165" s="846"/>
      <c r="AO165" s="838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130355</v>
      </c>
      <c r="F166" s="877"/>
      <c r="G166" s="878"/>
      <c r="H166" s="851">
        <v>4890</v>
      </c>
      <c r="I166" s="877"/>
      <c r="J166" s="878"/>
      <c r="K166" s="851">
        <v>7350</v>
      </c>
      <c r="L166" s="877"/>
      <c r="M166" s="878"/>
      <c r="N166" s="851">
        <v>7735</v>
      </c>
      <c r="O166" s="877"/>
      <c r="P166" s="878"/>
      <c r="Q166" s="851">
        <v>9235</v>
      </c>
      <c r="R166" s="877"/>
      <c r="S166" s="878"/>
      <c r="T166" s="851">
        <v>13335</v>
      </c>
      <c r="U166" s="877"/>
      <c r="V166" s="878"/>
      <c r="W166" s="851">
        <v>18900</v>
      </c>
      <c r="X166" s="877"/>
      <c r="Y166" s="878"/>
      <c r="Z166" s="851">
        <v>16770</v>
      </c>
      <c r="AA166" s="877"/>
      <c r="AB166" s="878"/>
      <c r="AC166" s="851">
        <v>16115</v>
      </c>
      <c r="AD166" s="877"/>
      <c r="AE166" s="878"/>
      <c r="AF166" s="851">
        <v>6260</v>
      </c>
      <c r="AG166" s="877"/>
      <c r="AH166" s="878"/>
      <c r="AI166" s="851">
        <v>13145</v>
      </c>
      <c r="AJ166" s="877"/>
      <c r="AK166" s="878"/>
      <c r="AL166" s="851">
        <v>9610</v>
      </c>
      <c r="AM166" s="877"/>
      <c r="AN166" s="878"/>
      <c r="AO166" s="851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227080.80999999889</v>
      </c>
      <c r="F168" s="879"/>
      <c r="G168" s="880"/>
      <c r="H168" s="860">
        <v>-15354.48000000004</v>
      </c>
      <c r="I168" s="879"/>
      <c r="J168" s="880"/>
      <c r="K168" s="860">
        <v>8129.3799999999028</v>
      </c>
      <c r="L168" s="879"/>
      <c r="M168" s="880"/>
      <c r="N168" s="860">
        <v>6638.2599999999074</v>
      </c>
      <c r="O168" s="879"/>
      <c r="P168" s="880"/>
      <c r="Q168" s="860">
        <v>25010.309999999794</v>
      </c>
      <c r="R168" s="879"/>
      <c r="S168" s="880"/>
      <c r="T168" s="860">
        <v>28737.909999999974</v>
      </c>
      <c r="U168" s="879"/>
      <c r="V168" s="880"/>
      <c r="W168" s="860">
        <v>70292.38999999981</v>
      </c>
      <c r="X168" s="879"/>
      <c r="Y168" s="880"/>
      <c r="Z168" s="860">
        <v>38841.849999999795</v>
      </c>
      <c r="AA168" s="879"/>
      <c r="AB168" s="880"/>
      <c r="AC168" s="860">
        <v>69695.499999999913</v>
      </c>
      <c r="AD168" s="879"/>
      <c r="AE168" s="880"/>
      <c r="AF168" s="860">
        <v>-7511.5800000001618</v>
      </c>
      <c r="AG168" s="879"/>
      <c r="AH168" s="880"/>
      <c r="AI168" s="860">
        <v>33699.559999999867</v>
      </c>
      <c r="AJ168" s="879"/>
      <c r="AK168" s="880"/>
      <c r="AL168" s="860">
        <v>-4899.339999999931</v>
      </c>
      <c r="AM168" s="879"/>
      <c r="AN168" s="880"/>
      <c r="AO168" s="860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2824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2023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2317</v>
      </c>
      <c r="D175" s="883">
        <v>707583.91999999993</v>
      </c>
      <c r="E175" s="835">
        <v>568513.97999999963</v>
      </c>
      <c r="F175" s="882">
        <v>86</v>
      </c>
      <c r="G175" s="883">
        <v>28228.79</v>
      </c>
      <c r="H175" s="835">
        <v>23746.15</v>
      </c>
      <c r="I175" s="882">
        <v>112</v>
      </c>
      <c r="J175" s="883">
        <v>37147.800000000003</v>
      </c>
      <c r="K175" s="835">
        <v>30651.95</v>
      </c>
      <c r="L175" s="882">
        <v>128</v>
      </c>
      <c r="M175" s="883">
        <v>39622.54</v>
      </c>
      <c r="N175" s="835">
        <v>32571.200000000001</v>
      </c>
      <c r="O175" s="882">
        <v>323</v>
      </c>
      <c r="P175" s="883">
        <v>83273.84</v>
      </c>
      <c r="Q175" s="835">
        <v>66604.429999999993</v>
      </c>
      <c r="R175" s="882">
        <v>294</v>
      </c>
      <c r="S175" s="883">
        <v>97804.39</v>
      </c>
      <c r="T175" s="835">
        <v>78201.569999999905</v>
      </c>
      <c r="U175" s="882">
        <v>175</v>
      </c>
      <c r="V175" s="883">
        <v>56799.98</v>
      </c>
      <c r="W175" s="835">
        <v>45732.18</v>
      </c>
      <c r="X175" s="882">
        <v>178</v>
      </c>
      <c r="Y175" s="883">
        <v>50533.55</v>
      </c>
      <c r="Z175" s="835">
        <v>40434.870000000003</v>
      </c>
      <c r="AA175" s="882">
        <v>133</v>
      </c>
      <c r="AB175" s="883">
        <v>54662.21</v>
      </c>
      <c r="AC175" s="835">
        <v>43111.839999999997</v>
      </c>
      <c r="AD175" s="882">
        <v>159</v>
      </c>
      <c r="AE175" s="883">
        <v>52980.82</v>
      </c>
      <c r="AF175" s="835">
        <v>41769.319999999898</v>
      </c>
      <c r="AG175" s="882">
        <v>269</v>
      </c>
      <c r="AH175" s="883">
        <v>78930.399999999994</v>
      </c>
      <c r="AI175" s="835">
        <v>63873.36</v>
      </c>
      <c r="AJ175" s="882">
        <v>360</v>
      </c>
      <c r="AK175" s="883">
        <v>94719.13</v>
      </c>
      <c r="AL175" s="835">
        <v>76288.39</v>
      </c>
      <c r="AM175" s="882">
        <v>100</v>
      </c>
      <c r="AN175" s="883">
        <v>32880.47</v>
      </c>
      <c r="AO175" s="835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0.80345802657584375</v>
      </c>
      <c r="F176" s="884"/>
      <c r="G176" s="821"/>
      <c r="H176" s="885">
        <v>0.84120325384120254</v>
      </c>
      <c r="I176" s="884"/>
      <c r="J176" s="821"/>
      <c r="K176" s="885">
        <v>0.82513500126521622</v>
      </c>
      <c r="L176" s="884"/>
      <c r="M176" s="821"/>
      <c r="N176" s="885">
        <v>0.82203715359994589</v>
      </c>
      <c r="O176" s="884"/>
      <c r="P176" s="821"/>
      <c r="Q176" s="885">
        <v>0.79982417047178311</v>
      </c>
      <c r="R176" s="884"/>
      <c r="S176" s="821"/>
      <c r="T176" s="885">
        <v>0.79957116444364007</v>
      </c>
      <c r="U176" s="884"/>
      <c r="V176" s="821"/>
      <c r="W176" s="885">
        <v>0.80514429758602024</v>
      </c>
      <c r="X176" s="884"/>
      <c r="Y176" s="821"/>
      <c r="Z176" s="885">
        <v>0.80015890433187453</v>
      </c>
      <c r="AA176" s="884"/>
      <c r="AB176" s="821"/>
      <c r="AC176" s="885">
        <v>0.78869551743334187</v>
      </c>
      <c r="AD176" s="884"/>
      <c r="AE176" s="821"/>
      <c r="AF176" s="885">
        <v>0.78838568372478757</v>
      </c>
      <c r="AG176" s="884"/>
      <c r="AH176" s="821"/>
      <c r="AI176" s="885">
        <v>0.80923649189665836</v>
      </c>
      <c r="AJ176" s="884"/>
      <c r="AK176" s="821"/>
      <c r="AL176" s="885">
        <v>0.80541692053125902</v>
      </c>
      <c r="AM176" s="884"/>
      <c r="AN176" s="821"/>
      <c r="AO176" s="885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305.38796719896413</v>
      </c>
      <c r="E177" s="888"/>
      <c r="F177" s="886"/>
      <c r="G177" s="887">
        <v>328.2417441860465</v>
      </c>
      <c r="H177" s="888"/>
      <c r="I177" s="886"/>
      <c r="J177" s="887">
        <v>331.67678571428576</v>
      </c>
      <c r="K177" s="888"/>
      <c r="L177" s="886"/>
      <c r="M177" s="887">
        <v>309.55109375000001</v>
      </c>
      <c r="N177" s="888"/>
      <c r="O177" s="886"/>
      <c r="P177" s="887">
        <v>257.81374613003095</v>
      </c>
      <c r="Q177" s="888"/>
      <c r="R177" s="886"/>
      <c r="S177" s="887">
        <v>332.66799319727892</v>
      </c>
      <c r="T177" s="888"/>
      <c r="U177" s="886"/>
      <c r="V177" s="887">
        <v>324.57131428571432</v>
      </c>
      <c r="W177" s="888"/>
      <c r="X177" s="886"/>
      <c r="Y177" s="887">
        <v>283.89634831460677</v>
      </c>
      <c r="Z177" s="888"/>
      <c r="AA177" s="886"/>
      <c r="AB177" s="887">
        <v>410.99406015037596</v>
      </c>
      <c r="AC177" s="888"/>
      <c r="AD177" s="886"/>
      <c r="AE177" s="887">
        <v>333.21270440251573</v>
      </c>
      <c r="AF177" s="888"/>
      <c r="AG177" s="886"/>
      <c r="AH177" s="887">
        <v>293.42156133828996</v>
      </c>
      <c r="AI177" s="888"/>
      <c r="AJ177" s="886"/>
      <c r="AK177" s="887">
        <v>263.10869444444444</v>
      </c>
      <c r="AL177" s="888"/>
      <c r="AM177" s="886"/>
      <c r="AN177" s="887">
        <v>328.80470000000003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2402</v>
      </c>
      <c r="D178" s="890">
        <v>352928.33999999956</v>
      </c>
      <c r="E178" s="845">
        <v>257306.85999999949</v>
      </c>
      <c r="F178" s="889">
        <v>184</v>
      </c>
      <c r="G178" s="890">
        <v>28122.3</v>
      </c>
      <c r="H178" s="845">
        <v>20741.54</v>
      </c>
      <c r="I178" s="889">
        <v>192</v>
      </c>
      <c r="J178" s="890">
        <v>26551.57</v>
      </c>
      <c r="K178" s="845">
        <v>19978.82</v>
      </c>
      <c r="L178" s="889">
        <v>166</v>
      </c>
      <c r="M178" s="890">
        <v>31954.02</v>
      </c>
      <c r="N178" s="845">
        <v>23660.49</v>
      </c>
      <c r="O178" s="889">
        <v>180</v>
      </c>
      <c r="P178" s="890">
        <v>24617.9899999999</v>
      </c>
      <c r="Q178" s="845">
        <v>17286.63</v>
      </c>
      <c r="R178" s="889">
        <v>239</v>
      </c>
      <c r="S178" s="890">
        <v>33207.660000000003</v>
      </c>
      <c r="T178" s="845">
        <v>23378.67</v>
      </c>
      <c r="U178" s="889">
        <v>266</v>
      </c>
      <c r="V178" s="890">
        <v>39385.870000000003</v>
      </c>
      <c r="W178" s="845">
        <v>28373.94</v>
      </c>
      <c r="X178" s="889">
        <v>253</v>
      </c>
      <c r="Y178" s="890">
        <v>36239.18</v>
      </c>
      <c r="Z178" s="845">
        <v>26899.38</v>
      </c>
      <c r="AA178" s="889">
        <v>222</v>
      </c>
      <c r="AB178" s="890">
        <v>31684.0999999999</v>
      </c>
      <c r="AC178" s="845">
        <v>23905.569999999901</v>
      </c>
      <c r="AD178" s="889">
        <v>206</v>
      </c>
      <c r="AE178" s="890">
        <v>34800.549999999901</v>
      </c>
      <c r="AF178" s="845">
        <v>25221.659999999902</v>
      </c>
      <c r="AG178" s="889">
        <v>168</v>
      </c>
      <c r="AH178" s="890">
        <v>24181.78</v>
      </c>
      <c r="AI178" s="845">
        <v>17422.2399999999</v>
      </c>
      <c r="AJ178" s="889">
        <v>207</v>
      </c>
      <c r="AK178" s="890">
        <v>26144.57</v>
      </c>
      <c r="AL178" s="845">
        <v>19320.1499999999</v>
      </c>
      <c r="AM178" s="889">
        <v>119</v>
      </c>
      <c r="AN178" s="890">
        <v>16038.7499999999</v>
      </c>
      <c r="AO178" s="845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0.72906261934079819</v>
      </c>
      <c r="F179" s="813"/>
      <c r="G179" s="821"/>
      <c r="H179" s="885">
        <v>0.73754778236488483</v>
      </c>
      <c r="I179" s="813"/>
      <c r="J179" s="821"/>
      <c r="K179" s="885">
        <v>0.75245343307382573</v>
      </c>
      <c r="L179" s="813"/>
      <c r="M179" s="821"/>
      <c r="N179" s="885">
        <v>0.74045425270435461</v>
      </c>
      <c r="O179" s="813"/>
      <c r="P179" s="821"/>
      <c r="Q179" s="885">
        <v>0.70219502079577056</v>
      </c>
      <c r="R179" s="813"/>
      <c r="S179" s="821"/>
      <c r="T179" s="885">
        <v>0.70401437499661212</v>
      </c>
      <c r="U179" s="813"/>
      <c r="V179" s="821"/>
      <c r="W179" s="885">
        <v>0.72040912134224777</v>
      </c>
      <c r="X179" s="813"/>
      <c r="Y179" s="821"/>
      <c r="Z179" s="885">
        <v>0.74227341788638712</v>
      </c>
      <c r="AA179" s="813"/>
      <c r="AB179" s="821"/>
      <c r="AC179" s="885">
        <v>0.75449736618682484</v>
      </c>
      <c r="AD179" s="813"/>
      <c r="AE179" s="821"/>
      <c r="AF179" s="885">
        <v>0.72474889046293733</v>
      </c>
      <c r="AG179" s="813"/>
      <c r="AH179" s="821"/>
      <c r="AI179" s="885">
        <v>0.72046970901231844</v>
      </c>
      <c r="AJ179" s="813"/>
      <c r="AK179" s="821"/>
      <c r="AL179" s="885">
        <v>0.73897371423587765</v>
      </c>
      <c r="AM179" s="813"/>
      <c r="AN179" s="821"/>
      <c r="AO179" s="885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146.93103247293902</v>
      </c>
      <c r="E180" s="888"/>
      <c r="F180" s="839"/>
      <c r="G180" s="887">
        <v>152.83858695652174</v>
      </c>
      <c r="H180" s="888"/>
      <c r="I180" s="839"/>
      <c r="J180" s="887">
        <v>138.28942708333332</v>
      </c>
      <c r="K180" s="888"/>
      <c r="L180" s="839"/>
      <c r="M180" s="887">
        <v>192.49409638554218</v>
      </c>
      <c r="N180" s="888"/>
      <c r="O180" s="839"/>
      <c r="P180" s="887">
        <v>136.76661111111056</v>
      </c>
      <c r="Q180" s="888"/>
      <c r="R180" s="839"/>
      <c r="S180" s="887">
        <v>138.94418410041843</v>
      </c>
      <c r="T180" s="888"/>
      <c r="U180" s="839"/>
      <c r="V180" s="887">
        <v>148.06718045112783</v>
      </c>
      <c r="W180" s="888"/>
      <c r="X180" s="839"/>
      <c r="Y180" s="887">
        <v>143.23786561264822</v>
      </c>
      <c r="Z180" s="888"/>
      <c r="AA180" s="839"/>
      <c r="AB180" s="887">
        <v>142.72117117117071</v>
      </c>
      <c r="AC180" s="888"/>
      <c r="AD180" s="839"/>
      <c r="AE180" s="887">
        <v>168.93470873786359</v>
      </c>
      <c r="AF180" s="888"/>
      <c r="AG180" s="839"/>
      <c r="AH180" s="887">
        <v>143.93916666666667</v>
      </c>
      <c r="AI180" s="888"/>
      <c r="AJ180" s="839"/>
      <c r="AK180" s="887">
        <v>126.30227053140096</v>
      </c>
      <c r="AL180" s="888"/>
      <c r="AM180" s="839"/>
      <c r="AN180" s="887">
        <v>134.77941176470503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2062</v>
      </c>
      <c r="D181" s="883">
        <v>418487.89999999962</v>
      </c>
      <c r="E181" s="835">
        <v>263521.64999999962</v>
      </c>
      <c r="F181" s="882">
        <v>138</v>
      </c>
      <c r="G181" s="883">
        <v>25207.25</v>
      </c>
      <c r="H181" s="835">
        <v>15910.6699999999</v>
      </c>
      <c r="I181" s="882">
        <v>115</v>
      </c>
      <c r="J181" s="883">
        <v>20474.71</v>
      </c>
      <c r="K181" s="835">
        <v>12380.18</v>
      </c>
      <c r="L181" s="882">
        <v>157</v>
      </c>
      <c r="M181" s="883">
        <v>34908.19</v>
      </c>
      <c r="N181" s="835">
        <v>24905.75</v>
      </c>
      <c r="O181" s="882">
        <v>169</v>
      </c>
      <c r="P181" s="883">
        <v>33571.619999999901</v>
      </c>
      <c r="Q181" s="835">
        <v>21721.85</v>
      </c>
      <c r="R181" s="882">
        <v>207</v>
      </c>
      <c r="S181" s="883">
        <v>40853.910000000003</v>
      </c>
      <c r="T181" s="835">
        <v>24226.57</v>
      </c>
      <c r="U181" s="882">
        <v>196</v>
      </c>
      <c r="V181" s="883">
        <v>35162.229999999901</v>
      </c>
      <c r="W181" s="835">
        <v>19397.369999999901</v>
      </c>
      <c r="X181" s="882">
        <v>172</v>
      </c>
      <c r="Y181" s="883">
        <v>32689.9199999999</v>
      </c>
      <c r="Z181" s="835">
        <v>20468.2399999999</v>
      </c>
      <c r="AA181" s="882">
        <v>225</v>
      </c>
      <c r="AB181" s="883">
        <v>50774.77</v>
      </c>
      <c r="AC181" s="835">
        <v>34323.589999999997</v>
      </c>
      <c r="AD181" s="882">
        <v>176</v>
      </c>
      <c r="AE181" s="883">
        <v>40046.6499999999</v>
      </c>
      <c r="AF181" s="835">
        <v>25343.85</v>
      </c>
      <c r="AG181" s="882">
        <v>195</v>
      </c>
      <c r="AH181" s="883">
        <v>37578.199999999997</v>
      </c>
      <c r="AI181" s="835">
        <v>23765.06</v>
      </c>
      <c r="AJ181" s="882">
        <v>209</v>
      </c>
      <c r="AK181" s="883">
        <v>47181.69</v>
      </c>
      <c r="AL181" s="835">
        <v>28438.71</v>
      </c>
      <c r="AM181" s="882">
        <v>103</v>
      </c>
      <c r="AN181" s="883">
        <v>20038.759999999998</v>
      </c>
      <c r="AO181" s="835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0.62969956837461694</v>
      </c>
      <c r="F182" s="884"/>
      <c r="G182" s="891"/>
      <c r="H182" s="885">
        <v>0.63119420008132188</v>
      </c>
      <c r="I182" s="884"/>
      <c r="J182" s="891"/>
      <c r="K182" s="885">
        <v>0.60465715997931113</v>
      </c>
      <c r="L182" s="884"/>
      <c r="M182" s="891"/>
      <c r="N182" s="885">
        <v>0.71346437612491509</v>
      </c>
      <c r="O182" s="884"/>
      <c r="P182" s="891"/>
      <c r="Q182" s="885">
        <v>0.64703014033877615</v>
      </c>
      <c r="R182" s="884"/>
      <c r="S182" s="891"/>
      <c r="T182" s="885">
        <v>0.59300492902637714</v>
      </c>
      <c r="U182" s="884"/>
      <c r="V182" s="891"/>
      <c r="W182" s="885">
        <v>0.5516535782855625</v>
      </c>
      <c r="X182" s="884"/>
      <c r="Y182" s="891"/>
      <c r="Z182" s="885">
        <v>0.62613307098946591</v>
      </c>
      <c r="AA182" s="884"/>
      <c r="AB182" s="891"/>
      <c r="AC182" s="885">
        <v>0.67599695675627869</v>
      </c>
      <c r="AD182" s="884"/>
      <c r="AE182" s="891"/>
      <c r="AF182" s="885">
        <v>0.63285817914856957</v>
      </c>
      <c r="AG182" s="884"/>
      <c r="AH182" s="891"/>
      <c r="AI182" s="885">
        <v>0.63241613488671633</v>
      </c>
      <c r="AJ182" s="884"/>
      <c r="AK182" s="891"/>
      <c r="AL182" s="885">
        <v>0.6027488629593386</v>
      </c>
      <c r="AM182" s="884"/>
      <c r="AN182" s="891"/>
      <c r="AO182" s="885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202.95242483026169</v>
      </c>
      <c r="E183" s="885"/>
      <c r="F183" s="884"/>
      <c r="G183" s="892">
        <v>182.66123188405797</v>
      </c>
      <c r="H183" s="885"/>
      <c r="I183" s="884"/>
      <c r="J183" s="892">
        <v>178.04095652173913</v>
      </c>
      <c r="K183" s="885"/>
      <c r="L183" s="884"/>
      <c r="M183" s="892">
        <v>222.3451592356688</v>
      </c>
      <c r="N183" s="885"/>
      <c r="O183" s="884"/>
      <c r="P183" s="892">
        <v>198.64863905325385</v>
      </c>
      <c r="Q183" s="885"/>
      <c r="R183" s="884"/>
      <c r="S183" s="892">
        <v>197.36188405797103</v>
      </c>
      <c r="T183" s="885"/>
      <c r="U183" s="884"/>
      <c r="V183" s="892">
        <v>179.39913265306072</v>
      </c>
      <c r="W183" s="885"/>
      <c r="X183" s="884"/>
      <c r="Y183" s="892">
        <v>190.05767441860408</v>
      </c>
      <c r="Z183" s="885"/>
      <c r="AA183" s="884"/>
      <c r="AB183" s="892">
        <v>225.66564444444444</v>
      </c>
      <c r="AC183" s="885"/>
      <c r="AD183" s="884"/>
      <c r="AE183" s="892">
        <v>227.53778409090853</v>
      </c>
      <c r="AF183" s="885"/>
      <c r="AG183" s="884"/>
      <c r="AH183" s="892">
        <v>192.70871794871795</v>
      </c>
      <c r="AI183" s="885"/>
      <c r="AJ183" s="884"/>
      <c r="AK183" s="892">
        <v>225.74971291866029</v>
      </c>
      <c r="AL183" s="885"/>
      <c r="AM183" s="884"/>
      <c r="AN183" s="892">
        <v>194.55106796116505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677</v>
      </c>
      <c r="D184" s="890">
        <v>118799.61999999988</v>
      </c>
      <c r="E184" s="845">
        <v>47484.059999999983</v>
      </c>
      <c r="F184" s="889">
        <v>32</v>
      </c>
      <c r="G184" s="890">
        <v>4689.47</v>
      </c>
      <c r="H184" s="845">
        <v>1803.44</v>
      </c>
      <c r="I184" s="889">
        <v>33</v>
      </c>
      <c r="J184" s="890">
        <v>4926.3</v>
      </c>
      <c r="K184" s="845">
        <v>1960.56</v>
      </c>
      <c r="L184" s="889">
        <v>35</v>
      </c>
      <c r="M184" s="890">
        <v>5666.1399999999903</v>
      </c>
      <c r="N184" s="845">
        <v>2331.6399999999899</v>
      </c>
      <c r="O184" s="889">
        <v>107</v>
      </c>
      <c r="P184" s="890">
        <v>20548.03</v>
      </c>
      <c r="Q184" s="845">
        <v>8942.52</v>
      </c>
      <c r="R184" s="889">
        <v>93</v>
      </c>
      <c r="S184" s="890">
        <v>17672.64</v>
      </c>
      <c r="T184" s="845">
        <v>7452.4</v>
      </c>
      <c r="U184" s="889">
        <v>44</v>
      </c>
      <c r="V184" s="890">
        <v>9642.94</v>
      </c>
      <c r="W184" s="845">
        <v>3423.04</v>
      </c>
      <c r="X184" s="889">
        <v>52</v>
      </c>
      <c r="Y184" s="890">
        <v>10166.51</v>
      </c>
      <c r="Z184" s="845">
        <v>3792.81</v>
      </c>
      <c r="AA184" s="889">
        <v>49</v>
      </c>
      <c r="AB184" s="890">
        <v>7144.84</v>
      </c>
      <c r="AC184" s="845">
        <v>2509.27</v>
      </c>
      <c r="AD184" s="889">
        <v>43</v>
      </c>
      <c r="AE184" s="890">
        <v>7910.06</v>
      </c>
      <c r="AF184" s="845">
        <v>2982.41</v>
      </c>
      <c r="AG184" s="889">
        <v>72</v>
      </c>
      <c r="AH184" s="890">
        <v>11630.56</v>
      </c>
      <c r="AI184" s="845">
        <v>4796.74</v>
      </c>
      <c r="AJ184" s="889">
        <v>69</v>
      </c>
      <c r="AK184" s="890">
        <v>11668.289999999901</v>
      </c>
      <c r="AL184" s="845">
        <v>4982.03999999999</v>
      </c>
      <c r="AM184" s="889">
        <v>48</v>
      </c>
      <c r="AN184" s="890">
        <v>7133.84</v>
      </c>
      <c r="AO184" s="845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0.39969875324517057</v>
      </c>
      <c r="F185" s="893"/>
      <c r="G185" s="894">
        <v>0</v>
      </c>
      <c r="H185" s="885">
        <v>0.3845722437716842</v>
      </c>
      <c r="I185" s="893"/>
      <c r="J185" s="894">
        <v>0</v>
      </c>
      <c r="K185" s="885">
        <v>0.39797819864807255</v>
      </c>
      <c r="L185" s="893"/>
      <c r="M185" s="894">
        <v>0</v>
      </c>
      <c r="N185" s="885">
        <v>0.41150412803072178</v>
      </c>
      <c r="O185" s="893"/>
      <c r="P185" s="894">
        <v>0</v>
      </c>
      <c r="Q185" s="885">
        <v>0.43520084407118353</v>
      </c>
      <c r="R185" s="893"/>
      <c r="S185" s="894">
        <v>0</v>
      </c>
      <c r="T185" s="885">
        <v>0.42169138283810453</v>
      </c>
      <c r="U185" s="893"/>
      <c r="V185" s="894">
        <v>0</v>
      </c>
      <c r="W185" s="885">
        <v>0.35497887573706771</v>
      </c>
      <c r="X185" s="893"/>
      <c r="Y185" s="894">
        <v>0</v>
      </c>
      <c r="Z185" s="885">
        <v>0.37306902762108135</v>
      </c>
      <c r="AA185" s="893"/>
      <c r="AB185" s="894">
        <v>0</v>
      </c>
      <c r="AC185" s="885">
        <v>0.35120030679483377</v>
      </c>
      <c r="AD185" s="893"/>
      <c r="AE185" s="894">
        <v>0</v>
      </c>
      <c r="AF185" s="885">
        <v>0.37704012358945438</v>
      </c>
      <c r="AG185" s="893"/>
      <c r="AH185" s="894">
        <v>0</v>
      </c>
      <c r="AI185" s="885">
        <v>0.41242554098856804</v>
      </c>
      <c r="AJ185" s="893"/>
      <c r="AK185" s="894">
        <v>0</v>
      </c>
      <c r="AL185" s="885">
        <v>0.42697258981393438</v>
      </c>
      <c r="AM185" s="893"/>
      <c r="AN185" s="894">
        <v>0</v>
      </c>
      <c r="AO185" s="885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175.4794977843425</v>
      </c>
      <c r="E186" s="888"/>
      <c r="F186" s="895"/>
      <c r="G186" s="896">
        <v>146.54593750000001</v>
      </c>
      <c r="H186" s="888"/>
      <c r="I186" s="895"/>
      <c r="J186" s="896">
        <v>149.28181818181818</v>
      </c>
      <c r="K186" s="888"/>
      <c r="L186" s="895"/>
      <c r="M186" s="896">
        <v>161.88971428571401</v>
      </c>
      <c r="N186" s="888"/>
      <c r="O186" s="895"/>
      <c r="P186" s="896">
        <v>192.03766355140186</v>
      </c>
      <c r="Q186" s="888"/>
      <c r="R186" s="895"/>
      <c r="S186" s="896">
        <v>190.0283870967742</v>
      </c>
      <c r="T186" s="888"/>
      <c r="U186" s="895"/>
      <c r="V186" s="896">
        <v>219.15772727272727</v>
      </c>
      <c r="W186" s="888"/>
      <c r="X186" s="895"/>
      <c r="Y186" s="896">
        <v>195.5098076923077</v>
      </c>
      <c r="Z186" s="888"/>
      <c r="AA186" s="895"/>
      <c r="AB186" s="896">
        <v>145.81306122448979</v>
      </c>
      <c r="AC186" s="888"/>
      <c r="AD186" s="895"/>
      <c r="AE186" s="896">
        <v>183.95488372093024</v>
      </c>
      <c r="AF186" s="888"/>
      <c r="AG186" s="895"/>
      <c r="AH186" s="896">
        <v>161.53555555555556</v>
      </c>
      <c r="AI186" s="888"/>
      <c r="AJ186" s="895"/>
      <c r="AK186" s="896">
        <v>169.10565217391161</v>
      </c>
      <c r="AL186" s="888"/>
      <c r="AM186" s="895"/>
      <c r="AN186" s="896">
        <v>148.62166666666667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-33068.089999999997</v>
      </c>
      <c r="F187" s="882"/>
      <c r="G187" s="883"/>
      <c r="H187" s="835">
        <v>-1949.38</v>
      </c>
      <c r="I187" s="882"/>
      <c r="J187" s="883"/>
      <c r="K187" s="835">
        <v>-2058.85</v>
      </c>
      <c r="L187" s="882"/>
      <c r="M187" s="883"/>
      <c r="N187" s="835">
        <v>-2349.08</v>
      </c>
      <c r="O187" s="882"/>
      <c r="P187" s="883"/>
      <c r="Q187" s="835">
        <v>-2221.81</v>
      </c>
      <c r="R187" s="882"/>
      <c r="S187" s="883"/>
      <c r="T187" s="835">
        <v>-4394.6499999999996</v>
      </c>
      <c r="U187" s="882"/>
      <c r="V187" s="883"/>
      <c r="W187" s="835">
        <v>-2000.57</v>
      </c>
      <c r="X187" s="882"/>
      <c r="Y187" s="883"/>
      <c r="Z187" s="835">
        <v>-1438.67</v>
      </c>
      <c r="AA187" s="882"/>
      <c r="AB187" s="883"/>
      <c r="AC187" s="835">
        <v>-3684.12</v>
      </c>
      <c r="AD187" s="882"/>
      <c r="AE187" s="883"/>
      <c r="AF187" s="835">
        <v>-4235.5600000000004</v>
      </c>
      <c r="AG187" s="882"/>
      <c r="AH187" s="883"/>
      <c r="AI187" s="835">
        <v>-4381.91</v>
      </c>
      <c r="AJ187" s="882"/>
      <c r="AK187" s="883"/>
      <c r="AL187" s="835">
        <v>-3935.5</v>
      </c>
      <c r="AM187" s="882"/>
      <c r="AN187" s="883"/>
      <c r="AO187" s="835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7458</v>
      </c>
      <c r="D188" s="898">
        <v>1597799.7799999991</v>
      </c>
      <c r="E188" s="899">
        <v>1103758.4599999988</v>
      </c>
      <c r="F188" s="897">
        <v>440</v>
      </c>
      <c r="G188" s="898">
        <v>86247.81</v>
      </c>
      <c r="H188" s="899">
        <v>60252.419999999904</v>
      </c>
      <c r="I188" s="897">
        <v>452</v>
      </c>
      <c r="J188" s="898">
        <v>89100.38</v>
      </c>
      <c r="K188" s="899">
        <v>62912.66</v>
      </c>
      <c r="L188" s="897">
        <v>486</v>
      </c>
      <c r="M188" s="898">
        <v>112150.88999999998</v>
      </c>
      <c r="N188" s="899">
        <v>81119.999999999985</v>
      </c>
      <c r="O188" s="897">
        <v>779</v>
      </c>
      <c r="P188" s="898">
        <v>162011.47999999981</v>
      </c>
      <c r="Q188" s="899">
        <v>112333.62000000001</v>
      </c>
      <c r="R188" s="897">
        <v>833</v>
      </c>
      <c r="S188" s="898">
        <v>189538.60000000003</v>
      </c>
      <c r="T188" s="899">
        <v>128864.55999999991</v>
      </c>
      <c r="U188" s="897">
        <v>681</v>
      </c>
      <c r="V188" s="898">
        <v>140991.0199999999</v>
      </c>
      <c r="W188" s="899">
        <v>94925.95999999989</v>
      </c>
      <c r="X188" s="897">
        <v>655</v>
      </c>
      <c r="Y188" s="898">
        <v>129629.1599999999</v>
      </c>
      <c r="Z188" s="899">
        <v>90156.629999999903</v>
      </c>
      <c r="AA188" s="897">
        <v>629</v>
      </c>
      <c r="AB188" s="898">
        <v>144265.9199999999</v>
      </c>
      <c r="AC188" s="899">
        <v>100166.14999999991</v>
      </c>
      <c r="AD188" s="897">
        <v>584</v>
      </c>
      <c r="AE188" s="898">
        <v>135738.07999999981</v>
      </c>
      <c r="AF188" s="899">
        <v>91081.679999999818</v>
      </c>
      <c r="AG188" s="897">
        <v>704</v>
      </c>
      <c r="AH188" s="898">
        <v>152320.94</v>
      </c>
      <c r="AI188" s="899">
        <v>105475.4899999999</v>
      </c>
      <c r="AJ188" s="897">
        <v>845</v>
      </c>
      <c r="AK188" s="898">
        <v>179713.67999999991</v>
      </c>
      <c r="AL188" s="899">
        <v>125093.78999999988</v>
      </c>
      <c r="AM188" s="897">
        <v>370</v>
      </c>
      <c r="AN188" s="898">
        <v>76091.819999999891</v>
      </c>
      <c r="AO188" s="899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214.23971305980143</v>
      </c>
      <c r="E189" s="902">
        <v>0.69079898108384985</v>
      </c>
      <c r="F189" s="900"/>
      <c r="G189" s="901">
        <v>196.01775000000001</v>
      </c>
      <c r="H189" s="902">
        <v>0.69859652088557267</v>
      </c>
      <c r="I189" s="900"/>
      <c r="J189" s="901">
        <v>197.12473451327435</v>
      </c>
      <c r="K189" s="902">
        <v>0.70608744878529139</v>
      </c>
      <c r="L189" s="900"/>
      <c r="M189" s="901">
        <v>230.7631481481481</v>
      </c>
      <c r="N189" s="902">
        <v>0.72331124612564368</v>
      </c>
      <c r="O189" s="900"/>
      <c r="P189" s="901">
        <v>207.97365853658511</v>
      </c>
      <c r="Q189" s="902">
        <v>0.69336827242118981</v>
      </c>
      <c r="R189" s="900"/>
      <c r="S189" s="901">
        <v>227.53733493397363</v>
      </c>
      <c r="T189" s="902">
        <v>0.67988557475891398</v>
      </c>
      <c r="U189" s="900"/>
      <c r="V189" s="901">
        <v>207.03527165932437</v>
      </c>
      <c r="W189" s="902">
        <v>0.67327663846959862</v>
      </c>
      <c r="X189" s="900"/>
      <c r="Y189" s="901">
        <v>197.90711450381664</v>
      </c>
      <c r="Z189" s="902">
        <v>0.69549652254168715</v>
      </c>
      <c r="AA189" s="900"/>
      <c r="AB189" s="901">
        <v>229.35758346581861</v>
      </c>
      <c r="AC189" s="902">
        <v>0.6943160935028867</v>
      </c>
      <c r="AD189" s="900"/>
      <c r="AE189" s="901">
        <v>232.42821917808186</v>
      </c>
      <c r="AF189" s="902">
        <v>0.67101052261826555</v>
      </c>
      <c r="AG189" s="900"/>
      <c r="AH189" s="901">
        <v>216.36497159090911</v>
      </c>
      <c r="AI189" s="902">
        <v>0.6924556137849458</v>
      </c>
      <c r="AJ189" s="900"/>
      <c r="AK189" s="901">
        <v>212.67891124260345</v>
      </c>
      <c r="AL189" s="902">
        <v>0.69607271967275919</v>
      </c>
      <c r="AM189" s="900"/>
      <c r="AN189" s="901">
        <v>205.65356756756728</v>
      </c>
      <c r="AO189" s="902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46805.219999999965</v>
      </c>
      <c r="E191" s="835">
        <v>2213.8299999999967</v>
      </c>
      <c r="F191" s="882">
        <v>0</v>
      </c>
      <c r="G191" s="904">
        <v>4365.1399999999903</v>
      </c>
      <c r="H191" s="835">
        <v>29.999999999999702</v>
      </c>
      <c r="I191" s="882">
        <v>0</v>
      </c>
      <c r="J191" s="904">
        <v>5354.19</v>
      </c>
      <c r="K191" s="835">
        <v>4.5474735088646402E-13</v>
      </c>
      <c r="L191" s="882">
        <v>0</v>
      </c>
      <c r="M191" s="904">
        <v>3766.38</v>
      </c>
      <c r="N191" s="835">
        <v>166.78</v>
      </c>
      <c r="O191" s="882">
        <v>0</v>
      </c>
      <c r="P191" s="904">
        <v>5154.13</v>
      </c>
      <c r="Q191" s="835">
        <v>493.9</v>
      </c>
      <c r="R191" s="882">
        <v>0</v>
      </c>
      <c r="S191" s="904">
        <v>1473.21</v>
      </c>
      <c r="T191" s="835">
        <v>259.37</v>
      </c>
      <c r="U191" s="882">
        <v>0</v>
      </c>
      <c r="V191" s="904">
        <v>5482.9</v>
      </c>
      <c r="W191" s="835">
        <v>412.89999999999901</v>
      </c>
      <c r="X191" s="882">
        <v>0</v>
      </c>
      <c r="Y191" s="904">
        <v>5681.3099999999904</v>
      </c>
      <c r="Z191" s="835">
        <v>119.94999999999899</v>
      </c>
      <c r="AA191" s="882">
        <v>0</v>
      </c>
      <c r="AB191" s="904">
        <v>4429.55</v>
      </c>
      <c r="AC191" s="835">
        <v>411.68</v>
      </c>
      <c r="AD191" s="882">
        <v>0</v>
      </c>
      <c r="AE191" s="904">
        <v>129.849999999999</v>
      </c>
      <c r="AF191" s="835">
        <v>95.349999999999895</v>
      </c>
      <c r="AG191" s="882">
        <v>0</v>
      </c>
      <c r="AH191" s="904">
        <v>5367.8099999999904</v>
      </c>
      <c r="AI191" s="835">
        <v>74.949999999999804</v>
      </c>
      <c r="AJ191" s="882">
        <v>0</v>
      </c>
      <c r="AK191" s="904">
        <v>5312.8099999999904</v>
      </c>
      <c r="AL191" s="835">
        <v>103.94999999999899</v>
      </c>
      <c r="AM191" s="882">
        <v>0</v>
      </c>
      <c r="AN191" s="904">
        <v>287.94</v>
      </c>
      <c r="AO191" s="835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4.7298784195437996E-2</v>
      </c>
      <c r="F192" s="884"/>
      <c r="G192" s="891"/>
      <c r="H192" s="885">
        <v>6.8726318056235927E-3</v>
      </c>
      <c r="I192" s="884"/>
      <c r="J192" s="891"/>
      <c r="K192" s="885">
        <v>8.4932987228033385E-17</v>
      </c>
      <c r="L192" s="884"/>
      <c r="M192" s="891"/>
      <c r="N192" s="885">
        <v>4.4281246183337848E-2</v>
      </c>
      <c r="O192" s="884"/>
      <c r="P192" s="891"/>
      <c r="Q192" s="885">
        <v>9.5826065698769725E-2</v>
      </c>
      <c r="R192" s="884"/>
      <c r="S192" s="891"/>
      <c r="T192" s="885">
        <v>0.17605772428913732</v>
      </c>
      <c r="U192" s="884"/>
      <c r="V192" s="891"/>
      <c r="W192" s="885">
        <v>7.5306863156358692E-2</v>
      </c>
      <c r="X192" s="884"/>
      <c r="Y192" s="891"/>
      <c r="Z192" s="885">
        <v>2.1113088354622295E-2</v>
      </c>
      <c r="AA192" s="884"/>
      <c r="AB192" s="891"/>
      <c r="AC192" s="885">
        <v>9.2939463376640968E-2</v>
      </c>
      <c r="AD192" s="884"/>
      <c r="AE192" s="891"/>
      <c r="AF192" s="885">
        <v>0.73430881786677416</v>
      </c>
      <c r="AG192" s="884"/>
      <c r="AH192" s="891"/>
      <c r="AI192" s="885">
        <v>1.3962863812243716E-2</v>
      </c>
      <c r="AJ192" s="884"/>
      <c r="AK192" s="891"/>
      <c r="AL192" s="885">
        <v>1.9565917094719967E-2</v>
      </c>
      <c r="AM192" s="884"/>
      <c r="AN192" s="891"/>
      <c r="AO192" s="885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1644604.9999999991</v>
      </c>
      <c r="E197" s="825">
        <v>1105972.2899999989</v>
      </c>
      <c r="F197" s="823"/>
      <c r="G197" s="910">
        <v>90612.949999999983</v>
      </c>
      <c r="H197" s="825">
        <v>60282.419999999904</v>
      </c>
      <c r="I197" s="823"/>
      <c r="J197" s="910">
        <v>94454.57</v>
      </c>
      <c r="K197" s="825">
        <v>62912.66</v>
      </c>
      <c r="L197" s="823"/>
      <c r="M197" s="910">
        <v>115917.26999999999</v>
      </c>
      <c r="N197" s="825">
        <v>81286.779999999984</v>
      </c>
      <c r="O197" s="823"/>
      <c r="P197" s="910">
        <v>167165.60999999981</v>
      </c>
      <c r="Q197" s="825">
        <v>112827.52</v>
      </c>
      <c r="R197" s="823"/>
      <c r="S197" s="910">
        <v>191011.81000000003</v>
      </c>
      <c r="T197" s="825">
        <v>129123.92999999991</v>
      </c>
      <c r="U197" s="823"/>
      <c r="V197" s="910">
        <v>146473.9199999999</v>
      </c>
      <c r="W197" s="825">
        <v>95338.859999999884</v>
      </c>
      <c r="X197" s="823"/>
      <c r="Y197" s="910">
        <v>135310.46999999988</v>
      </c>
      <c r="Z197" s="825">
        <v>90276.5799999999</v>
      </c>
      <c r="AA197" s="823"/>
      <c r="AB197" s="910">
        <v>148695.46999999988</v>
      </c>
      <c r="AC197" s="825">
        <v>100577.8299999999</v>
      </c>
      <c r="AD197" s="823"/>
      <c r="AE197" s="910">
        <v>135867.92999999982</v>
      </c>
      <c r="AF197" s="825">
        <v>91177.029999999824</v>
      </c>
      <c r="AG197" s="823"/>
      <c r="AH197" s="910">
        <v>157688.75</v>
      </c>
      <c r="AI197" s="825">
        <v>105550.4399999999</v>
      </c>
      <c r="AJ197" s="823"/>
      <c r="AK197" s="910">
        <v>185026.4899999999</v>
      </c>
      <c r="AL197" s="825">
        <v>125197.73999999987</v>
      </c>
      <c r="AM197" s="823"/>
      <c r="AN197" s="910">
        <v>76379.759999999893</v>
      </c>
      <c r="AO197" s="825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0.67248505872230691</v>
      </c>
      <c r="F198" s="826"/>
      <c r="G198" s="827"/>
      <c r="H198" s="911">
        <v>0.66527378261054204</v>
      </c>
      <c r="I198" s="826"/>
      <c r="J198" s="827"/>
      <c r="K198" s="911">
        <v>0.66606263730807302</v>
      </c>
      <c r="L198" s="826"/>
      <c r="M198" s="827"/>
      <c r="N198" s="911">
        <v>0.70124822642907303</v>
      </c>
      <c r="O198" s="826"/>
      <c r="P198" s="827"/>
      <c r="Q198" s="911">
        <v>0.67494456545218917</v>
      </c>
      <c r="R198" s="826"/>
      <c r="S198" s="827"/>
      <c r="T198" s="911">
        <v>0.67599971959848915</v>
      </c>
      <c r="U198" s="826"/>
      <c r="V198" s="827"/>
      <c r="W198" s="911">
        <v>0.65089307366116744</v>
      </c>
      <c r="X198" s="826"/>
      <c r="Y198" s="827"/>
      <c r="Z198" s="911">
        <v>0.66718103927951755</v>
      </c>
      <c r="AA198" s="826"/>
      <c r="AB198" s="827"/>
      <c r="AC198" s="911">
        <v>0.67640143980176382</v>
      </c>
      <c r="AD198" s="826"/>
      <c r="AE198" s="827"/>
      <c r="AF198" s="911">
        <v>0.67107101727390672</v>
      </c>
      <c r="AG198" s="826"/>
      <c r="AH198" s="827"/>
      <c r="AI198" s="911">
        <v>0.66935935505861954</v>
      </c>
      <c r="AJ198" s="826"/>
      <c r="AK198" s="827"/>
      <c r="AL198" s="911">
        <v>0.67664765191189613</v>
      </c>
      <c r="AM198" s="826"/>
      <c r="AN198" s="827"/>
      <c r="AO198" s="911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101045.98</v>
      </c>
      <c r="F201" s="813"/>
      <c r="G201" s="821"/>
      <c r="H201" s="835">
        <v>11049.84</v>
      </c>
      <c r="I201" s="813"/>
      <c r="J201" s="821"/>
      <c r="K201" s="835">
        <v>10775.57</v>
      </c>
      <c r="L201" s="813"/>
      <c r="M201" s="821"/>
      <c r="N201" s="835">
        <v>10335.27</v>
      </c>
      <c r="O201" s="813"/>
      <c r="P201" s="821"/>
      <c r="Q201" s="835">
        <v>8017.16</v>
      </c>
      <c r="R201" s="813"/>
      <c r="S201" s="821"/>
      <c r="T201" s="835">
        <v>9455.49</v>
      </c>
      <c r="U201" s="813"/>
      <c r="V201" s="821"/>
      <c r="W201" s="835">
        <v>3457.71</v>
      </c>
      <c r="X201" s="813"/>
      <c r="Y201" s="821"/>
      <c r="Z201" s="835">
        <v>6300.7</v>
      </c>
      <c r="AA201" s="813"/>
      <c r="AB201" s="821"/>
      <c r="AC201" s="835">
        <v>10425.11</v>
      </c>
      <c r="AD201" s="813"/>
      <c r="AE201" s="821"/>
      <c r="AF201" s="835">
        <v>8020.19</v>
      </c>
      <c r="AG201" s="813"/>
      <c r="AH201" s="821"/>
      <c r="AI201" s="835">
        <v>7797.58</v>
      </c>
      <c r="AJ201" s="813"/>
      <c r="AK201" s="821"/>
      <c r="AL201" s="835">
        <v>8108.73</v>
      </c>
      <c r="AM201" s="813"/>
      <c r="AN201" s="821"/>
      <c r="AO201" s="835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56213.62000000001</v>
      </c>
      <c r="F202" s="813"/>
      <c r="G202" s="821"/>
      <c r="H202" s="835">
        <v>4763.6499999999996</v>
      </c>
      <c r="I202" s="813"/>
      <c r="J202" s="821"/>
      <c r="K202" s="835">
        <v>4236.25</v>
      </c>
      <c r="L202" s="813"/>
      <c r="M202" s="821"/>
      <c r="N202" s="835">
        <v>5257.6</v>
      </c>
      <c r="O202" s="813"/>
      <c r="P202" s="821"/>
      <c r="Q202" s="835">
        <v>4395.41</v>
      </c>
      <c r="R202" s="813"/>
      <c r="S202" s="821"/>
      <c r="T202" s="835">
        <v>4947.74</v>
      </c>
      <c r="U202" s="813"/>
      <c r="V202" s="821"/>
      <c r="W202" s="835">
        <v>5500.84</v>
      </c>
      <c r="X202" s="813"/>
      <c r="Y202" s="821"/>
      <c r="Z202" s="835">
        <v>3935.96</v>
      </c>
      <c r="AA202" s="813"/>
      <c r="AB202" s="821"/>
      <c r="AC202" s="835">
        <v>4899.6099999999997</v>
      </c>
      <c r="AD202" s="813"/>
      <c r="AE202" s="821"/>
      <c r="AF202" s="835">
        <v>4493.79</v>
      </c>
      <c r="AG202" s="813"/>
      <c r="AH202" s="821"/>
      <c r="AI202" s="835">
        <v>4669.8</v>
      </c>
      <c r="AJ202" s="813"/>
      <c r="AK202" s="821"/>
      <c r="AL202" s="835">
        <v>4681.0600000000004</v>
      </c>
      <c r="AM202" s="813"/>
      <c r="AN202" s="821"/>
      <c r="AO202" s="835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55438.670000000006</v>
      </c>
      <c r="F203" s="843"/>
      <c r="G203" s="844"/>
      <c r="H203" s="845">
        <v>3472.56</v>
      </c>
      <c r="I203" s="843"/>
      <c r="J203" s="844"/>
      <c r="K203" s="845">
        <v>3421.03</v>
      </c>
      <c r="L203" s="843"/>
      <c r="M203" s="844"/>
      <c r="N203" s="845">
        <v>3981.31</v>
      </c>
      <c r="O203" s="843"/>
      <c r="P203" s="844"/>
      <c r="Q203" s="845">
        <v>6608.1</v>
      </c>
      <c r="R203" s="843"/>
      <c r="S203" s="844"/>
      <c r="T203" s="845">
        <v>4653.3500000000004</v>
      </c>
      <c r="U203" s="843"/>
      <c r="V203" s="844"/>
      <c r="W203" s="845">
        <v>4513.8500000000004</v>
      </c>
      <c r="X203" s="843"/>
      <c r="Y203" s="844"/>
      <c r="Z203" s="845">
        <v>4026.4</v>
      </c>
      <c r="AA203" s="843"/>
      <c r="AB203" s="844"/>
      <c r="AC203" s="845">
        <v>2687.23</v>
      </c>
      <c r="AD203" s="843"/>
      <c r="AE203" s="844"/>
      <c r="AF203" s="845">
        <v>4104</v>
      </c>
      <c r="AG203" s="843"/>
      <c r="AH203" s="844"/>
      <c r="AI203" s="845">
        <v>4218.22</v>
      </c>
      <c r="AJ203" s="843"/>
      <c r="AK203" s="844"/>
      <c r="AL203" s="845">
        <v>9166.76</v>
      </c>
      <c r="AM203" s="843"/>
      <c r="AN203" s="844"/>
      <c r="AO203" s="845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118586.2</v>
      </c>
      <c r="F204" s="813"/>
      <c r="G204" s="821"/>
      <c r="H204" s="835">
        <v>4333.8100000000004</v>
      </c>
      <c r="I204" s="813"/>
      <c r="J204" s="821"/>
      <c r="K204" s="835">
        <v>4084.04</v>
      </c>
      <c r="L204" s="813"/>
      <c r="M204" s="821"/>
      <c r="N204" s="835">
        <v>9264.17</v>
      </c>
      <c r="O204" s="813"/>
      <c r="P204" s="821"/>
      <c r="Q204" s="835">
        <v>11493.78</v>
      </c>
      <c r="R204" s="813"/>
      <c r="S204" s="821"/>
      <c r="T204" s="835">
        <v>13021.88</v>
      </c>
      <c r="U204" s="813"/>
      <c r="V204" s="821"/>
      <c r="W204" s="835">
        <v>13109.7</v>
      </c>
      <c r="X204" s="813"/>
      <c r="Y204" s="821"/>
      <c r="Z204" s="835">
        <v>8957.89</v>
      </c>
      <c r="AA204" s="813"/>
      <c r="AB204" s="821"/>
      <c r="AC204" s="835">
        <v>9697.6200000000008</v>
      </c>
      <c r="AD204" s="813"/>
      <c r="AE204" s="821"/>
      <c r="AF204" s="835">
        <v>13814.13</v>
      </c>
      <c r="AG204" s="813"/>
      <c r="AH204" s="821"/>
      <c r="AI204" s="835">
        <v>11193.92</v>
      </c>
      <c r="AJ204" s="813"/>
      <c r="AK204" s="821"/>
      <c r="AL204" s="835">
        <v>13574.37</v>
      </c>
      <c r="AM204" s="813"/>
      <c r="AN204" s="821"/>
      <c r="AO204" s="835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82864.170000000013</v>
      </c>
      <c r="F208" s="813"/>
      <c r="G208" s="821"/>
      <c r="H208" s="835">
        <v>7624.38</v>
      </c>
      <c r="I208" s="813"/>
      <c r="J208" s="821"/>
      <c r="K208" s="835">
        <v>6400.22</v>
      </c>
      <c r="L208" s="813"/>
      <c r="M208" s="821"/>
      <c r="N208" s="835">
        <v>4031.57</v>
      </c>
      <c r="O208" s="813"/>
      <c r="P208" s="821"/>
      <c r="Q208" s="835">
        <v>5249.73</v>
      </c>
      <c r="R208" s="813"/>
      <c r="S208" s="821"/>
      <c r="T208" s="835">
        <v>8131.49</v>
      </c>
      <c r="U208" s="813"/>
      <c r="V208" s="821"/>
      <c r="W208" s="835">
        <v>9353.8700000000008</v>
      </c>
      <c r="X208" s="813"/>
      <c r="Y208" s="821"/>
      <c r="Z208" s="835">
        <v>4698.5600000000004</v>
      </c>
      <c r="AA208" s="813"/>
      <c r="AB208" s="821"/>
      <c r="AC208" s="835">
        <v>5422.8</v>
      </c>
      <c r="AD208" s="813"/>
      <c r="AE208" s="821"/>
      <c r="AF208" s="835">
        <v>8091.4</v>
      </c>
      <c r="AG208" s="813"/>
      <c r="AH208" s="821"/>
      <c r="AI208" s="835">
        <v>7766.5</v>
      </c>
      <c r="AJ208" s="813"/>
      <c r="AK208" s="821"/>
      <c r="AL208" s="835">
        <v>6053.6</v>
      </c>
      <c r="AM208" s="813"/>
      <c r="AN208" s="821"/>
      <c r="AO208" s="835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112144.45999999999</v>
      </c>
      <c r="F209" s="843"/>
      <c r="G209" s="844"/>
      <c r="H209" s="845">
        <v>7946.19</v>
      </c>
      <c r="I209" s="843"/>
      <c r="J209" s="844"/>
      <c r="K209" s="845">
        <v>7892.29</v>
      </c>
      <c r="L209" s="843"/>
      <c r="M209" s="844"/>
      <c r="N209" s="845">
        <v>9457.86</v>
      </c>
      <c r="O209" s="843"/>
      <c r="P209" s="844"/>
      <c r="Q209" s="845">
        <v>9760.92</v>
      </c>
      <c r="R209" s="843"/>
      <c r="S209" s="844"/>
      <c r="T209" s="845">
        <v>10697.59</v>
      </c>
      <c r="U209" s="843"/>
      <c r="V209" s="844"/>
      <c r="W209" s="845">
        <v>9543.23</v>
      </c>
      <c r="X209" s="843"/>
      <c r="Y209" s="844"/>
      <c r="Z209" s="845">
        <v>9656.89</v>
      </c>
      <c r="AA209" s="843"/>
      <c r="AB209" s="844"/>
      <c r="AC209" s="845">
        <v>10855.2</v>
      </c>
      <c r="AD209" s="843"/>
      <c r="AE209" s="844"/>
      <c r="AF209" s="845">
        <v>9592.84</v>
      </c>
      <c r="AG209" s="843"/>
      <c r="AH209" s="844"/>
      <c r="AI209" s="845">
        <v>9923.07</v>
      </c>
      <c r="AJ209" s="843"/>
      <c r="AK209" s="844"/>
      <c r="AL209" s="845">
        <v>9711.91</v>
      </c>
      <c r="AM209" s="843"/>
      <c r="AN209" s="844"/>
      <c r="AO209" s="845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52274.080000000002</v>
      </c>
      <c r="F210" s="813"/>
      <c r="G210" s="821"/>
      <c r="H210" s="835">
        <v>2646.06</v>
      </c>
      <c r="I210" s="813"/>
      <c r="J210" s="821"/>
      <c r="K210" s="835">
        <v>3469.4</v>
      </c>
      <c r="L210" s="813"/>
      <c r="M210" s="821"/>
      <c r="N210" s="835">
        <v>3976.53</v>
      </c>
      <c r="O210" s="813"/>
      <c r="P210" s="821"/>
      <c r="Q210" s="835">
        <v>3933.57</v>
      </c>
      <c r="R210" s="813"/>
      <c r="S210" s="821"/>
      <c r="T210" s="835">
        <v>4967.51</v>
      </c>
      <c r="U210" s="813"/>
      <c r="V210" s="821"/>
      <c r="W210" s="835">
        <v>4706.71</v>
      </c>
      <c r="X210" s="813"/>
      <c r="Y210" s="821"/>
      <c r="Z210" s="835">
        <v>4621.3999999999996</v>
      </c>
      <c r="AA210" s="813"/>
      <c r="AB210" s="821"/>
      <c r="AC210" s="835">
        <v>5117.4399999999996</v>
      </c>
      <c r="AD210" s="813"/>
      <c r="AE210" s="821"/>
      <c r="AF210" s="835">
        <v>4736.3</v>
      </c>
      <c r="AG210" s="813"/>
      <c r="AH210" s="821"/>
      <c r="AI210" s="835">
        <v>4965.75</v>
      </c>
      <c r="AJ210" s="813"/>
      <c r="AK210" s="821"/>
      <c r="AL210" s="835">
        <v>4970.95</v>
      </c>
      <c r="AM210" s="813"/>
      <c r="AN210" s="821"/>
      <c r="AO210" s="835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12492.31</v>
      </c>
      <c r="F211" s="813"/>
      <c r="G211" s="821"/>
      <c r="H211" s="835">
        <v>838.12</v>
      </c>
      <c r="I211" s="813"/>
      <c r="J211" s="821"/>
      <c r="K211" s="835">
        <v>1100.93</v>
      </c>
      <c r="L211" s="813"/>
      <c r="M211" s="821"/>
      <c r="N211" s="835">
        <v>996.71</v>
      </c>
      <c r="O211" s="813"/>
      <c r="P211" s="821"/>
      <c r="Q211" s="835">
        <v>1030.92</v>
      </c>
      <c r="R211" s="813"/>
      <c r="S211" s="821"/>
      <c r="T211" s="835">
        <v>1150.02</v>
      </c>
      <c r="U211" s="813"/>
      <c r="V211" s="821"/>
      <c r="W211" s="835">
        <v>1007.75</v>
      </c>
      <c r="X211" s="813"/>
      <c r="Y211" s="821"/>
      <c r="Z211" s="835">
        <v>1019.14</v>
      </c>
      <c r="AA211" s="813"/>
      <c r="AB211" s="821"/>
      <c r="AC211" s="835">
        <v>1173.95</v>
      </c>
      <c r="AD211" s="813"/>
      <c r="AE211" s="821"/>
      <c r="AF211" s="835">
        <v>1104.32</v>
      </c>
      <c r="AG211" s="813"/>
      <c r="AH211" s="821"/>
      <c r="AI211" s="835">
        <v>1176.49</v>
      </c>
      <c r="AJ211" s="813"/>
      <c r="AK211" s="821"/>
      <c r="AL211" s="835">
        <v>1076.1600000000001</v>
      </c>
      <c r="AM211" s="813"/>
      <c r="AN211" s="821"/>
      <c r="AO211" s="835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0.53442522506599199</v>
      </c>
      <c r="E213" s="842">
        <v>591059.49</v>
      </c>
      <c r="F213" s="840" t="s">
        <v>162</v>
      </c>
      <c r="G213" s="841">
        <v>0.7079113612227258</v>
      </c>
      <c r="H213" s="842">
        <v>42674.61</v>
      </c>
      <c r="I213" s="840" t="s">
        <v>162</v>
      </c>
      <c r="J213" s="841">
        <v>0.65773295867636183</v>
      </c>
      <c r="K213" s="842">
        <v>41379.730000000003</v>
      </c>
      <c r="L213" s="840" t="s">
        <v>162</v>
      </c>
      <c r="M213" s="841">
        <v>0.58190298594679235</v>
      </c>
      <c r="N213" s="842">
        <v>47301.02</v>
      </c>
      <c r="O213" s="840" t="s">
        <v>162</v>
      </c>
      <c r="P213" s="841">
        <v>0.44749357249011579</v>
      </c>
      <c r="Q213" s="842">
        <v>50489.589999999989</v>
      </c>
      <c r="R213" s="840" t="s">
        <v>162</v>
      </c>
      <c r="S213" s="841">
        <v>0.44163053277576075</v>
      </c>
      <c r="T213" s="842">
        <v>57025.069999999992</v>
      </c>
      <c r="U213" s="840" t="s">
        <v>162</v>
      </c>
      <c r="V213" s="841">
        <v>0.53696530459877601</v>
      </c>
      <c r="W213" s="842">
        <v>51193.659999999996</v>
      </c>
      <c r="X213" s="840" t="s">
        <v>162</v>
      </c>
      <c r="Y213" s="841">
        <v>0.47871707147080717</v>
      </c>
      <c r="Z213" s="842">
        <v>43216.939999999995</v>
      </c>
      <c r="AA213" s="840" t="s">
        <v>162</v>
      </c>
      <c r="AB213" s="841">
        <v>0.49990102192501129</v>
      </c>
      <c r="AC213" s="842">
        <v>50278.960000000006</v>
      </c>
      <c r="AD213" s="840" t="s">
        <v>162</v>
      </c>
      <c r="AE213" s="841">
        <v>0.59178249170871344</v>
      </c>
      <c r="AF213" s="842">
        <v>53956.970000000008</v>
      </c>
      <c r="AG213" s="840" t="s">
        <v>162</v>
      </c>
      <c r="AH213" s="841">
        <v>0.48992055362346237</v>
      </c>
      <c r="AI213" s="842">
        <v>51711.33</v>
      </c>
      <c r="AJ213" s="840" t="s">
        <v>162</v>
      </c>
      <c r="AK213" s="841">
        <v>0.45802376304875841</v>
      </c>
      <c r="AL213" s="842">
        <v>57343.540000000008</v>
      </c>
      <c r="AM213" s="840" t="s">
        <v>162</v>
      </c>
      <c r="AN213" s="841">
        <v>0.86518159099970182</v>
      </c>
      <c r="AO213" s="842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65550.010000000009</v>
      </c>
      <c r="F214" s="813"/>
      <c r="G214" s="821"/>
      <c r="H214" s="835">
        <v>3935.37</v>
      </c>
      <c r="I214" s="813"/>
      <c r="J214" s="821"/>
      <c r="K214" s="835">
        <v>3773.25</v>
      </c>
      <c r="L214" s="813"/>
      <c r="M214" s="821"/>
      <c r="N214" s="835">
        <v>5621.62</v>
      </c>
      <c r="O214" s="813"/>
      <c r="P214" s="821"/>
      <c r="Q214" s="835">
        <v>7161.73</v>
      </c>
      <c r="R214" s="813"/>
      <c r="S214" s="821"/>
      <c r="T214" s="835">
        <v>6800.51</v>
      </c>
      <c r="U214" s="813"/>
      <c r="V214" s="821"/>
      <c r="W214" s="835">
        <v>4112.59</v>
      </c>
      <c r="X214" s="813"/>
      <c r="Y214" s="821"/>
      <c r="Z214" s="835">
        <v>3779.95</v>
      </c>
      <c r="AA214" s="813"/>
      <c r="AB214" s="821"/>
      <c r="AC214" s="835">
        <v>5588.75</v>
      </c>
      <c r="AD214" s="813"/>
      <c r="AE214" s="821"/>
      <c r="AF214" s="835">
        <v>4243.2700000000004</v>
      </c>
      <c r="AG214" s="813"/>
      <c r="AH214" s="821"/>
      <c r="AI214" s="835">
        <v>8122.57</v>
      </c>
      <c r="AJ214" s="813"/>
      <c r="AK214" s="821"/>
      <c r="AL214" s="835">
        <v>8938.39</v>
      </c>
      <c r="AM214" s="813"/>
      <c r="AN214" s="821"/>
      <c r="AO214" s="835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45853.849999999984</v>
      </c>
      <c r="F215" s="813"/>
      <c r="G215" s="821"/>
      <c r="H215" s="835">
        <v>2775</v>
      </c>
      <c r="I215" s="813"/>
      <c r="J215" s="821"/>
      <c r="K215" s="835">
        <v>2212.58</v>
      </c>
      <c r="L215" s="813"/>
      <c r="M215" s="821"/>
      <c r="N215" s="835">
        <v>2292.35</v>
      </c>
      <c r="O215" s="813"/>
      <c r="P215" s="821"/>
      <c r="Q215" s="835">
        <v>2346.87</v>
      </c>
      <c r="R215" s="813"/>
      <c r="S215" s="821"/>
      <c r="T215" s="835">
        <v>4785.8999999999996</v>
      </c>
      <c r="U215" s="813"/>
      <c r="V215" s="821"/>
      <c r="W215" s="835">
        <v>6830.2999999999902</v>
      </c>
      <c r="X215" s="813"/>
      <c r="Y215" s="821"/>
      <c r="Z215" s="835">
        <v>7943</v>
      </c>
      <c r="AA215" s="813"/>
      <c r="AB215" s="821"/>
      <c r="AC215" s="835">
        <v>6332.44</v>
      </c>
      <c r="AD215" s="813"/>
      <c r="AE215" s="821"/>
      <c r="AF215" s="835">
        <v>1805.34</v>
      </c>
      <c r="AG215" s="813"/>
      <c r="AH215" s="821"/>
      <c r="AI215" s="835">
        <v>4270.66</v>
      </c>
      <c r="AJ215" s="813"/>
      <c r="AK215" s="821"/>
      <c r="AL215" s="835">
        <v>2853.3599999999901</v>
      </c>
      <c r="AM215" s="813"/>
      <c r="AN215" s="821"/>
      <c r="AO215" s="835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67300.709999999963</v>
      </c>
      <c r="F216" s="839"/>
      <c r="G216" s="846"/>
      <c r="H216" s="838">
        <v>2271</v>
      </c>
      <c r="I216" s="839"/>
      <c r="J216" s="846"/>
      <c r="K216" s="838">
        <v>4019.88</v>
      </c>
      <c r="L216" s="839"/>
      <c r="M216" s="846"/>
      <c r="N216" s="838">
        <v>5353.68</v>
      </c>
      <c r="O216" s="839"/>
      <c r="P216" s="846"/>
      <c r="Q216" s="838">
        <v>6115.07</v>
      </c>
      <c r="R216" s="839"/>
      <c r="S216" s="846"/>
      <c r="T216" s="838">
        <v>4706.79</v>
      </c>
      <c r="U216" s="839"/>
      <c r="V216" s="846"/>
      <c r="W216" s="838">
        <v>4878.18</v>
      </c>
      <c r="X216" s="839"/>
      <c r="Y216" s="846"/>
      <c r="Z216" s="838">
        <v>4889.4299999999903</v>
      </c>
      <c r="AA216" s="839"/>
      <c r="AB216" s="846"/>
      <c r="AC216" s="838">
        <v>4520.8499999999904</v>
      </c>
      <c r="AD216" s="839"/>
      <c r="AE216" s="846"/>
      <c r="AF216" s="838">
        <v>11532.63</v>
      </c>
      <c r="AG216" s="839"/>
      <c r="AH216" s="846"/>
      <c r="AI216" s="838">
        <v>7649.2699999999904</v>
      </c>
      <c r="AJ216" s="839"/>
      <c r="AK216" s="846"/>
      <c r="AL216" s="838">
        <v>7376.38</v>
      </c>
      <c r="AM216" s="839"/>
      <c r="AN216" s="846"/>
      <c r="AO216" s="838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66031.08</v>
      </c>
      <c r="F217" s="813"/>
      <c r="G217" s="821"/>
      <c r="H217" s="835">
        <v>4770.37</v>
      </c>
      <c r="I217" s="813"/>
      <c r="J217" s="821"/>
      <c r="K217" s="835">
        <v>5171.53</v>
      </c>
      <c r="L217" s="813"/>
      <c r="M217" s="821"/>
      <c r="N217" s="835">
        <v>4950.6899999999996</v>
      </c>
      <c r="O217" s="813"/>
      <c r="P217" s="821"/>
      <c r="Q217" s="835">
        <v>4709.49</v>
      </c>
      <c r="R217" s="813"/>
      <c r="S217" s="821"/>
      <c r="T217" s="835">
        <v>4724.66</v>
      </c>
      <c r="U217" s="813"/>
      <c r="V217" s="821"/>
      <c r="W217" s="835">
        <v>5347.36</v>
      </c>
      <c r="X217" s="813"/>
      <c r="Y217" s="821"/>
      <c r="Z217" s="835">
        <v>5906.55</v>
      </c>
      <c r="AA217" s="813"/>
      <c r="AB217" s="821"/>
      <c r="AC217" s="835">
        <v>7405.76</v>
      </c>
      <c r="AD217" s="813"/>
      <c r="AE217" s="821"/>
      <c r="AF217" s="835">
        <v>4680.08</v>
      </c>
      <c r="AG217" s="813"/>
      <c r="AH217" s="821"/>
      <c r="AI217" s="835">
        <v>6078.42</v>
      </c>
      <c r="AJ217" s="813"/>
      <c r="AK217" s="821"/>
      <c r="AL217" s="835">
        <v>6476.78</v>
      </c>
      <c r="AM217" s="813"/>
      <c r="AN217" s="821"/>
      <c r="AO217" s="835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6856.7400000000007</v>
      </c>
      <c r="F218" s="813"/>
      <c r="G218" s="821"/>
      <c r="H218" s="835">
        <v>315.58999999999997</v>
      </c>
      <c r="I218" s="813"/>
      <c r="J218" s="821"/>
      <c r="K218" s="835">
        <v>537.45000000000005</v>
      </c>
      <c r="L218" s="813"/>
      <c r="M218" s="821"/>
      <c r="N218" s="835">
        <v>407.86</v>
      </c>
      <c r="O218" s="813"/>
      <c r="P218" s="821"/>
      <c r="Q218" s="835">
        <v>333.52</v>
      </c>
      <c r="R218" s="813"/>
      <c r="S218" s="821"/>
      <c r="T218" s="835">
        <v>313.76</v>
      </c>
      <c r="U218" s="813"/>
      <c r="V218" s="821"/>
      <c r="W218" s="835">
        <v>304.13</v>
      </c>
      <c r="X218" s="813"/>
      <c r="Y218" s="821"/>
      <c r="Z218" s="835">
        <v>679.08</v>
      </c>
      <c r="AA218" s="813"/>
      <c r="AB218" s="821"/>
      <c r="AC218" s="835">
        <v>1176.1099999999999</v>
      </c>
      <c r="AD218" s="813"/>
      <c r="AE218" s="821"/>
      <c r="AF218" s="835">
        <v>1607.14</v>
      </c>
      <c r="AG218" s="813"/>
      <c r="AH218" s="821"/>
      <c r="AI218" s="835">
        <v>437.6</v>
      </c>
      <c r="AJ218" s="813"/>
      <c r="AK218" s="821"/>
      <c r="AL218" s="835">
        <v>275.87</v>
      </c>
      <c r="AM218" s="813"/>
      <c r="AN218" s="821"/>
      <c r="AO218" s="835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65793.06</v>
      </c>
      <c r="F219" s="839"/>
      <c r="G219" s="846"/>
      <c r="H219" s="838">
        <v>4923.95</v>
      </c>
      <c r="I219" s="839"/>
      <c r="J219" s="846"/>
      <c r="K219" s="838">
        <v>4899.33</v>
      </c>
      <c r="L219" s="839"/>
      <c r="M219" s="846"/>
      <c r="N219" s="838">
        <v>6340.85</v>
      </c>
      <c r="O219" s="839"/>
      <c r="P219" s="846"/>
      <c r="Q219" s="838">
        <v>7336.84</v>
      </c>
      <c r="R219" s="839"/>
      <c r="S219" s="846"/>
      <c r="T219" s="838">
        <v>5355.78</v>
      </c>
      <c r="U219" s="839"/>
      <c r="V219" s="846"/>
      <c r="W219" s="838">
        <v>5721.96</v>
      </c>
      <c r="X219" s="839"/>
      <c r="Y219" s="846"/>
      <c r="Z219" s="838">
        <v>4799.83</v>
      </c>
      <c r="AA219" s="839"/>
      <c r="AB219" s="846"/>
      <c r="AC219" s="838">
        <v>5169.2700000000004</v>
      </c>
      <c r="AD219" s="839"/>
      <c r="AE219" s="846"/>
      <c r="AF219" s="838">
        <v>4303.29</v>
      </c>
      <c r="AG219" s="839"/>
      <c r="AH219" s="846"/>
      <c r="AI219" s="838">
        <v>5785.99</v>
      </c>
      <c r="AJ219" s="839"/>
      <c r="AK219" s="846"/>
      <c r="AL219" s="838">
        <v>5955.04</v>
      </c>
      <c r="AM219" s="839"/>
      <c r="AN219" s="846"/>
      <c r="AO219" s="838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20264.45</v>
      </c>
      <c r="F221" s="813"/>
      <c r="G221" s="821"/>
      <c r="H221" s="835">
        <v>1064.53</v>
      </c>
      <c r="I221" s="813"/>
      <c r="J221" s="821"/>
      <c r="K221" s="835">
        <v>951.26</v>
      </c>
      <c r="L221" s="813"/>
      <c r="M221" s="821"/>
      <c r="N221" s="835">
        <v>1670.75</v>
      </c>
      <c r="O221" s="813"/>
      <c r="P221" s="821"/>
      <c r="Q221" s="835">
        <v>853.88</v>
      </c>
      <c r="R221" s="813"/>
      <c r="S221" s="821"/>
      <c r="T221" s="835">
        <v>2122.52</v>
      </c>
      <c r="U221" s="813"/>
      <c r="V221" s="821"/>
      <c r="W221" s="835">
        <v>978.18</v>
      </c>
      <c r="X221" s="813"/>
      <c r="Y221" s="821"/>
      <c r="Z221" s="835">
        <v>1213.31</v>
      </c>
      <c r="AA221" s="813"/>
      <c r="AB221" s="821"/>
      <c r="AC221" s="835">
        <v>1901.94</v>
      </c>
      <c r="AD221" s="813"/>
      <c r="AE221" s="821"/>
      <c r="AF221" s="835">
        <v>794.47</v>
      </c>
      <c r="AG221" s="813"/>
      <c r="AH221" s="821"/>
      <c r="AI221" s="835">
        <v>2725.29</v>
      </c>
      <c r="AJ221" s="813"/>
      <c r="AK221" s="821"/>
      <c r="AL221" s="835">
        <v>2320.7800000000002</v>
      </c>
      <c r="AM221" s="813"/>
      <c r="AN221" s="821"/>
      <c r="AO221" s="835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12185.789999999999</v>
      </c>
      <c r="F222" s="813"/>
      <c r="G222" s="821"/>
      <c r="H222" s="835">
        <v>828.6</v>
      </c>
      <c r="I222" s="813"/>
      <c r="J222" s="821"/>
      <c r="K222" s="835">
        <v>665.73</v>
      </c>
      <c r="L222" s="813"/>
      <c r="M222" s="821"/>
      <c r="N222" s="835">
        <v>1172.26</v>
      </c>
      <c r="O222" s="813"/>
      <c r="P222" s="821"/>
      <c r="Q222" s="835">
        <v>1079.75</v>
      </c>
      <c r="R222" s="813"/>
      <c r="S222" s="821"/>
      <c r="T222" s="835">
        <v>1310.78</v>
      </c>
      <c r="U222" s="813"/>
      <c r="V222" s="821"/>
      <c r="W222" s="835">
        <v>747.98</v>
      </c>
      <c r="X222" s="813"/>
      <c r="Y222" s="821"/>
      <c r="Z222" s="835">
        <v>816.55</v>
      </c>
      <c r="AA222" s="813"/>
      <c r="AB222" s="821"/>
      <c r="AC222" s="835">
        <v>900.09</v>
      </c>
      <c r="AD222" s="813"/>
      <c r="AE222" s="821"/>
      <c r="AF222" s="835">
        <v>930.02</v>
      </c>
      <c r="AG222" s="813"/>
      <c r="AH222" s="821"/>
      <c r="AI222" s="835">
        <v>612.80999999999995</v>
      </c>
      <c r="AJ222" s="813"/>
      <c r="AK222" s="821"/>
      <c r="AL222" s="835">
        <v>710.75</v>
      </c>
      <c r="AM222" s="813"/>
      <c r="AN222" s="821"/>
      <c r="AO222" s="835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5735.3500000000013</v>
      </c>
      <c r="F223" s="813"/>
      <c r="G223" s="821"/>
      <c r="H223" s="835">
        <v>484.43</v>
      </c>
      <c r="I223" s="813"/>
      <c r="J223" s="821"/>
      <c r="K223" s="835">
        <v>439</v>
      </c>
      <c r="L223" s="813"/>
      <c r="M223" s="821"/>
      <c r="N223" s="835">
        <v>1743.51</v>
      </c>
      <c r="O223" s="813"/>
      <c r="P223" s="821"/>
      <c r="Q223" s="835">
        <v>347.68</v>
      </c>
      <c r="R223" s="813"/>
      <c r="S223" s="821"/>
      <c r="T223" s="835">
        <v>425.07</v>
      </c>
      <c r="U223" s="813"/>
      <c r="V223" s="821"/>
      <c r="W223" s="835">
        <v>449.03</v>
      </c>
      <c r="X223" s="813"/>
      <c r="Y223" s="821"/>
      <c r="Z223" s="835">
        <v>295.43</v>
      </c>
      <c r="AA223" s="813"/>
      <c r="AB223" s="821"/>
      <c r="AC223" s="835">
        <v>368.22</v>
      </c>
      <c r="AD223" s="813"/>
      <c r="AE223" s="821"/>
      <c r="AF223" s="835">
        <v>119.55</v>
      </c>
      <c r="AG223" s="813"/>
      <c r="AH223" s="821"/>
      <c r="AI223" s="835">
        <v>429.41</v>
      </c>
      <c r="AJ223" s="813"/>
      <c r="AK223" s="821"/>
      <c r="AL223" s="835">
        <v>434.25</v>
      </c>
      <c r="AM223" s="813"/>
      <c r="AN223" s="821"/>
      <c r="AO223" s="835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1196.5900000000001</v>
      </c>
      <c r="F224" s="813"/>
      <c r="G224" s="821"/>
      <c r="H224" s="835">
        <v>68.400000000000006</v>
      </c>
      <c r="I224" s="813"/>
      <c r="J224" s="821"/>
      <c r="K224" s="835">
        <v>79.7</v>
      </c>
      <c r="L224" s="813"/>
      <c r="M224" s="821"/>
      <c r="N224" s="835">
        <v>128.80000000000001</v>
      </c>
      <c r="O224" s="813"/>
      <c r="P224" s="821"/>
      <c r="Q224" s="835">
        <v>166.65</v>
      </c>
      <c r="R224" s="813"/>
      <c r="S224" s="821"/>
      <c r="T224" s="835">
        <v>70.11</v>
      </c>
      <c r="U224" s="813"/>
      <c r="V224" s="821"/>
      <c r="W224" s="835">
        <v>70.900000000000006</v>
      </c>
      <c r="X224" s="813"/>
      <c r="Y224" s="821"/>
      <c r="Z224" s="835">
        <v>69.180000000000007</v>
      </c>
      <c r="AA224" s="813"/>
      <c r="AB224" s="821"/>
      <c r="AC224" s="835">
        <v>133.1</v>
      </c>
      <c r="AD224" s="813"/>
      <c r="AE224" s="821"/>
      <c r="AF224" s="835">
        <v>105.27</v>
      </c>
      <c r="AG224" s="813"/>
      <c r="AH224" s="821"/>
      <c r="AI224" s="835">
        <v>99.41</v>
      </c>
      <c r="AJ224" s="813"/>
      <c r="AK224" s="821"/>
      <c r="AL224" s="835">
        <v>99.66</v>
      </c>
      <c r="AM224" s="813"/>
      <c r="AN224" s="821"/>
      <c r="AO224" s="835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1605.7200000000003</v>
      </c>
      <c r="F225" s="813"/>
      <c r="G225" s="821"/>
      <c r="H225" s="835">
        <v>106.71</v>
      </c>
      <c r="I225" s="813"/>
      <c r="J225" s="821"/>
      <c r="K225" s="835">
        <v>127.57</v>
      </c>
      <c r="L225" s="813"/>
      <c r="M225" s="821"/>
      <c r="N225" s="835">
        <v>186.48</v>
      </c>
      <c r="O225" s="813"/>
      <c r="P225" s="821"/>
      <c r="Q225" s="835">
        <v>233.87</v>
      </c>
      <c r="R225" s="813"/>
      <c r="S225" s="821"/>
      <c r="T225" s="835">
        <v>13.23</v>
      </c>
      <c r="U225" s="813"/>
      <c r="V225" s="821"/>
      <c r="W225" s="835">
        <v>122.95</v>
      </c>
      <c r="X225" s="813"/>
      <c r="Y225" s="821"/>
      <c r="Z225" s="835">
        <v>133.25</v>
      </c>
      <c r="AA225" s="813"/>
      <c r="AB225" s="821"/>
      <c r="AC225" s="835">
        <v>183.97</v>
      </c>
      <c r="AD225" s="813"/>
      <c r="AE225" s="821"/>
      <c r="AF225" s="835">
        <v>68.41</v>
      </c>
      <c r="AG225" s="813"/>
      <c r="AH225" s="821"/>
      <c r="AI225" s="835">
        <v>178.92</v>
      </c>
      <c r="AJ225" s="813"/>
      <c r="AK225" s="821"/>
      <c r="AL225" s="835">
        <v>72.2</v>
      </c>
      <c r="AM225" s="813"/>
      <c r="AN225" s="821"/>
      <c r="AO225" s="835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4839.3499999999995</v>
      </c>
      <c r="F226" s="813"/>
      <c r="G226" s="821"/>
      <c r="H226" s="835">
        <v>334.21</v>
      </c>
      <c r="I226" s="813"/>
      <c r="J226" s="821"/>
      <c r="K226" s="835">
        <v>381.38</v>
      </c>
      <c r="L226" s="813"/>
      <c r="M226" s="821"/>
      <c r="N226" s="835">
        <v>503.74</v>
      </c>
      <c r="O226" s="813"/>
      <c r="P226" s="821"/>
      <c r="Q226" s="835">
        <v>404.05</v>
      </c>
      <c r="R226" s="813"/>
      <c r="S226" s="821"/>
      <c r="T226" s="835">
        <v>486.24</v>
      </c>
      <c r="U226" s="813"/>
      <c r="V226" s="821"/>
      <c r="W226" s="835">
        <v>329.42</v>
      </c>
      <c r="X226" s="813"/>
      <c r="Y226" s="821"/>
      <c r="Z226" s="835">
        <v>334.1</v>
      </c>
      <c r="AA226" s="813"/>
      <c r="AB226" s="821"/>
      <c r="AC226" s="835">
        <v>518.98</v>
      </c>
      <c r="AD226" s="813"/>
      <c r="AE226" s="821"/>
      <c r="AF226" s="835">
        <v>357.61</v>
      </c>
      <c r="AG226" s="813"/>
      <c r="AH226" s="821"/>
      <c r="AI226" s="835">
        <v>464.3</v>
      </c>
      <c r="AJ226" s="813"/>
      <c r="AK226" s="821"/>
      <c r="AL226" s="835">
        <v>375.99</v>
      </c>
      <c r="AM226" s="813"/>
      <c r="AN226" s="821"/>
      <c r="AO226" s="835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24572.7</v>
      </c>
      <c r="F227" s="813"/>
      <c r="G227" s="821"/>
      <c r="H227" s="835">
        <v>915.71</v>
      </c>
      <c r="I227" s="813"/>
      <c r="J227" s="821"/>
      <c r="K227" s="835">
        <v>2768.13</v>
      </c>
      <c r="L227" s="813"/>
      <c r="M227" s="821"/>
      <c r="N227" s="835">
        <v>2708.83</v>
      </c>
      <c r="O227" s="813"/>
      <c r="P227" s="821"/>
      <c r="Q227" s="835">
        <v>3760.83</v>
      </c>
      <c r="R227" s="813"/>
      <c r="S227" s="821"/>
      <c r="T227" s="835">
        <v>1528.56</v>
      </c>
      <c r="U227" s="813"/>
      <c r="V227" s="821"/>
      <c r="W227" s="835">
        <v>643.6</v>
      </c>
      <c r="X227" s="813"/>
      <c r="Y227" s="821"/>
      <c r="Z227" s="835">
        <v>1945.97</v>
      </c>
      <c r="AA227" s="813"/>
      <c r="AB227" s="821"/>
      <c r="AC227" s="835">
        <v>1882.4</v>
      </c>
      <c r="AD227" s="813"/>
      <c r="AE227" s="821"/>
      <c r="AF227" s="835">
        <v>2257.33</v>
      </c>
      <c r="AG227" s="813"/>
      <c r="AH227" s="821"/>
      <c r="AI227" s="835">
        <v>2807.61</v>
      </c>
      <c r="AJ227" s="813"/>
      <c r="AK227" s="821"/>
      <c r="AL227" s="835">
        <v>2089.38</v>
      </c>
      <c r="AM227" s="813"/>
      <c r="AN227" s="821"/>
      <c r="AO227" s="835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15551.369999999999</v>
      </c>
      <c r="F228" s="813"/>
      <c r="G228" s="821"/>
      <c r="H228" s="835">
        <v>944.81</v>
      </c>
      <c r="I228" s="813"/>
      <c r="J228" s="821"/>
      <c r="K228" s="835">
        <v>798.35</v>
      </c>
      <c r="L228" s="813"/>
      <c r="M228" s="821"/>
      <c r="N228" s="835">
        <v>1099.8</v>
      </c>
      <c r="O228" s="813"/>
      <c r="P228" s="821"/>
      <c r="Q228" s="835">
        <v>1657.48</v>
      </c>
      <c r="R228" s="813"/>
      <c r="S228" s="821"/>
      <c r="T228" s="835">
        <v>1592.28</v>
      </c>
      <c r="U228" s="813"/>
      <c r="V228" s="821"/>
      <c r="W228" s="835">
        <v>1560.97</v>
      </c>
      <c r="X228" s="813"/>
      <c r="Y228" s="821"/>
      <c r="Z228" s="835">
        <v>1214.47</v>
      </c>
      <c r="AA228" s="813"/>
      <c r="AB228" s="821"/>
      <c r="AC228" s="835">
        <v>1314.9</v>
      </c>
      <c r="AD228" s="813"/>
      <c r="AE228" s="821"/>
      <c r="AF228" s="835">
        <v>1288.22</v>
      </c>
      <c r="AG228" s="813"/>
      <c r="AH228" s="821"/>
      <c r="AI228" s="835">
        <v>1532.78</v>
      </c>
      <c r="AJ228" s="813"/>
      <c r="AK228" s="821"/>
      <c r="AL228" s="835">
        <v>1754.74</v>
      </c>
      <c r="AM228" s="813"/>
      <c r="AN228" s="821"/>
      <c r="AO228" s="835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0.36468976089807847</v>
      </c>
      <c r="E232" s="842">
        <v>403336.7699999999</v>
      </c>
      <c r="F232" s="840" t="s">
        <v>162</v>
      </c>
      <c r="G232" s="841">
        <v>0.39379109199663909</v>
      </c>
      <c r="H232" s="842">
        <v>23738.679999999997</v>
      </c>
      <c r="I232" s="840" t="s">
        <v>162</v>
      </c>
      <c r="J232" s="841">
        <v>0.42638699428700033</v>
      </c>
      <c r="K232" s="842">
        <v>26825.139999999996</v>
      </c>
      <c r="L232" s="840" t="s">
        <v>162</v>
      </c>
      <c r="M232" s="841">
        <v>0.42050158709694258</v>
      </c>
      <c r="N232" s="842">
        <v>34181.22</v>
      </c>
      <c r="O232" s="840" t="s">
        <v>162</v>
      </c>
      <c r="P232" s="841">
        <v>0.32357096921034867</v>
      </c>
      <c r="Q232" s="842">
        <v>36507.71</v>
      </c>
      <c r="R232" s="840" t="s">
        <v>162</v>
      </c>
      <c r="S232" s="841">
        <v>0.26514210030627189</v>
      </c>
      <c r="T232" s="842">
        <v>34236.19</v>
      </c>
      <c r="U232" s="840" t="s">
        <v>162</v>
      </c>
      <c r="V232" s="841">
        <v>0.33666807008181165</v>
      </c>
      <c r="W232" s="842">
        <v>32097.549999999988</v>
      </c>
      <c r="X232" s="840" t="s">
        <v>162</v>
      </c>
      <c r="Y232" s="841">
        <v>0.37684303060660945</v>
      </c>
      <c r="Z232" s="842">
        <v>34020.099999999991</v>
      </c>
      <c r="AA232" s="840" t="s">
        <v>162</v>
      </c>
      <c r="AB232" s="841">
        <v>0.37181931644379312</v>
      </c>
      <c r="AC232" s="842">
        <v>37396.779999999992</v>
      </c>
      <c r="AD232" s="840" t="s">
        <v>162</v>
      </c>
      <c r="AE232" s="841">
        <v>0.3739168735809893</v>
      </c>
      <c r="AF232" s="842">
        <v>34092.630000000005</v>
      </c>
      <c r="AG232" s="840" t="s">
        <v>162</v>
      </c>
      <c r="AH232" s="841">
        <v>0.39028771457513611</v>
      </c>
      <c r="AI232" s="842">
        <v>41195.039999999994</v>
      </c>
      <c r="AJ232" s="840" t="s">
        <v>162</v>
      </c>
      <c r="AK232" s="841">
        <v>0.31736651156802054</v>
      </c>
      <c r="AL232" s="842">
        <v>39733.569999999985</v>
      </c>
      <c r="AM232" s="840" t="s">
        <v>162</v>
      </c>
      <c r="AN232" s="841">
        <v>0.570048132554139</v>
      </c>
      <c r="AO232" s="842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0.89911498596407047</v>
      </c>
      <c r="E234" s="851">
        <v>994396.25999999989</v>
      </c>
      <c r="F234" s="840" t="s">
        <v>108</v>
      </c>
      <c r="G234" s="878">
        <v>1.1017024532193649</v>
      </c>
      <c r="H234" s="851">
        <v>66413.289999999994</v>
      </c>
      <c r="I234" s="840" t="s">
        <v>108</v>
      </c>
      <c r="J234" s="878">
        <v>1.0841199529633621</v>
      </c>
      <c r="K234" s="851">
        <v>68204.87</v>
      </c>
      <c r="L234" s="840" t="s">
        <v>108</v>
      </c>
      <c r="M234" s="878">
        <v>1.0024045730437348</v>
      </c>
      <c r="N234" s="851">
        <v>81482.239999999991</v>
      </c>
      <c r="O234" s="840" t="s">
        <v>108</v>
      </c>
      <c r="P234" s="878">
        <v>0.77106454170046446</v>
      </c>
      <c r="Q234" s="851">
        <v>86997.299999999988</v>
      </c>
      <c r="R234" s="840" t="s">
        <v>108</v>
      </c>
      <c r="S234" s="878">
        <v>0.70677263308203264</v>
      </c>
      <c r="T234" s="851">
        <v>91261.26</v>
      </c>
      <c r="U234" s="840" t="s">
        <v>108</v>
      </c>
      <c r="V234" s="878">
        <v>0.87363337468058766</v>
      </c>
      <c r="W234" s="851">
        <v>83291.209999999992</v>
      </c>
      <c r="X234" s="840" t="s">
        <v>108</v>
      </c>
      <c r="Y234" s="878">
        <v>0.85556010207741662</v>
      </c>
      <c r="Z234" s="851">
        <v>77237.039999999979</v>
      </c>
      <c r="AA234" s="840" t="s">
        <v>108</v>
      </c>
      <c r="AB234" s="878">
        <v>0.87172033836880436</v>
      </c>
      <c r="AC234" s="851">
        <v>87675.739999999991</v>
      </c>
      <c r="AD234" s="840" t="s">
        <v>108</v>
      </c>
      <c r="AE234" s="878">
        <v>0.96569936528970268</v>
      </c>
      <c r="AF234" s="851">
        <v>88049.600000000006</v>
      </c>
      <c r="AG234" s="840" t="s">
        <v>108</v>
      </c>
      <c r="AH234" s="878">
        <v>0.88020826819859854</v>
      </c>
      <c r="AI234" s="851">
        <v>92906.37</v>
      </c>
      <c r="AJ234" s="840" t="s">
        <v>108</v>
      </c>
      <c r="AK234" s="878">
        <v>0.7753902746167789</v>
      </c>
      <c r="AL234" s="851">
        <v>97077.109999999986</v>
      </c>
      <c r="AM234" s="840" t="s">
        <v>108</v>
      </c>
      <c r="AN234" s="878">
        <v>1.4352297235538409</v>
      </c>
      <c r="AO234" s="851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111576.02999999898</v>
      </c>
      <c r="F236" s="879"/>
      <c r="G236" s="880"/>
      <c r="H236" s="860">
        <v>-6130.8700000000899</v>
      </c>
      <c r="I236" s="879"/>
      <c r="J236" s="880"/>
      <c r="K236" s="860">
        <v>-5292.2099999999919</v>
      </c>
      <c r="L236" s="879"/>
      <c r="M236" s="880"/>
      <c r="N236" s="860">
        <v>-195.4600000000064</v>
      </c>
      <c r="O236" s="879"/>
      <c r="P236" s="880"/>
      <c r="Q236" s="860">
        <v>25830.220000000016</v>
      </c>
      <c r="R236" s="879"/>
      <c r="S236" s="880"/>
      <c r="T236" s="860">
        <v>37862.669999999911</v>
      </c>
      <c r="U236" s="879"/>
      <c r="V236" s="880"/>
      <c r="W236" s="860">
        <v>12047.649999999892</v>
      </c>
      <c r="X236" s="879"/>
      <c r="Y236" s="880"/>
      <c r="Z236" s="860">
        <v>13039.539999999921</v>
      </c>
      <c r="AA236" s="879"/>
      <c r="AB236" s="880"/>
      <c r="AC236" s="860">
        <v>12902.089999999909</v>
      </c>
      <c r="AD236" s="879"/>
      <c r="AE236" s="880"/>
      <c r="AF236" s="860">
        <v>3127.4299999998184</v>
      </c>
      <c r="AG236" s="879"/>
      <c r="AH236" s="880"/>
      <c r="AI236" s="860">
        <v>12644.069999999905</v>
      </c>
      <c r="AJ236" s="879"/>
      <c r="AK236" s="880"/>
      <c r="AL236" s="860">
        <v>28120.629999999888</v>
      </c>
      <c r="AM236" s="879"/>
      <c r="AN236" s="880"/>
      <c r="AO236" s="860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2824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2023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120</v>
      </c>
      <c r="D244" s="883">
        <v>46008.83</v>
      </c>
      <c r="E244" s="835">
        <v>3711.2499999999932</v>
      </c>
      <c r="F244" s="882">
        <v>5</v>
      </c>
      <c r="G244" s="883">
        <v>774.24</v>
      </c>
      <c r="H244" s="835">
        <v>232.27999999999901</v>
      </c>
      <c r="I244" s="882">
        <v>11</v>
      </c>
      <c r="J244" s="883">
        <v>2767.13</v>
      </c>
      <c r="K244" s="835">
        <v>498.68</v>
      </c>
      <c r="L244" s="882">
        <v>17</v>
      </c>
      <c r="M244" s="883">
        <v>5155.8599999999997</v>
      </c>
      <c r="N244" s="835">
        <v>794.42</v>
      </c>
      <c r="O244" s="882">
        <v>12</v>
      </c>
      <c r="P244" s="883">
        <v>2141.08</v>
      </c>
      <c r="Q244" s="835">
        <v>432.099999999999</v>
      </c>
      <c r="R244" s="882">
        <v>11</v>
      </c>
      <c r="S244" s="883">
        <v>1481.64</v>
      </c>
      <c r="T244" s="835">
        <v>-23.2699999999999</v>
      </c>
      <c r="U244" s="882">
        <v>7</v>
      </c>
      <c r="V244" s="883">
        <v>1269.33</v>
      </c>
      <c r="W244" s="835">
        <v>224.32999999999899</v>
      </c>
      <c r="X244" s="882">
        <v>16</v>
      </c>
      <c r="Y244" s="883">
        <v>3629.82</v>
      </c>
      <c r="Z244" s="835">
        <v>555.34</v>
      </c>
      <c r="AA244" s="882">
        <v>6</v>
      </c>
      <c r="AB244" s="883">
        <v>3204.09</v>
      </c>
      <c r="AC244" s="835">
        <v>149.16999999999999</v>
      </c>
      <c r="AD244" s="882">
        <v>9</v>
      </c>
      <c r="AE244" s="883">
        <v>2857.92</v>
      </c>
      <c r="AF244" s="835">
        <v>283.89999999999998</v>
      </c>
      <c r="AG244" s="882">
        <v>5</v>
      </c>
      <c r="AH244" s="883">
        <v>2287.4699999999998</v>
      </c>
      <c r="AI244" s="835">
        <v>141.88999999999899</v>
      </c>
      <c r="AJ244" s="882">
        <v>13</v>
      </c>
      <c r="AK244" s="883">
        <v>16931.849999999999</v>
      </c>
      <c r="AL244" s="835">
        <v>241.82999999999799</v>
      </c>
      <c r="AM244" s="882">
        <v>8</v>
      </c>
      <c r="AN244" s="883">
        <v>3508.4</v>
      </c>
      <c r="AO244" s="835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8.0663863871348024E-2</v>
      </c>
      <c r="F245" s="884"/>
      <c r="G245" s="821"/>
      <c r="H245" s="885">
        <v>0.30001033271336924</v>
      </c>
      <c r="I245" s="884"/>
      <c r="J245" s="821"/>
      <c r="K245" s="885">
        <v>0.18021560244730098</v>
      </c>
      <c r="L245" s="884"/>
      <c r="M245" s="821"/>
      <c r="N245" s="885">
        <v>0.15408098745893023</v>
      </c>
      <c r="O245" s="884"/>
      <c r="P245" s="821"/>
      <c r="Q245" s="885">
        <v>0.20181403777532789</v>
      </c>
      <c r="R245" s="884"/>
      <c r="S245" s="821"/>
      <c r="T245" s="885">
        <v>-1.5705569504062995E-2</v>
      </c>
      <c r="U245" s="884"/>
      <c r="V245" s="821"/>
      <c r="W245" s="885">
        <v>0.17673103133148904</v>
      </c>
      <c r="X245" s="884"/>
      <c r="Y245" s="821"/>
      <c r="Z245" s="885">
        <v>0.15299381236535145</v>
      </c>
      <c r="AA245" s="884"/>
      <c r="AB245" s="821"/>
      <c r="AC245" s="885">
        <v>4.6556120458538922E-2</v>
      </c>
      <c r="AD245" s="884"/>
      <c r="AE245" s="821"/>
      <c r="AF245" s="885">
        <v>9.93379800694211E-2</v>
      </c>
      <c r="AG245" s="884"/>
      <c r="AH245" s="821"/>
      <c r="AI245" s="885">
        <v>6.202922879862862E-2</v>
      </c>
      <c r="AJ245" s="884"/>
      <c r="AK245" s="821"/>
      <c r="AL245" s="885">
        <v>1.428255034151602E-2</v>
      </c>
      <c r="AM245" s="884"/>
      <c r="AN245" s="821"/>
      <c r="AO245" s="885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>
        <v>0</v>
      </c>
      <c r="G247" s="890">
        <v>0</v>
      </c>
      <c r="H247" s="845">
        <v>0</v>
      </c>
      <c r="I247" s="889">
        <v>0</v>
      </c>
      <c r="J247" s="890">
        <v>0</v>
      </c>
      <c r="K247" s="845">
        <v>0</v>
      </c>
      <c r="L247" s="889">
        <v>0</v>
      </c>
      <c r="M247" s="890">
        <v>0</v>
      </c>
      <c r="N247" s="845">
        <v>0</v>
      </c>
      <c r="O247" s="889">
        <v>0</v>
      </c>
      <c r="P247" s="890">
        <v>0</v>
      </c>
      <c r="Q247" s="845">
        <v>0</v>
      </c>
      <c r="R247" s="889">
        <v>0</v>
      </c>
      <c r="S247" s="890">
        <v>0</v>
      </c>
      <c r="T247" s="845">
        <v>0</v>
      </c>
      <c r="U247" s="889">
        <v>0</v>
      </c>
      <c r="V247" s="890">
        <v>0</v>
      </c>
      <c r="W247" s="845">
        <v>0</v>
      </c>
      <c r="X247" s="889">
        <v>0</v>
      </c>
      <c r="Y247" s="890">
        <v>0</v>
      </c>
      <c r="Z247" s="845">
        <v>0</v>
      </c>
      <c r="AA247" s="889">
        <v>0</v>
      </c>
      <c r="AB247" s="890">
        <v>0</v>
      </c>
      <c r="AC247" s="845">
        <v>0</v>
      </c>
      <c r="AD247" s="889">
        <v>0</v>
      </c>
      <c r="AE247" s="890">
        <v>0</v>
      </c>
      <c r="AF247" s="845">
        <v>0</v>
      </c>
      <c r="AG247" s="889">
        <v>0</v>
      </c>
      <c r="AH247" s="890">
        <v>0</v>
      </c>
      <c r="AI247" s="845">
        <v>0</v>
      </c>
      <c r="AJ247" s="889">
        <v>0</v>
      </c>
      <c r="AK247" s="890">
        <v>0</v>
      </c>
      <c r="AL247" s="845">
        <v>0</v>
      </c>
      <c r="AM247" s="889">
        <v>0</v>
      </c>
      <c r="AN247" s="890">
        <v>0</v>
      </c>
      <c r="AO247" s="845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>
        <v>0</v>
      </c>
      <c r="G250" s="890">
        <v>0</v>
      </c>
      <c r="H250" s="845">
        <v>0</v>
      </c>
      <c r="I250" s="889">
        <v>0</v>
      </c>
      <c r="J250" s="890">
        <v>0</v>
      </c>
      <c r="K250" s="845">
        <v>0</v>
      </c>
      <c r="L250" s="889">
        <v>0</v>
      </c>
      <c r="M250" s="890">
        <v>0</v>
      </c>
      <c r="N250" s="845">
        <v>0</v>
      </c>
      <c r="O250" s="889">
        <v>0</v>
      </c>
      <c r="P250" s="890">
        <v>0</v>
      </c>
      <c r="Q250" s="845">
        <v>0</v>
      </c>
      <c r="R250" s="889">
        <v>0</v>
      </c>
      <c r="S250" s="890">
        <v>0</v>
      </c>
      <c r="T250" s="845">
        <v>0</v>
      </c>
      <c r="U250" s="889">
        <v>0</v>
      </c>
      <c r="V250" s="890">
        <v>0</v>
      </c>
      <c r="W250" s="845">
        <v>0</v>
      </c>
      <c r="X250" s="889">
        <v>0</v>
      </c>
      <c r="Y250" s="890">
        <v>0</v>
      </c>
      <c r="Z250" s="845">
        <v>0</v>
      </c>
      <c r="AA250" s="889">
        <v>0</v>
      </c>
      <c r="AB250" s="890">
        <v>0</v>
      </c>
      <c r="AC250" s="845">
        <v>0</v>
      </c>
      <c r="AD250" s="889">
        <v>0</v>
      </c>
      <c r="AE250" s="890">
        <v>0</v>
      </c>
      <c r="AF250" s="845">
        <v>0</v>
      </c>
      <c r="AG250" s="889">
        <v>0</v>
      </c>
      <c r="AH250" s="890">
        <v>0</v>
      </c>
      <c r="AI250" s="845">
        <v>0</v>
      </c>
      <c r="AJ250" s="889">
        <v>0</v>
      </c>
      <c r="AK250" s="890">
        <v>0</v>
      </c>
      <c r="AL250" s="845">
        <v>0</v>
      </c>
      <c r="AM250" s="889">
        <v>0</v>
      </c>
      <c r="AN250" s="890">
        <v>0</v>
      </c>
      <c r="AO250" s="845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46008.83</v>
      </c>
      <c r="E253" s="825">
        <v>3711.2499999999932</v>
      </c>
      <c r="F253" s="823"/>
      <c r="G253" s="910">
        <v>774.24</v>
      </c>
      <c r="H253" s="825">
        <v>232.27999999999901</v>
      </c>
      <c r="I253" s="823"/>
      <c r="J253" s="910">
        <v>2767.13</v>
      </c>
      <c r="K253" s="825">
        <v>498.68</v>
      </c>
      <c r="L253" s="823"/>
      <c r="M253" s="910">
        <v>5155.8599999999997</v>
      </c>
      <c r="N253" s="825">
        <v>794.42</v>
      </c>
      <c r="O253" s="823"/>
      <c r="P253" s="910">
        <v>2141.08</v>
      </c>
      <c r="Q253" s="825">
        <v>432.099999999999</v>
      </c>
      <c r="R253" s="823"/>
      <c r="S253" s="910">
        <v>1481.64</v>
      </c>
      <c r="T253" s="825">
        <v>-23.2699999999999</v>
      </c>
      <c r="U253" s="823"/>
      <c r="V253" s="910">
        <v>1269.33</v>
      </c>
      <c r="W253" s="825">
        <v>224.32999999999899</v>
      </c>
      <c r="X253" s="823"/>
      <c r="Y253" s="910">
        <v>3629.82</v>
      </c>
      <c r="Z253" s="825">
        <v>555.34</v>
      </c>
      <c r="AA253" s="823"/>
      <c r="AB253" s="910">
        <v>3204.09</v>
      </c>
      <c r="AC253" s="825">
        <v>149.16999999999999</v>
      </c>
      <c r="AD253" s="823"/>
      <c r="AE253" s="910">
        <v>2857.92</v>
      </c>
      <c r="AF253" s="825">
        <v>283.89999999999998</v>
      </c>
      <c r="AG253" s="823"/>
      <c r="AH253" s="910">
        <v>2287.4699999999998</v>
      </c>
      <c r="AI253" s="825">
        <v>141.88999999999899</v>
      </c>
      <c r="AJ253" s="823"/>
      <c r="AK253" s="910">
        <v>16931.849999999999</v>
      </c>
      <c r="AL253" s="825">
        <v>241.82999999999799</v>
      </c>
      <c r="AM253" s="823"/>
      <c r="AN253" s="910">
        <v>3508.4</v>
      </c>
      <c r="AO253" s="825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8.0663863871348024E-2</v>
      </c>
      <c r="F254" s="826"/>
      <c r="G254" s="827"/>
      <c r="H254" s="911">
        <v>0.30001033271336924</v>
      </c>
      <c r="I254" s="826"/>
      <c r="J254" s="827"/>
      <c r="K254" s="911">
        <v>0.18021560244730098</v>
      </c>
      <c r="L254" s="826"/>
      <c r="M254" s="827"/>
      <c r="N254" s="911">
        <v>0.15408098745893023</v>
      </c>
      <c r="O254" s="826"/>
      <c r="P254" s="827"/>
      <c r="Q254" s="911">
        <v>0.20181403777532789</v>
      </c>
      <c r="R254" s="826"/>
      <c r="S254" s="827"/>
      <c r="T254" s="911">
        <v>-1.5705569504062995E-2</v>
      </c>
      <c r="U254" s="826"/>
      <c r="V254" s="827"/>
      <c r="W254" s="911">
        <v>0.17673103133148904</v>
      </c>
      <c r="X254" s="826"/>
      <c r="Y254" s="827"/>
      <c r="Z254" s="911">
        <v>0.15299381236535145</v>
      </c>
      <c r="AA254" s="826"/>
      <c r="AB254" s="827"/>
      <c r="AC254" s="911">
        <v>4.6556120458538922E-2</v>
      </c>
      <c r="AD254" s="826"/>
      <c r="AE254" s="827"/>
      <c r="AF254" s="911">
        <v>9.93379800694211E-2</v>
      </c>
      <c r="AG254" s="826"/>
      <c r="AH254" s="827"/>
      <c r="AI254" s="911">
        <v>6.202922879862862E-2</v>
      </c>
      <c r="AJ254" s="826"/>
      <c r="AK254" s="827"/>
      <c r="AL254" s="911">
        <v>1.428255034151602E-2</v>
      </c>
      <c r="AM254" s="826"/>
      <c r="AN254" s="827"/>
      <c r="AO254" s="911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3651.24</v>
      </c>
      <c r="F257" s="813"/>
      <c r="G257" s="821"/>
      <c r="H257" s="835">
        <v>304.27</v>
      </c>
      <c r="I257" s="813"/>
      <c r="J257" s="821"/>
      <c r="K257" s="835">
        <v>304.27</v>
      </c>
      <c r="L257" s="813"/>
      <c r="M257" s="821"/>
      <c r="N257" s="835">
        <v>304.27</v>
      </c>
      <c r="O257" s="813"/>
      <c r="P257" s="821"/>
      <c r="Q257" s="835">
        <v>304.27</v>
      </c>
      <c r="R257" s="813"/>
      <c r="S257" s="821"/>
      <c r="T257" s="835">
        <v>304.27</v>
      </c>
      <c r="U257" s="813"/>
      <c r="V257" s="821"/>
      <c r="W257" s="835">
        <v>304.27</v>
      </c>
      <c r="X257" s="813"/>
      <c r="Y257" s="821"/>
      <c r="Z257" s="835">
        <v>304.27</v>
      </c>
      <c r="AA257" s="813"/>
      <c r="AB257" s="821"/>
      <c r="AC257" s="835">
        <v>304.27</v>
      </c>
      <c r="AD257" s="813"/>
      <c r="AE257" s="821"/>
      <c r="AF257" s="835">
        <v>304.27</v>
      </c>
      <c r="AG257" s="813"/>
      <c r="AH257" s="821"/>
      <c r="AI257" s="835">
        <v>304.27</v>
      </c>
      <c r="AJ257" s="813"/>
      <c r="AK257" s="821"/>
      <c r="AL257" s="835">
        <v>304.27</v>
      </c>
      <c r="AM257" s="813"/>
      <c r="AN257" s="821"/>
      <c r="AO257" s="835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3977.72</v>
      </c>
      <c r="F258" s="813"/>
      <c r="G258" s="821"/>
      <c r="H258" s="835">
        <v>346.51</v>
      </c>
      <c r="I258" s="813"/>
      <c r="J258" s="821"/>
      <c r="K258" s="835">
        <v>339.83</v>
      </c>
      <c r="L258" s="813"/>
      <c r="M258" s="821"/>
      <c r="N258" s="835">
        <v>356.5</v>
      </c>
      <c r="O258" s="813"/>
      <c r="P258" s="821"/>
      <c r="Q258" s="835">
        <v>302.54000000000002</v>
      </c>
      <c r="R258" s="813"/>
      <c r="S258" s="821"/>
      <c r="T258" s="835">
        <v>372.79</v>
      </c>
      <c r="U258" s="813"/>
      <c r="V258" s="821"/>
      <c r="W258" s="835">
        <v>362.53</v>
      </c>
      <c r="X258" s="813"/>
      <c r="Y258" s="821"/>
      <c r="Z258" s="835">
        <v>308.08</v>
      </c>
      <c r="AA258" s="813"/>
      <c r="AB258" s="821"/>
      <c r="AC258" s="835">
        <v>346.6</v>
      </c>
      <c r="AD258" s="813"/>
      <c r="AE258" s="821"/>
      <c r="AF258" s="835">
        <v>294.02999999999997</v>
      </c>
      <c r="AG258" s="813"/>
      <c r="AH258" s="821"/>
      <c r="AI258" s="835">
        <v>339.88</v>
      </c>
      <c r="AJ258" s="813"/>
      <c r="AK258" s="821"/>
      <c r="AL258" s="835">
        <v>350.45</v>
      </c>
      <c r="AM258" s="813"/>
      <c r="AN258" s="821"/>
      <c r="AO258" s="835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868.43000000000006</v>
      </c>
      <c r="F264" s="813"/>
      <c r="G264" s="821"/>
      <c r="H264" s="835">
        <v>43.29</v>
      </c>
      <c r="I264" s="813"/>
      <c r="J264" s="821"/>
      <c r="K264" s="835">
        <v>252.95</v>
      </c>
      <c r="L264" s="813"/>
      <c r="M264" s="821"/>
      <c r="N264" s="835">
        <v>51.47</v>
      </c>
      <c r="O264" s="813"/>
      <c r="P264" s="821"/>
      <c r="Q264" s="835">
        <v>47.58</v>
      </c>
      <c r="R264" s="813"/>
      <c r="S264" s="821"/>
      <c r="T264" s="835">
        <v>86.39</v>
      </c>
      <c r="U264" s="813"/>
      <c r="V264" s="821"/>
      <c r="W264" s="835">
        <v>45.68</v>
      </c>
      <c r="X264" s="813"/>
      <c r="Y264" s="821"/>
      <c r="Z264" s="835">
        <v>54.23</v>
      </c>
      <c r="AA264" s="813"/>
      <c r="AB264" s="821"/>
      <c r="AC264" s="835">
        <v>60.2</v>
      </c>
      <c r="AD264" s="813"/>
      <c r="AE264" s="821"/>
      <c r="AF264" s="835">
        <v>54.27</v>
      </c>
      <c r="AG264" s="813"/>
      <c r="AH264" s="821"/>
      <c r="AI264" s="835">
        <v>48.45</v>
      </c>
      <c r="AJ264" s="813"/>
      <c r="AK264" s="821"/>
      <c r="AL264" s="835">
        <v>59.76</v>
      </c>
      <c r="AM264" s="813"/>
      <c r="AN264" s="821"/>
      <c r="AO264" s="835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2601.11</v>
      </c>
      <c r="F265" s="843"/>
      <c r="G265" s="844"/>
      <c r="H265" s="845">
        <v>242.77</v>
      </c>
      <c r="I265" s="843"/>
      <c r="J265" s="844"/>
      <c r="K265" s="845">
        <v>209.85</v>
      </c>
      <c r="L265" s="843"/>
      <c r="M265" s="844"/>
      <c r="N265" s="845">
        <v>219.81</v>
      </c>
      <c r="O265" s="843"/>
      <c r="P265" s="844"/>
      <c r="Q265" s="845">
        <v>212.96</v>
      </c>
      <c r="R265" s="843"/>
      <c r="S265" s="844"/>
      <c r="T265" s="845">
        <v>218.25</v>
      </c>
      <c r="U265" s="843"/>
      <c r="V265" s="844"/>
      <c r="W265" s="845">
        <v>216.04</v>
      </c>
      <c r="X265" s="843"/>
      <c r="Y265" s="844"/>
      <c r="Z265" s="845">
        <v>219.1</v>
      </c>
      <c r="AA265" s="843"/>
      <c r="AB265" s="844"/>
      <c r="AC265" s="845">
        <v>215.87</v>
      </c>
      <c r="AD265" s="843"/>
      <c r="AE265" s="844"/>
      <c r="AF265" s="845">
        <v>206.51</v>
      </c>
      <c r="AG265" s="843"/>
      <c r="AH265" s="844"/>
      <c r="AI265" s="845">
        <v>215.97</v>
      </c>
      <c r="AJ265" s="843"/>
      <c r="AK265" s="844"/>
      <c r="AL265" s="845">
        <v>213.87</v>
      </c>
      <c r="AM265" s="843"/>
      <c r="AN265" s="844"/>
      <c r="AO265" s="845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426.81000000000006</v>
      </c>
      <c r="F266" s="813"/>
      <c r="G266" s="821"/>
      <c r="H266" s="835">
        <v>-8.66</v>
      </c>
      <c r="I266" s="813"/>
      <c r="J266" s="821"/>
      <c r="K266" s="835">
        <v>37.380000000000003</v>
      </c>
      <c r="L266" s="813"/>
      <c r="M266" s="821"/>
      <c r="N266" s="835">
        <v>45.09</v>
      </c>
      <c r="O266" s="813"/>
      <c r="P266" s="821"/>
      <c r="Q266" s="835">
        <v>38.49</v>
      </c>
      <c r="R266" s="813"/>
      <c r="S266" s="821"/>
      <c r="T266" s="835">
        <v>42.5</v>
      </c>
      <c r="U266" s="813"/>
      <c r="V266" s="821"/>
      <c r="W266" s="835">
        <v>40.57</v>
      </c>
      <c r="X266" s="813"/>
      <c r="Y266" s="821"/>
      <c r="Z266" s="835">
        <v>42.9</v>
      </c>
      <c r="AA266" s="813"/>
      <c r="AB266" s="821"/>
      <c r="AC266" s="835">
        <v>37.19</v>
      </c>
      <c r="AD266" s="813"/>
      <c r="AE266" s="821"/>
      <c r="AF266" s="835">
        <v>35.67</v>
      </c>
      <c r="AG266" s="813"/>
      <c r="AH266" s="821"/>
      <c r="AI266" s="835">
        <v>41.71</v>
      </c>
      <c r="AJ266" s="813"/>
      <c r="AK266" s="821"/>
      <c r="AL266" s="835">
        <v>40.630000000000003</v>
      </c>
      <c r="AM266" s="813"/>
      <c r="AN266" s="821"/>
      <c r="AO266" s="835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82.89</v>
      </c>
      <c r="F267" s="813"/>
      <c r="G267" s="821"/>
      <c r="H267" s="835">
        <v>9.4</v>
      </c>
      <c r="I267" s="813"/>
      <c r="J267" s="821"/>
      <c r="K267" s="835">
        <v>34.57</v>
      </c>
      <c r="L267" s="813"/>
      <c r="M267" s="821"/>
      <c r="N267" s="835">
        <v>4.16</v>
      </c>
      <c r="O267" s="813"/>
      <c r="P267" s="821"/>
      <c r="Q267" s="835">
        <v>3.64</v>
      </c>
      <c r="R267" s="813"/>
      <c r="S267" s="821"/>
      <c r="T267" s="835">
        <v>4.28</v>
      </c>
      <c r="U267" s="813"/>
      <c r="V267" s="821"/>
      <c r="W267" s="835">
        <v>4.07</v>
      </c>
      <c r="X267" s="813"/>
      <c r="Y267" s="821"/>
      <c r="Z267" s="835">
        <v>4.07</v>
      </c>
      <c r="AA267" s="813"/>
      <c r="AB267" s="821"/>
      <c r="AC267" s="835">
        <v>3.98</v>
      </c>
      <c r="AD267" s="813"/>
      <c r="AE267" s="821"/>
      <c r="AF267" s="835">
        <v>2.91</v>
      </c>
      <c r="AG267" s="813"/>
      <c r="AH267" s="821"/>
      <c r="AI267" s="835">
        <v>4.04</v>
      </c>
      <c r="AJ267" s="813"/>
      <c r="AK267" s="821"/>
      <c r="AL267" s="835">
        <v>3.71</v>
      </c>
      <c r="AM267" s="813"/>
      <c r="AN267" s="821"/>
      <c r="AO267" s="835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11836.199999999999</v>
      </c>
      <c r="F269" s="840" t="s">
        <v>108</v>
      </c>
      <c r="G269" s="841">
        <v>0</v>
      </c>
      <c r="H269" s="842">
        <v>956.57999999999993</v>
      </c>
      <c r="I269" s="840" t="s">
        <v>108</v>
      </c>
      <c r="J269" s="841">
        <v>0</v>
      </c>
      <c r="K269" s="842">
        <v>1197.8499999999999</v>
      </c>
      <c r="L269" s="840" t="s">
        <v>108</v>
      </c>
      <c r="M269" s="841">
        <v>0</v>
      </c>
      <c r="N269" s="842">
        <v>1000.3</v>
      </c>
      <c r="O269" s="840" t="s">
        <v>108</v>
      </c>
      <c r="P269" s="841">
        <v>0</v>
      </c>
      <c r="Q269" s="842">
        <v>928.48</v>
      </c>
      <c r="R269" s="840" t="s">
        <v>108</v>
      </c>
      <c r="S269" s="841">
        <v>0</v>
      </c>
      <c r="T269" s="842">
        <v>1047.4799999999998</v>
      </c>
      <c r="U269" s="840" t="s">
        <v>108</v>
      </c>
      <c r="V269" s="841">
        <v>0</v>
      </c>
      <c r="W269" s="842">
        <v>992.16</v>
      </c>
      <c r="X269" s="840" t="s">
        <v>108</v>
      </c>
      <c r="Y269" s="841">
        <v>0</v>
      </c>
      <c r="Z269" s="842">
        <v>951.65</v>
      </c>
      <c r="AA269" s="840" t="s">
        <v>108</v>
      </c>
      <c r="AB269" s="841">
        <v>0</v>
      </c>
      <c r="AC269" s="842">
        <v>987.11000000000013</v>
      </c>
      <c r="AD269" s="840" t="s">
        <v>108</v>
      </c>
      <c r="AE269" s="841">
        <v>0</v>
      </c>
      <c r="AF269" s="842">
        <v>916.65999999999985</v>
      </c>
      <c r="AG269" s="840" t="s">
        <v>108</v>
      </c>
      <c r="AH269" s="841">
        <v>0</v>
      </c>
      <c r="AI269" s="842">
        <v>973.32</v>
      </c>
      <c r="AJ269" s="840" t="s">
        <v>108</v>
      </c>
      <c r="AK269" s="841">
        <v>0</v>
      </c>
      <c r="AL269" s="842">
        <v>991.69</v>
      </c>
      <c r="AM269" s="840" t="s">
        <v>108</v>
      </c>
      <c r="AN269" s="841">
        <v>0</v>
      </c>
      <c r="AO269" s="842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40.67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12.97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6.25</v>
      </c>
      <c r="AG270" s="813"/>
      <c r="AH270" s="821"/>
      <c r="AI270" s="835">
        <v>7.7</v>
      </c>
      <c r="AJ270" s="813"/>
      <c r="AK270" s="821"/>
      <c r="AL270" s="835">
        <v>13.75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104.38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2.99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39.33</v>
      </c>
      <c r="AA271" s="813"/>
      <c r="AB271" s="821"/>
      <c r="AC271" s="835">
        <v>18.54</v>
      </c>
      <c r="AD271" s="813"/>
      <c r="AE271" s="821"/>
      <c r="AF271" s="835">
        <v>16.829999999999998</v>
      </c>
      <c r="AG271" s="813"/>
      <c r="AH271" s="821"/>
      <c r="AI271" s="835">
        <v>0</v>
      </c>
      <c r="AJ271" s="813"/>
      <c r="AK271" s="821"/>
      <c r="AL271" s="835">
        <v>26.69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1606.11</v>
      </c>
      <c r="F272" s="839"/>
      <c r="G272" s="846"/>
      <c r="H272" s="838">
        <v>102.32</v>
      </c>
      <c r="I272" s="839"/>
      <c r="J272" s="846"/>
      <c r="K272" s="838">
        <v>167.47</v>
      </c>
      <c r="L272" s="839"/>
      <c r="M272" s="846"/>
      <c r="N272" s="838">
        <v>150.93</v>
      </c>
      <c r="O272" s="839"/>
      <c r="P272" s="846"/>
      <c r="Q272" s="838">
        <v>130.34</v>
      </c>
      <c r="R272" s="839"/>
      <c r="S272" s="846"/>
      <c r="T272" s="838">
        <v>145.52000000000001</v>
      </c>
      <c r="U272" s="839"/>
      <c r="V272" s="846"/>
      <c r="W272" s="838">
        <v>161.94999999999999</v>
      </c>
      <c r="X272" s="839"/>
      <c r="Y272" s="846"/>
      <c r="Z272" s="838">
        <v>142.97999999999999</v>
      </c>
      <c r="AA272" s="839"/>
      <c r="AB272" s="846"/>
      <c r="AC272" s="838">
        <v>125.25</v>
      </c>
      <c r="AD272" s="839"/>
      <c r="AE272" s="846"/>
      <c r="AF272" s="838">
        <v>158.58000000000001</v>
      </c>
      <c r="AG272" s="839"/>
      <c r="AH272" s="846"/>
      <c r="AI272" s="838">
        <v>125.95</v>
      </c>
      <c r="AJ272" s="839"/>
      <c r="AK272" s="846"/>
      <c r="AL272" s="838">
        <v>78.81</v>
      </c>
      <c r="AM272" s="839"/>
      <c r="AN272" s="846"/>
      <c r="AO272" s="838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2683.9700000000003</v>
      </c>
      <c r="F273" s="813"/>
      <c r="G273" s="821"/>
      <c r="H273" s="835">
        <v>208.59</v>
      </c>
      <c r="I273" s="813"/>
      <c r="J273" s="821"/>
      <c r="K273" s="835">
        <v>247.24</v>
      </c>
      <c r="L273" s="813"/>
      <c r="M273" s="821"/>
      <c r="N273" s="835">
        <v>208.59</v>
      </c>
      <c r="O273" s="813"/>
      <c r="P273" s="821"/>
      <c r="Q273" s="835">
        <v>219.89</v>
      </c>
      <c r="R273" s="813"/>
      <c r="S273" s="821"/>
      <c r="T273" s="835">
        <v>216.56</v>
      </c>
      <c r="U273" s="813"/>
      <c r="V273" s="821"/>
      <c r="W273" s="835">
        <v>216.56</v>
      </c>
      <c r="X273" s="813"/>
      <c r="Y273" s="821"/>
      <c r="Z273" s="835">
        <v>235.81</v>
      </c>
      <c r="AA273" s="813"/>
      <c r="AB273" s="821"/>
      <c r="AC273" s="835">
        <v>233.17</v>
      </c>
      <c r="AD273" s="813"/>
      <c r="AE273" s="821"/>
      <c r="AF273" s="835">
        <v>215.1</v>
      </c>
      <c r="AG273" s="813"/>
      <c r="AH273" s="821"/>
      <c r="AI273" s="835">
        <v>218.64</v>
      </c>
      <c r="AJ273" s="813"/>
      <c r="AK273" s="821"/>
      <c r="AL273" s="835">
        <v>227.46</v>
      </c>
      <c r="AM273" s="813"/>
      <c r="AN273" s="821"/>
      <c r="AO273" s="835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255.24000000000004</v>
      </c>
      <c r="F274" s="813"/>
      <c r="G274" s="821"/>
      <c r="H274" s="835">
        <v>32.82</v>
      </c>
      <c r="I274" s="813"/>
      <c r="J274" s="821"/>
      <c r="K274" s="835">
        <v>31.97</v>
      </c>
      <c r="L274" s="813"/>
      <c r="M274" s="821"/>
      <c r="N274" s="835">
        <v>35.97</v>
      </c>
      <c r="O274" s="813"/>
      <c r="P274" s="821"/>
      <c r="Q274" s="835">
        <v>29.11</v>
      </c>
      <c r="R274" s="813"/>
      <c r="S274" s="821"/>
      <c r="T274" s="835">
        <v>21.78</v>
      </c>
      <c r="U274" s="813"/>
      <c r="V274" s="821"/>
      <c r="W274" s="835">
        <v>33.78</v>
      </c>
      <c r="X274" s="813"/>
      <c r="Y274" s="821"/>
      <c r="Z274" s="835">
        <v>34.06</v>
      </c>
      <c r="AA274" s="813"/>
      <c r="AB274" s="821"/>
      <c r="AC274" s="835">
        <v>23.81</v>
      </c>
      <c r="AD274" s="813"/>
      <c r="AE274" s="821"/>
      <c r="AF274" s="835">
        <v>7.36</v>
      </c>
      <c r="AG274" s="813"/>
      <c r="AH274" s="821"/>
      <c r="AI274" s="835">
        <v>13.42</v>
      </c>
      <c r="AJ274" s="813"/>
      <c r="AK274" s="821"/>
      <c r="AL274" s="835">
        <v>-19.16</v>
      </c>
      <c r="AM274" s="813"/>
      <c r="AN274" s="821"/>
      <c r="AO274" s="835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1772.0900000000001</v>
      </c>
      <c r="F275" s="839"/>
      <c r="G275" s="846"/>
      <c r="H275" s="838">
        <v>139.19</v>
      </c>
      <c r="I275" s="839"/>
      <c r="J275" s="846"/>
      <c r="K275" s="838">
        <v>140.15</v>
      </c>
      <c r="L275" s="839"/>
      <c r="M275" s="846"/>
      <c r="N275" s="838">
        <v>166.37</v>
      </c>
      <c r="O275" s="839"/>
      <c r="P275" s="846"/>
      <c r="Q275" s="838">
        <v>182.23</v>
      </c>
      <c r="R275" s="839"/>
      <c r="S275" s="846"/>
      <c r="T275" s="838">
        <v>111.72</v>
      </c>
      <c r="U275" s="839"/>
      <c r="V275" s="846"/>
      <c r="W275" s="838">
        <v>173.45</v>
      </c>
      <c r="X275" s="839"/>
      <c r="Y275" s="846"/>
      <c r="Z275" s="838">
        <v>135.54</v>
      </c>
      <c r="AA275" s="839"/>
      <c r="AB275" s="846"/>
      <c r="AC275" s="838">
        <v>122.39</v>
      </c>
      <c r="AD275" s="839"/>
      <c r="AE275" s="846"/>
      <c r="AF275" s="838">
        <v>175.45</v>
      </c>
      <c r="AG275" s="839"/>
      <c r="AH275" s="846"/>
      <c r="AI275" s="838">
        <v>109.18</v>
      </c>
      <c r="AJ275" s="839"/>
      <c r="AK275" s="846"/>
      <c r="AL275" s="838">
        <v>173.09</v>
      </c>
      <c r="AM275" s="839"/>
      <c r="AN275" s="846"/>
      <c r="AO275" s="838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18.54</v>
      </c>
      <c r="F277" s="813"/>
      <c r="G277" s="821"/>
      <c r="H277" s="835">
        <v>0</v>
      </c>
      <c r="I277" s="813"/>
      <c r="J277" s="821"/>
      <c r="K277" s="835">
        <v>0</v>
      </c>
      <c r="L277" s="813"/>
      <c r="M277" s="821"/>
      <c r="N277" s="835">
        <v>0</v>
      </c>
      <c r="O277" s="813"/>
      <c r="P277" s="821"/>
      <c r="Q277" s="835">
        <v>0.7</v>
      </c>
      <c r="R277" s="813"/>
      <c r="S277" s="821"/>
      <c r="T277" s="835">
        <v>11.2</v>
      </c>
      <c r="U277" s="813"/>
      <c r="V277" s="821"/>
      <c r="W277" s="835">
        <v>0</v>
      </c>
      <c r="X277" s="813"/>
      <c r="Y277" s="821"/>
      <c r="Z277" s="835">
        <v>0</v>
      </c>
      <c r="AA277" s="813"/>
      <c r="AB277" s="821"/>
      <c r="AC277" s="835">
        <v>0</v>
      </c>
      <c r="AD277" s="813"/>
      <c r="AE277" s="821"/>
      <c r="AF277" s="835">
        <v>6.64</v>
      </c>
      <c r="AG277" s="813"/>
      <c r="AH277" s="821"/>
      <c r="AI277" s="835">
        <v>0</v>
      </c>
      <c r="AJ277" s="813"/>
      <c r="AK277" s="821"/>
      <c r="AL277" s="835">
        <v>0</v>
      </c>
      <c r="AM277" s="813"/>
      <c r="AN277" s="821"/>
      <c r="AO277" s="835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8.6000000000000014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3.99</v>
      </c>
      <c r="O278" s="813"/>
      <c r="P278" s="821"/>
      <c r="Q278" s="835">
        <v>4.6100000000000003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361.26</v>
      </c>
      <c r="F279" s="813"/>
      <c r="G279" s="821"/>
      <c r="H279" s="835">
        <v>31.62</v>
      </c>
      <c r="I279" s="813"/>
      <c r="J279" s="821"/>
      <c r="K279" s="835">
        <v>26.56</v>
      </c>
      <c r="L279" s="813"/>
      <c r="M279" s="821"/>
      <c r="N279" s="835">
        <v>12.88</v>
      </c>
      <c r="O279" s="813"/>
      <c r="P279" s="821"/>
      <c r="Q279" s="835">
        <v>30.45</v>
      </c>
      <c r="R279" s="813"/>
      <c r="S279" s="821"/>
      <c r="T279" s="835">
        <v>31.17</v>
      </c>
      <c r="U279" s="813"/>
      <c r="V279" s="821"/>
      <c r="W279" s="835">
        <v>49.88</v>
      </c>
      <c r="X279" s="813"/>
      <c r="Y279" s="821"/>
      <c r="Z279" s="835">
        <v>32.83</v>
      </c>
      <c r="AA279" s="813"/>
      <c r="AB279" s="821"/>
      <c r="AC279" s="835">
        <v>40.909999999999997</v>
      </c>
      <c r="AD279" s="813"/>
      <c r="AE279" s="821"/>
      <c r="AF279" s="835">
        <v>12.62</v>
      </c>
      <c r="AG279" s="813"/>
      <c r="AH279" s="821"/>
      <c r="AI279" s="835">
        <v>33.840000000000003</v>
      </c>
      <c r="AJ279" s="813"/>
      <c r="AK279" s="821"/>
      <c r="AL279" s="835">
        <v>40.21</v>
      </c>
      <c r="AM279" s="813"/>
      <c r="AN279" s="821"/>
      <c r="AO279" s="835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101.42</v>
      </c>
      <c r="F280" s="813"/>
      <c r="G280" s="821"/>
      <c r="H280" s="835">
        <v>7.59</v>
      </c>
      <c r="I280" s="813"/>
      <c r="J280" s="821"/>
      <c r="K280" s="835">
        <v>8.84</v>
      </c>
      <c r="L280" s="813"/>
      <c r="M280" s="821"/>
      <c r="N280" s="835">
        <v>9.85</v>
      </c>
      <c r="O280" s="813"/>
      <c r="P280" s="821"/>
      <c r="Q280" s="835">
        <v>9.61</v>
      </c>
      <c r="R280" s="813"/>
      <c r="S280" s="821"/>
      <c r="T280" s="835">
        <v>7.77</v>
      </c>
      <c r="U280" s="813"/>
      <c r="V280" s="821"/>
      <c r="W280" s="835">
        <v>7.87</v>
      </c>
      <c r="X280" s="813"/>
      <c r="Y280" s="821"/>
      <c r="Z280" s="835">
        <v>7.67</v>
      </c>
      <c r="AA280" s="813"/>
      <c r="AB280" s="821"/>
      <c r="AC280" s="835">
        <v>11.39</v>
      </c>
      <c r="AD280" s="813"/>
      <c r="AE280" s="821"/>
      <c r="AF280" s="835">
        <v>7.69</v>
      </c>
      <c r="AG280" s="813"/>
      <c r="AH280" s="821"/>
      <c r="AI280" s="835">
        <v>7.75</v>
      </c>
      <c r="AJ280" s="813"/>
      <c r="AK280" s="821"/>
      <c r="AL280" s="835">
        <v>7.78</v>
      </c>
      <c r="AM280" s="813"/>
      <c r="AN280" s="821"/>
      <c r="AO280" s="835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104.95000000000002</v>
      </c>
      <c r="F281" s="813"/>
      <c r="G281" s="821"/>
      <c r="H281" s="835">
        <v>5.71</v>
      </c>
      <c r="I281" s="813"/>
      <c r="J281" s="821"/>
      <c r="K281" s="835">
        <v>3.34</v>
      </c>
      <c r="L281" s="813"/>
      <c r="M281" s="821"/>
      <c r="N281" s="835">
        <v>0.94</v>
      </c>
      <c r="O281" s="813"/>
      <c r="P281" s="821"/>
      <c r="Q281" s="835">
        <v>14.3</v>
      </c>
      <c r="R281" s="813"/>
      <c r="S281" s="821"/>
      <c r="T281" s="835">
        <v>1.47</v>
      </c>
      <c r="U281" s="813"/>
      <c r="V281" s="821"/>
      <c r="W281" s="835">
        <v>8.35</v>
      </c>
      <c r="X281" s="813"/>
      <c r="Y281" s="821"/>
      <c r="Z281" s="835">
        <v>14.79</v>
      </c>
      <c r="AA281" s="813"/>
      <c r="AB281" s="821"/>
      <c r="AC281" s="835">
        <v>16.52</v>
      </c>
      <c r="AD281" s="813"/>
      <c r="AE281" s="821"/>
      <c r="AF281" s="835">
        <v>7.59</v>
      </c>
      <c r="AG281" s="813"/>
      <c r="AH281" s="821"/>
      <c r="AI281" s="835">
        <v>19.32</v>
      </c>
      <c r="AJ281" s="813"/>
      <c r="AK281" s="821"/>
      <c r="AL281" s="835">
        <v>6</v>
      </c>
      <c r="AM281" s="813"/>
      <c r="AN281" s="821"/>
      <c r="AO281" s="835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518.01999999999953</v>
      </c>
      <c r="F282" s="813"/>
      <c r="G282" s="821"/>
      <c r="H282" s="835">
        <v>37.11</v>
      </c>
      <c r="I282" s="813"/>
      <c r="J282" s="821"/>
      <c r="K282" s="835">
        <v>42.349999999999902</v>
      </c>
      <c r="L282" s="813"/>
      <c r="M282" s="821"/>
      <c r="N282" s="835">
        <v>36.51</v>
      </c>
      <c r="O282" s="813"/>
      <c r="P282" s="821"/>
      <c r="Q282" s="835">
        <v>44.879999999999903</v>
      </c>
      <c r="R282" s="813"/>
      <c r="S282" s="821"/>
      <c r="T282" s="835">
        <v>54.01</v>
      </c>
      <c r="U282" s="813"/>
      <c r="V282" s="821"/>
      <c r="W282" s="835">
        <v>36.58</v>
      </c>
      <c r="X282" s="813"/>
      <c r="Y282" s="821"/>
      <c r="Z282" s="835">
        <v>37.089999999999897</v>
      </c>
      <c r="AA282" s="813"/>
      <c r="AB282" s="821"/>
      <c r="AC282" s="835">
        <v>57.64</v>
      </c>
      <c r="AD282" s="813"/>
      <c r="AE282" s="821"/>
      <c r="AF282" s="835">
        <v>39.72</v>
      </c>
      <c r="AG282" s="813"/>
      <c r="AH282" s="821"/>
      <c r="AI282" s="835">
        <v>51.589999999999897</v>
      </c>
      <c r="AJ282" s="813"/>
      <c r="AK282" s="821"/>
      <c r="AL282" s="835">
        <v>41.75</v>
      </c>
      <c r="AM282" s="813"/>
      <c r="AN282" s="821"/>
      <c r="AO282" s="835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254.75</v>
      </c>
      <c r="F283" s="813"/>
      <c r="G283" s="821"/>
      <c r="H283" s="835">
        <v>18.86</v>
      </c>
      <c r="I283" s="813"/>
      <c r="J283" s="821"/>
      <c r="K283" s="835">
        <v>3.19</v>
      </c>
      <c r="L283" s="813"/>
      <c r="M283" s="821"/>
      <c r="N283" s="835">
        <v>8.99</v>
      </c>
      <c r="O283" s="813"/>
      <c r="P283" s="821"/>
      <c r="Q283" s="835">
        <v>14.44</v>
      </c>
      <c r="R283" s="813"/>
      <c r="S283" s="821"/>
      <c r="T283" s="835">
        <v>13.27</v>
      </c>
      <c r="U283" s="813"/>
      <c r="V283" s="821"/>
      <c r="W283" s="835">
        <v>30.61</v>
      </c>
      <c r="X283" s="813"/>
      <c r="Y283" s="821"/>
      <c r="Z283" s="835">
        <v>56.13</v>
      </c>
      <c r="AA283" s="813"/>
      <c r="AB283" s="821"/>
      <c r="AC283" s="835">
        <v>20.55</v>
      </c>
      <c r="AD283" s="813"/>
      <c r="AE283" s="821"/>
      <c r="AF283" s="835">
        <v>-18.690000000000001</v>
      </c>
      <c r="AG283" s="813"/>
      <c r="AH283" s="821"/>
      <c r="AI283" s="835">
        <v>27.13</v>
      </c>
      <c r="AJ283" s="813"/>
      <c r="AK283" s="821"/>
      <c r="AL283" s="835">
        <v>32.08</v>
      </c>
      <c r="AM283" s="813"/>
      <c r="AN283" s="821"/>
      <c r="AO283" s="835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1727.8999999999999</v>
      </c>
      <c r="F284" s="813"/>
      <c r="G284" s="821"/>
      <c r="H284" s="835">
        <v>104.97</v>
      </c>
      <c r="I284" s="813"/>
      <c r="J284" s="821"/>
      <c r="K284" s="835">
        <v>88.71</v>
      </c>
      <c r="L284" s="813"/>
      <c r="M284" s="821"/>
      <c r="N284" s="835">
        <v>122.18</v>
      </c>
      <c r="O284" s="813"/>
      <c r="P284" s="821"/>
      <c r="Q284" s="835">
        <v>184.17</v>
      </c>
      <c r="R284" s="813"/>
      <c r="S284" s="821"/>
      <c r="T284" s="835">
        <v>176.91</v>
      </c>
      <c r="U284" s="813"/>
      <c r="V284" s="821"/>
      <c r="W284" s="835">
        <v>173.43</v>
      </c>
      <c r="X284" s="813"/>
      <c r="Y284" s="821"/>
      <c r="Z284" s="835">
        <v>134.94999999999999</v>
      </c>
      <c r="AA284" s="813"/>
      <c r="AB284" s="821"/>
      <c r="AC284" s="835">
        <v>146.1</v>
      </c>
      <c r="AD284" s="813"/>
      <c r="AE284" s="821"/>
      <c r="AF284" s="835">
        <v>143.12</v>
      </c>
      <c r="AG284" s="813"/>
      <c r="AH284" s="821"/>
      <c r="AI284" s="835">
        <v>170.3</v>
      </c>
      <c r="AJ284" s="813"/>
      <c r="AK284" s="821"/>
      <c r="AL284" s="835">
        <v>194.99</v>
      </c>
      <c r="AM284" s="813"/>
      <c r="AN284" s="821"/>
      <c r="AO284" s="835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9557.9</v>
      </c>
      <c r="F288" s="852" t="s">
        <v>108</v>
      </c>
      <c r="G288" s="853">
        <v>0</v>
      </c>
      <c r="H288" s="854">
        <v>688.78000000000009</v>
      </c>
      <c r="I288" s="852" t="s">
        <v>108</v>
      </c>
      <c r="J288" s="853">
        <v>0</v>
      </c>
      <c r="K288" s="854">
        <v>759.82</v>
      </c>
      <c r="L288" s="852" t="s">
        <v>108</v>
      </c>
      <c r="M288" s="853">
        <v>0</v>
      </c>
      <c r="N288" s="854">
        <v>757.2</v>
      </c>
      <c r="O288" s="852" t="s">
        <v>108</v>
      </c>
      <c r="P288" s="853">
        <v>0</v>
      </c>
      <c r="Q288" s="854">
        <v>880.68999999999994</v>
      </c>
      <c r="R288" s="852" t="s">
        <v>108</v>
      </c>
      <c r="S288" s="853">
        <v>0</v>
      </c>
      <c r="T288" s="854">
        <v>791.38</v>
      </c>
      <c r="U288" s="852" t="s">
        <v>108</v>
      </c>
      <c r="V288" s="853">
        <v>0</v>
      </c>
      <c r="W288" s="854">
        <v>892.46</v>
      </c>
      <c r="X288" s="852" t="s">
        <v>108</v>
      </c>
      <c r="Y288" s="853">
        <v>0</v>
      </c>
      <c r="Z288" s="854">
        <v>871.17999999999984</v>
      </c>
      <c r="AA288" s="852" t="s">
        <v>108</v>
      </c>
      <c r="AB288" s="853">
        <v>0</v>
      </c>
      <c r="AC288" s="854">
        <v>816.26999999999987</v>
      </c>
      <c r="AD288" s="852" t="s">
        <v>108</v>
      </c>
      <c r="AE288" s="853">
        <v>0</v>
      </c>
      <c r="AF288" s="854">
        <v>778.26</v>
      </c>
      <c r="AG288" s="852" t="s">
        <v>108</v>
      </c>
      <c r="AH288" s="853">
        <v>0</v>
      </c>
      <c r="AI288" s="854">
        <v>784.81999999999994</v>
      </c>
      <c r="AJ288" s="852" t="s">
        <v>108</v>
      </c>
      <c r="AK288" s="853">
        <v>0</v>
      </c>
      <c r="AL288" s="854">
        <v>823.45</v>
      </c>
      <c r="AM288" s="852" t="s">
        <v>108</v>
      </c>
      <c r="AN288" s="853">
        <v>0</v>
      </c>
      <c r="AO288" s="854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21394.1</v>
      </c>
      <c r="F290" s="840" t="s">
        <v>108</v>
      </c>
      <c r="G290" s="878">
        <v>0</v>
      </c>
      <c r="H290" s="851">
        <v>1645.3600000000001</v>
      </c>
      <c r="I290" s="840" t="s">
        <v>108</v>
      </c>
      <c r="J290" s="878">
        <v>0</v>
      </c>
      <c r="K290" s="851">
        <v>1957.67</v>
      </c>
      <c r="L290" s="840" t="s">
        <v>108</v>
      </c>
      <c r="M290" s="878">
        <v>0</v>
      </c>
      <c r="N290" s="851">
        <v>1757.5</v>
      </c>
      <c r="O290" s="840" t="s">
        <v>108</v>
      </c>
      <c r="P290" s="878">
        <v>0</v>
      </c>
      <c r="Q290" s="851">
        <v>1809.17</v>
      </c>
      <c r="R290" s="840" t="s">
        <v>108</v>
      </c>
      <c r="S290" s="878">
        <v>0</v>
      </c>
      <c r="T290" s="851">
        <v>1838.8599999999997</v>
      </c>
      <c r="U290" s="840" t="s">
        <v>108</v>
      </c>
      <c r="V290" s="878">
        <v>0</v>
      </c>
      <c r="W290" s="851">
        <v>1884.62</v>
      </c>
      <c r="X290" s="840" t="s">
        <v>108</v>
      </c>
      <c r="Y290" s="878">
        <v>0</v>
      </c>
      <c r="Z290" s="851">
        <v>1822.83</v>
      </c>
      <c r="AA290" s="840" t="s">
        <v>108</v>
      </c>
      <c r="AB290" s="878">
        <v>0</v>
      </c>
      <c r="AC290" s="851">
        <v>1803.38</v>
      </c>
      <c r="AD290" s="840" t="s">
        <v>108</v>
      </c>
      <c r="AE290" s="878">
        <v>0</v>
      </c>
      <c r="AF290" s="851">
        <v>1694.9199999999998</v>
      </c>
      <c r="AG290" s="840" t="s">
        <v>108</v>
      </c>
      <c r="AH290" s="878">
        <v>0</v>
      </c>
      <c r="AI290" s="851">
        <v>1758.1399999999999</v>
      </c>
      <c r="AJ290" s="840" t="s">
        <v>108</v>
      </c>
      <c r="AK290" s="878">
        <v>0</v>
      </c>
      <c r="AL290" s="851">
        <v>1815.14</v>
      </c>
      <c r="AM290" s="840" t="s">
        <v>108</v>
      </c>
      <c r="AN290" s="878">
        <v>0</v>
      </c>
      <c r="AO290" s="851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-17682.850000000006</v>
      </c>
      <c r="F292" s="879"/>
      <c r="G292" s="880"/>
      <c r="H292" s="860">
        <v>-1413.0800000000011</v>
      </c>
      <c r="I292" s="879"/>
      <c r="J292" s="880"/>
      <c r="K292" s="860">
        <v>-1458.99</v>
      </c>
      <c r="L292" s="879"/>
      <c r="M292" s="880"/>
      <c r="N292" s="860">
        <v>-963.08</v>
      </c>
      <c r="O292" s="879"/>
      <c r="P292" s="880"/>
      <c r="Q292" s="860">
        <v>-1377.0700000000011</v>
      </c>
      <c r="R292" s="879"/>
      <c r="S292" s="880"/>
      <c r="T292" s="860">
        <v>-1862.1299999999997</v>
      </c>
      <c r="U292" s="879"/>
      <c r="V292" s="880"/>
      <c r="W292" s="860">
        <v>-1660.2900000000009</v>
      </c>
      <c r="X292" s="879"/>
      <c r="Y292" s="880"/>
      <c r="Z292" s="860">
        <v>-1267.4899999999998</v>
      </c>
      <c r="AA292" s="879"/>
      <c r="AB292" s="880"/>
      <c r="AC292" s="860">
        <v>-1654.21</v>
      </c>
      <c r="AD292" s="879"/>
      <c r="AE292" s="880"/>
      <c r="AF292" s="860">
        <v>-1411.02</v>
      </c>
      <c r="AG292" s="879"/>
      <c r="AH292" s="880"/>
      <c r="AI292" s="860">
        <v>-1616.2500000000009</v>
      </c>
      <c r="AJ292" s="879"/>
      <c r="AK292" s="880"/>
      <c r="AL292" s="860">
        <v>-1573.3100000000022</v>
      </c>
      <c r="AM292" s="879"/>
      <c r="AN292" s="880"/>
      <c r="AO292" s="860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2824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2023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672249.19</v>
      </c>
      <c r="D298" s="876">
        <v>0.40324648066887187</v>
      </c>
      <c r="E298" s="835">
        <v>271082.11999999976</v>
      </c>
      <c r="F298" s="882">
        <v>38914.019999999997</v>
      </c>
      <c r="G298" s="876">
        <v>0.3963831030564306</v>
      </c>
      <c r="H298" s="835">
        <v>15424.86</v>
      </c>
      <c r="I298" s="882">
        <v>46833.86</v>
      </c>
      <c r="J298" s="876">
        <v>0.43230218478681881</v>
      </c>
      <c r="K298" s="835">
        <v>20246.38</v>
      </c>
      <c r="L298" s="882">
        <v>41487.54</v>
      </c>
      <c r="M298" s="876">
        <v>0.39639901522240167</v>
      </c>
      <c r="N298" s="835">
        <v>16445.62</v>
      </c>
      <c r="O298" s="882">
        <v>44515.22</v>
      </c>
      <c r="P298" s="876">
        <v>0.39469803810921295</v>
      </c>
      <c r="Q298" s="835">
        <v>17570.07</v>
      </c>
      <c r="R298" s="882">
        <v>88627.3</v>
      </c>
      <c r="S298" s="876">
        <v>0.42120430160909783</v>
      </c>
      <c r="T298" s="835">
        <v>37330.199999999997</v>
      </c>
      <c r="U298" s="882">
        <v>61541.45</v>
      </c>
      <c r="V298" s="876">
        <v>0.42360035390781337</v>
      </c>
      <c r="W298" s="835">
        <v>26068.98</v>
      </c>
      <c r="X298" s="882">
        <v>76115.62</v>
      </c>
      <c r="Y298" s="876">
        <v>0.4115030528556412</v>
      </c>
      <c r="Z298" s="835">
        <v>31321.809999999899</v>
      </c>
      <c r="AA298" s="882">
        <v>55468.07</v>
      </c>
      <c r="AB298" s="876">
        <v>0.42350400870266264</v>
      </c>
      <c r="AC298" s="835">
        <v>23490.949999999899</v>
      </c>
      <c r="AD298" s="882">
        <v>53327.55</v>
      </c>
      <c r="AE298" s="876">
        <v>0.40468444546955562</v>
      </c>
      <c r="AF298" s="835">
        <v>21580.83</v>
      </c>
      <c r="AG298" s="882">
        <v>49120.81</v>
      </c>
      <c r="AH298" s="876">
        <v>0.37696019263525993</v>
      </c>
      <c r="AI298" s="835">
        <v>18516.59</v>
      </c>
      <c r="AJ298" s="882">
        <v>71356.91</v>
      </c>
      <c r="AK298" s="876">
        <v>0.36988877461201725</v>
      </c>
      <c r="AL298" s="835">
        <v>26394.12</v>
      </c>
      <c r="AM298" s="882">
        <v>44940.84</v>
      </c>
      <c r="AN298" s="876">
        <v>0.37141517604032326</v>
      </c>
      <c r="AO298" s="835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17653.429999999989</v>
      </c>
      <c r="D299" s="876">
        <v>0.29515510583495624</v>
      </c>
      <c r="E299" s="835">
        <v>5210.4999999999882</v>
      </c>
      <c r="F299" s="882">
        <v>0</v>
      </c>
      <c r="G299" s="876">
        <v>0</v>
      </c>
      <c r="H299" s="835">
        <v>0</v>
      </c>
      <c r="I299" s="882">
        <v>408.51</v>
      </c>
      <c r="J299" s="876">
        <v>0.35820420552740451</v>
      </c>
      <c r="K299" s="835">
        <v>146.33000000000001</v>
      </c>
      <c r="L299" s="882">
        <v>1489.4099999999901</v>
      </c>
      <c r="M299" s="876">
        <v>0.38238631404381784</v>
      </c>
      <c r="N299" s="835">
        <v>569.52999999999895</v>
      </c>
      <c r="O299" s="882">
        <v>325</v>
      </c>
      <c r="P299" s="876">
        <v>0.11963076923076893</v>
      </c>
      <c r="Q299" s="835">
        <v>38.879999999999903</v>
      </c>
      <c r="R299" s="882">
        <v>0</v>
      </c>
      <c r="S299" s="876">
        <v>0</v>
      </c>
      <c r="T299" s="835">
        <v>0</v>
      </c>
      <c r="U299" s="882">
        <v>0</v>
      </c>
      <c r="V299" s="876">
        <v>0</v>
      </c>
      <c r="W299" s="835">
        <v>0</v>
      </c>
      <c r="X299" s="882">
        <v>0</v>
      </c>
      <c r="Y299" s="876">
        <v>0</v>
      </c>
      <c r="Z299" s="835">
        <v>0</v>
      </c>
      <c r="AA299" s="882">
        <v>0</v>
      </c>
      <c r="AB299" s="876">
        <v>0</v>
      </c>
      <c r="AC299" s="835">
        <v>0</v>
      </c>
      <c r="AD299" s="882">
        <v>743.28</v>
      </c>
      <c r="AE299" s="876">
        <v>0.34900710364869098</v>
      </c>
      <c r="AF299" s="835">
        <v>259.409999999999</v>
      </c>
      <c r="AG299" s="882">
        <v>0</v>
      </c>
      <c r="AH299" s="876">
        <v>0</v>
      </c>
      <c r="AI299" s="835">
        <v>0</v>
      </c>
      <c r="AJ299" s="882">
        <v>14687.23</v>
      </c>
      <c r="AK299" s="876">
        <v>0.28571418844805935</v>
      </c>
      <c r="AL299" s="835">
        <v>4196.3499999999904</v>
      </c>
      <c r="AM299" s="882">
        <v>0</v>
      </c>
      <c r="AN299" s="876">
        <v>0</v>
      </c>
      <c r="AO299" s="835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726993.26999999967</v>
      </c>
      <c r="D300" s="876">
        <v>0.28448959369321214</v>
      </c>
      <c r="E300" s="835">
        <v>206822.01999999958</v>
      </c>
      <c r="F300" s="882">
        <v>66174.19</v>
      </c>
      <c r="G300" s="876">
        <v>0.2823087067631655</v>
      </c>
      <c r="H300" s="835">
        <v>18681.55</v>
      </c>
      <c r="I300" s="882">
        <v>36649.67</v>
      </c>
      <c r="J300" s="876">
        <v>0.28675210445277954</v>
      </c>
      <c r="K300" s="835">
        <v>10509.369999999901</v>
      </c>
      <c r="L300" s="882">
        <v>132471.49</v>
      </c>
      <c r="M300" s="876">
        <v>0.28500690978866472</v>
      </c>
      <c r="N300" s="835">
        <v>37755.29</v>
      </c>
      <c r="O300" s="882">
        <v>69999.13</v>
      </c>
      <c r="P300" s="876">
        <v>0.28605684099216661</v>
      </c>
      <c r="Q300" s="835">
        <v>20023.73</v>
      </c>
      <c r="R300" s="882">
        <v>63475.66</v>
      </c>
      <c r="S300" s="876">
        <v>0.28571565856896797</v>
      </c>
      <c r="T300" s="835">
        <v>18135.9899999999</v>
      </c>
      <c r="U300" s="882">
        <v>62414.93</v>
      </c>
      <c r="V300" s="876">
        <v>0.28581046233649543</v>
      </c>
      <c r="W300" s="835">
        <v>17838.84</v>
      </c>
      <c r="X300" s="882">
        <v>53023.249999999898</v>
      </c>
      <c r="Y300" s="876">
        <v>0.28681399197521706</v>
      </c>
      <c r="Z300" s="835">
        <v>15207.809999999899</v>
      </c>
      <c r="AA300" s="882">
        <v>57968.029999999897</v>
      </c>
      <c r="AB300" s="876">
        <v>0.28389924584292286</v>
      </c>
      <c r="AC300" s="835">
        <v>16457.0799999999</v>
      </c>
      <c r="AD300" s="882">
        <v>72878.39</v>
      </c>
      <c r="AE300" s="876">
        <v>0.27810575947136046</v>
      </c>
      <c r="AF300" s="835">
        <v>20267.900000000001</v>
      </c>
      <c r="AG300" s="882">
        <v>42840.57</v>
      </c>
      <c r="AH300" s="876">
        <v>0.2865048247490638</v>
      </c>
      <c r="AI300" s="835">
        <v>12274.03</v>
      </c>
      <c r="AJ300" s="882">
        <v>36903.35</v>
      </c>
      <c r="AK300" s="876">
        <v>0.2862582936237496</v>
      </c>
      <c r="AL300" s="835">
        <v>10563.89</v>
      </c>
      <c r="AM300" s="882">
        <v>32194.61</v>
      </c>
      <c r="AN300" s="876">
        <v>0.28285914940420154</v>
      </c>
      <c r="AO300" s="835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225386.04999999978</v>
      </c>
      <c r="D301" s="876">
        <v>0.3337718106333557</v>
      </c>
      <c r="E301" s="835">
        <v>75227.509999999966</v>
      </c>
      <c r="F301" s="882">
        <v>21767.83</v>
      </c>
      <c r="G301" s="876">
        <v>0.25752544006453559</v>
      </c>
      <c r="H301" s="835">
        <v>5605.77</v>
      </c>
      <c r="I301" s="882">
        <v>12414.13</v>
      </c>
      <c r="J301" s="876">
        <v>0.26520585816323822</v>
      </c>
      <c r="K301" s="835">
        <v>3292.3</v>
      </c>
      <c r="L301" s="882">
        <v>16981.86</v>
      </c>
      <c r="M301" s="876">
        <v>0.35385052049657695</v>
      </c>
      <c r="N301" s="835">
        <v>6009.04</v>
      </c>
      <c r="O301" s="882">
        <v>17786.88</v>
      </c>
      <c r="P301" s="876">
        <v>0.36393510272740359</v>
      </c>
      <c r="Q301" s="835">
        <v>6473.27</v>
      </c>
      <c r="R301" s="882">
        <v>23423.839999999898</v>
      </c>
      <c r="S301" s="876">
        <v>0.38024380289482973</v>
      </c>
      <c r="T301" s="835">
        <v>8906.7699999999895</v>
      </c>
      <c r="U301" s="882">
        <v>8570.3700000000008</v>
      </c>
      <c r="V301" s="876">
        <v>0.36560031830597739</v>
      </c>
      <c r="W301" s="835">
        <v>3133.33</v>
      </c>
      <c r="X301" s="882">
        <v>23871.84</v>
      </c>
      <c r="Y301" s="876">
        <v>0.33546262039289804</v>
      </c>
      <c r="Z301" s="835">
        <v>8008.11</v>
      </c>
      <c r="AA301" s="882">
        <v>17670.98</v>
      </c>
      <c r="AB301" s="876">
        <v>0.36935642505395799</v>
      </c>
      <c r="AC301" s="835">
        <v>6526.8899999999903</v>
      </c>
      <c r="AD301" s="882">
        <v>19214.57</v>
      </c>
      <c r="AE301" s="876">
        <v>0.40858681719132928</v>
      </c>
      <c r="AF301" s="835">
        <v>7850.82</v>
      </c>
      <c r="AG301" s="882">
        <v>22005.629999999899</v>
      </c>
      <c r="AH301" s="876">
        <v>0.34775555164746591</v>
      </c>
      <c r="AI301" s="835">
        <v>7652.5799999999899</v>
      </c>
      <c r="AJ301" s="882">
        <v>24026.81</v>
      </c>
      <c r="AK301" s="876">
        <v>0.32265040594236188</v>
      </c>
      <c r="AL301" s="835">
        <v>7752.26</v>
      </c>
      <c r="AM301" s="882">
        <v>17651.310000000001</v>
      </c>
      <c r="AN301" s="876">
        <v>0.22753948573788571</v>
      </c>
      <c r="AO301" s="835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293950.12</v>
      </c>
      <c r="D302" s="876">
        <v>0.29235667602380966</v>
      </c>
      <c r="E302" s="835">
        <v>85938.27999999997</v>
      </c>
      <c r="F302" s="882">
        <v>17946.14</v>
      </c>
      <c r="G302" s="876">
        <v>0.32110526274730894</v>
      </c>
      <c r="H302" s="835">
        <v>5762.5999999999904</v>
      </c>
      <c r="I302" s="882">
        <v>25548.28</v>
      </c>
      <c r="J302" s="876">
        <v>0.27409751263098692</v>
      </c>
      <c r="K302" s="835">
        <v>7002.7199999999903</v>
      </c>
      <c r="L302" s="882">
        <v>23604.36</v>
      </c>
      <c r="M302" s="876">
        <v>0.2701886431150855</v>
      </c>
      <c r="N302" s="835">
        <v>6377.63</v>
      </c>
      <c r="O302" s="882">
        <v>27037.22</v>
      </c>
      <c r="P302" s="876">
        <v>0.31137298879100733</v>
      </c>
      <c r="Q302" s="835">
        <v>8418.66</v>
      </c>
      <c r="R302" s="882">
        <v>24036.82</v>
      </c>
      <c r="S302" s="876">
        <v>0.32853971532007936</v>
      </c>
      <c r="T302" s="835">
        <v>7897.0499999999902</v>
      </c>
      <c r="U302" s="882">
        <v>21255.48</v>
      </c>
      <c r="V302" s="876">
        <v>0.32480188638412305</v>
      </c>
      <c r="W302" s="835">
        <v>6903.82</v>
      </c>
      <c r="X302" s="882">
        <v>22364.1</v>
      </c>
      <c r="Y302" s="876">
        <v>0.26645829700278573</v>
      </c>
      <c r="Z302" s="835">
        <v>5959.1</v>
      </c>
      <c r="AA302" s="882">
        <v>24601.81</v>
      </c>
      <c r="AB302" s="876">
        <v>0.35174119302604151</v>
      </c>
      <c r="AC302" s="835">
        <v>8653.4699999999993</v>
      </c>
      <c r="AD302" s="882">
        <v>27724.29</v>
      </c>
      <c r="AE302" s="876">
        <v>0.27153698074865035</v>
      </c>
      <c r="AF302" s="835">
        <v>7528.17</v>
      </c>
      <c r="AG302" s="882">
        <v>33335.9</v>
      </c>
      <c r="AH302" s="876">
        <v>0.27932349209110896</v>
      </c>
      <c r="AI302" s="835">
        <v>9311.5</v>
      </c>
      <c r="AJ302" s="882">
        <v>25692</v>
      </c>
      <c r="AK302" s="876">
        <v>0.23782889615444497</v>
      </c>
      <c r="AL302" s="835">
        <v>6110.3</v>
      </c>
      <c r="AM302" s="882">
        <v>20803.72</v>
      </c>
      <c r="AN302" s="876">
        <v>0.2890473434558819</v>
      </c>
      <c r="AO302" s="835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667073.34999999986</v>
      </c>
      <c r="D303" s="876">
        <v>0.19859345302881579</v>
      </c>
      <c r="E303" s="835">
        <v>132476.39999999976</v>
      </c>
      <c r="F303" s="882">
        <v>52527.9</v>
      </c>
      <c r="G303" s="876">
        <v>0.16605042272773116</v>
      </c>
      <c r="H303" s="835">
        <v>8722.2799999999897</v>
      </c>
      <c r="I303" s="882">
        <v>61341.06</v>
      </c>
      <c r="J303" s="876">
        <v>0.20131262811565206</v>
      </c>
      <c r="K303" s="835">
        <v>12348.7299999999</v>
      </c>
      <c r="L303" s="882">
        <v>88294.62</v>
      </c>
      <c r="M303" s="876">
        <v>0.19568009919517182</v>
      </c>
      <c r="N303" s="835">
        <v>17277.5</v>
      </c>
      <c r="O303" s="882">
        <v>49642.34</v>
      </c>
      <c r="P303" s="876">
        <v>0.15955311534468342</v>
      </c>
      <c r="Q303" s="835">
        <v>7920.5899999999901</v>
      </c>
      <c r="R303" s="882">
        <v>81331.16</v>
      </c>
      <c r="S303" s="876">
        <v>0.22784207184552635</v>
      </c>
      <c r="T303" s="835">
        <v>18530.66</v>
      </c>
      <c r="U303" s="882">
        <v>55559.15</v>
      </c>
      <c r="V303" s="876">
        <v>0.22080431396088673</v>
      </c>
      <c r="W303" s="835">
        <v>12267.7</v>
      </c>
      <c r="X303" s="882">
        <v>34714.29</v>
      </c>
      <c r="Y303" s="876">
        <v>0.16534084378508099</v>
      </c>
      <c r="Z303" s="835">
        <v>5739.69</v>
      </c>
      <c r="AA303" s="882">
        <v>41522.28</v>
      </c>
      <c r="AB303" s="876">
        <v>0.25325752824748304</v>
      </c>
      <c r="AC303" s="835">
        <v>10515.8299999999</v>
      </c>
      <c r="AD303" s="882">
        <v>27974.240000000002</v>
      </c>
      <c r="AE303" s="876">
        <v>0.16521163756370147</v>
      </c>
      <c r="AF303" s="835">
        <v>4621.67</v>
      </c>
      <c r="AG303" s="882">
        <v>54553.36</v>
      </c>
      <c r="AH303" s="876">
        <v>0.20869951914969123</v>
      </c>
      <c r="AI303" s="835">
        <v>11385.26</v>
      </c>
      <c r="AJ303" s="882">
        <v>73039.990000000005</v>
      </c>
      <c r="AK303" s="876">
        <v>0.21180944849526948</v>
      </c>
      <c r="AL303" s="835">
        <v>15470.56</v>
      </c>
      <c r="AM303" s="882">
        <v>46572.959999999999</v>
      </c>
      <c r="AN303" s="876">
        <v>0.16481516313328592</v>
      </c>
      <c r="AO303" s="835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64545.86</v>
      </c>
      <c r="F305" s="882">
        <v>0</v>
      </c>
      <c r="G305" s="876">
        <v>0</v>
      </c>
      <c r="H305" s="835">
        <v>665.22</v>
      </c>
      <c r="I305" s="882">
        <v>0</v>
      </c>
      <c r="J305" s="876">
        <v>0</v>
      </c>
      <c r="K305" s="835">
        <v>5955.37</v>
      </c>
      <c r="L305" s="882">
        <v>0</v>
      </c>
      <c r="M305" s="876">
        <v>0</v>
      </c>
      <c r="N305" s="835">
        <v>10339.23</v>
      </c>
      <c r="O305" s="882">
        <v>0</v>
      </c>
      <c r="P305" s="876">
        <v>0</v>
      </c>
      <c r="Q305" s="835">
        <v>9062.1</v>
      </c>
      <c r="R305" s="882">
        <v>0</v>
      </c>
      <c r="S305" s="876">
        <v>0</v>
      </c>
      <c r="T305" s="835">
        <v>4693.1099999999997</v>
      </c>
      <c r="U305" s="882">
        <v>0</v>
      </c>
      <c r="V305" s="876">
        <v>0</v>
      </c>
      <c r="W305" s="835">
        <v>6506.23</v>
      </c>
      <c r="X305" s="882">
        <v>0</v>
      </c>
      <c r="Y305" s="876">
        <v>0</v>
      </c>
      <c r="Z305" s="835">
        <v>3489.82</v>
      </c>
      <c r="AA305" s="882">
        <v>0</v>
      </c>
      <c r="AB305" s="876">
        <v>0</v>
      </c>
      <c r="AC305" s="835">
        <v>1115.68</v>
      </c>
      <c r="AD305" s="882">
        <v>0</v>
      </c>
      <c r="AE305" s="876">
        <v>0</v>
      </c>
      <c r="AF305" s="835">
        <v>6195.4</v>
      </c>
      <c r="AG305" s="882">
        <v>0</v>
      </c>
      <c r="AH305" s="876">
        <v>0</v>
      </c>
      <c r="AI305" s="835">
        <v>12810.07</v>
      </c>
      <c r="AJ305" s="882">
        <v>0</v>
      </c>
      <c r="AK305" s="876">
        <v>0</v>
      </c>
      <c r="AL305" s="835">
        <v>3151.76</v>
      </c>
      <c r="AM305" s="882">
        <v>0</v>
      </c>
      <c r="AN305" s="876">
        <v>0</v>
      </c>
      <c r="AO305" s="835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20772.07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2603305.4099999992</v>
      </c>
      <c r="D307" s="915">
        <v>0.33114622536738753</v>
      </c>
      <c r="E307" s="916">
        <v>862074.75999999896</v>
      </c>
      <c r="F307" s="914">
        <v>197330.08</v>
      </c>
      <c r="G307" s="915">
        <v>0.27802289443150274</v>
      </c>
      <c r="H307" s="916">
        <v>54862.279999999992</v>
      </c>
      <c r="I307" s="914">
        <v>183195.51</v>
      </c>
      <c r="J307" s="915">
        <v>0.32479616994979732</v>
      </c>
      <c r="K307" s="916">
        <v>59501.199999999793</v>
      </c>
      <c r="L307" s="914">
        <v>304329.27999999997</v>
      </c>
      <c r="M307" s="915">
        <v>0.31141873696806305</v>
      </c>
      <c r="N307" s="916">
        <v>94773.84</v>
      </c>
      <c r="O307" s="914">
        <v>209305.79</v>
      </c>
      <c r="P307" s="915">
        <v>0.3320849365896662</v>
      </c>
      <c r="Q307" s="916">
        <v>69507.299999999988</v>
      </c>
      <c r="R307" s="914">
        <v>280894.77999999991</v>
      </c>
      <c r="S307" s="915">
        <v>0.33996281454571675</v>
      </c>
      <c r="T307" s="916">
        <v>95493.779999999882</v>
      </c>
      <c r="U307" s="914">
        <v>209341.38</v>
      </c>
      <c r="V307" s="915">
        <v>0.34736992753176649</v>
      </c>
      <c r="W307" s="916">
        <v>72718.899999999994</v>
      </c>
      <c r="X307" s="914">
        <v>210089.09999999992</v>
      </c>
      <c r="Y307" s="915">
        <v>0.33188937455584244</v>
      </c>
      <c r="Z307" s="916">
        <v>69726.339999999807</v>
      </c>
      <c r="AA307" s="914">
        <v>197231.1699999999</v>
      </c>
      <c r="AB307" s="915">
        <v>0.33848554465300645</v>
      </c>
      <c r="AC307" s="916">
        <v>66759.899999999674</v>
      </c>
      <c r="AD307" s="914">
        <v>201862.32</v>
      </c>
      <c r="AE307" s="915">
        <v>0.33837023175003633</v>
      </c>
      <c r="AF307" s="916">
        <v>68304.2</v>
      </c>
      <c r="AG307" s="914">
        <v>201856.2699999999</v>
      </c>
      <c r="AH307" s="915">
        <v>0.35644188808204985</v>
      </c>
      <c r="AI307" s="916">
        <v>71950.03</v>
      </c>
      <c r="AJ307" s="914">
        <v>245706.28999999998</v>
      </c>
      <c r="AK307" s="915">
        <v>0.29970433398347268</v>
      </c>
      <c r="AL307" s="916">
        <v>73639.239999999991</v>
      </c>
      <c r="AM307" s="914">
        <v>162163.44</v>
      </c>
      <c r="AN307" s="915">
        <v>0.39982964100909552</v>
      </c>
      <c r="AO307" s="916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754476.52000000014</v>
      </c>
      <c r="D310" s="876">
        <v>0.25533198833013326</v>
      </c>
      <c r="E310" s="835">
        <v>192641.98999999958</v>
      </c>
      <c r="F310" s="882">
        <v>38398.22</v>
      </c>
      <c r="G310" s="876">
        <v>0.25453341326759416</v>
      </c>
      <c r="H310" s="835">
        <v>9773.6299999999992</v>
      </c>
      <c r="I310" s="882">
        <v>23945.73</v>
      </c>
      <c r="J310" s="876">
        <v>0.2827660714457233</v>
      </c>
      <c r="K310" s="835">
        <v>6771.04</v>
      </c>
      <c r="L310" s="882">
        <v>47123.64</v>
      </c>
      <c r="M310" s="876">
        <v>0.29874347567377857</v>
      </c>
      <c r="N310" s="835">
        <v>14077.879999999899</v>
      </c>
      <c r="O310" s="882">
        <v>84600.62</v>
      </c>
      <c r="P310" s="876">
        <v>0.2450759817126624</v>
      </c>
      <c r="Q310" s="835">
        <v>20733.5799999999</v>
      </c>
      <c r="R310" s="882">
        <v>76330.100000000006</v>
      </c>
      <c r="S310" s="876">
        <v>0.2360539289218801</v>
      </c>
      <c r="T310" s="835">
        <v>18018.02</v>
      </c>
      <c r="U310" s="882">
        <v>31575.05</v>
      </c>
      <c r="V310" s="876">
        <v>0.23917048429060286</v>
      </c>
      <c r="W310" s="835">
        <v>7551.82</v>
      </c>
      <c r="X310" s="882">
        <v>38272.51</v>
      </c>
      <c r="Y310" s="876">
        <v>0.26309850072545543</v>
      </c>
      <c r="Z310" s="835">
        <v>10069.44</v>
      </c>
      <c r="AA310" s="882">
        <v>35587.9</v>
      </c>
      <c r="AB310" s="876">
        <v>0.2597635713262092</v>
      </c>
      <c r="AC310" s="835">
        <v>9244.44</v>
      </c>
      <c r="AD310" s="882">
        <v>65248.9</v>
      </c>
      <c r="AE310" s="876">
        <v>0.25658562826346498</v>
      </c>
      <c r="AF310" s="835">
        <v>16741.93</v>
      </c>
      <c r="AG310" s="882">
        <v>131251.53</v>
      </c>
      <c r="AH310" s="876">
        <v>0.25375315624892142</v>
      </c>
      <c r="AI310" s="835">
        <v>33305.49</v>
      </c>
      <c r="AJ310" s="882">
        <v>130004.68</v>
      </c>
      <c r="AK310" s="876">
        <v>0.25598024624959581</v>
      </c>
      <c r="AL310" s="835">
        <v>33278.629999999903</v>
      </c>
      <c r="AM310" s="882">
        <v>52137.64</v>
      </c>
      <c r="AN310" s="876">
        <v>0.25079942245180065</v>
      </c>
      <c r="AO310" s="835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130784.67999999976</v>
      </c>
      <c r="D311" s="876">
        <v>0.34176197089750898</v>
      </c>
      <c r="E311" s="835">
        <v>44697.229999999945</v>
      </c>
      <c r="F311" s="882">
        <v>7264.5499999999902</v>
      </c>
      <c r="G311" s="876">
        <v>0.34592369795789052</v>
      </c>
      <c r="H311" s="835">
        <v>2512.97999999999</v>
      </c>
      <c r="I311" s="882">
        <v>9560.5499999999993</v>
      </c>
      <c r="J311" s="876">
        <v>0.33733414918597676</v>
      </c>
      <c r="K311" s="835">
        <v>3225.0999999999899</v>
      </c>
      <c r="L311" s="882">
        <v>8167.4</v>
      </c>
      <c r="M311" s="876">
        <v>0.35882655435022159</v>
      </c>
      <c r="N311" s="835">
        <v>2930.68</v>
      </c>
      <c r="O311" s="882">
        <v>8751.92</v>
      </c>
      <c r="P311" s="876">
        <v>0.34221176610389492</v>
      </c>
      <c r="Q311" s="835">
        <v>2995.01</v>
      </c>
      <c r="R311" s="882">
        <v>14140.67</v>
      </c>
      <c r="S311" s="876">
        <v>0.35050814423927579</v>
      </c>
      <c r="T311" s="835">
        <v>4956.42</v>
      </c>
      <c r="U311" s="882">
        <v>12250.72</v>
      </c>
      <c r="V311" s="876">
        <v>0.34787016599840664</v>
      </c>
      <c r="W311" s="835">
        <v>4261.66</v>
      </c>
      <c r="X311" s="882">
        <v>13148.4399999999</v>
      </c>
      <c r="Y311" s="876">
        <v>0.35047655843583159</v>
      </c>
      <c r="Z311" s="835">
        <v>4608.2199999999903</v>
      </c>
      <c r="AA311" s="882">
        <v>11767.43</v>
      </c>
      <c r="AB311" s="876">
        <v>0.32692185124534329</v>
      </c>
      <c r="AC311" s="835">
        <v>3847.0299999999902</v>
      </c>
      <c r="AD311" s="882">
        <v>13635.05</v>
      </c>
      <c r="AE311" s="876">
        <v>0.32954774643290635</v>
      </c>
      <c r="AF311" s="835">
        <v>4493.3999999999996</v>
      </c>
      <c r="AG311" s="882">
        <v>12124.29</v>
      </c>
      <c r="AH311" s="876">
        <v>0.33390078924209166</v>
      </c>
      <c r="AI311" s="835">
        <v>4048.31</v>
      </c>
      <c r="AJ311" s="882">
        <v>12176.529999999901</v>
      </c>
      <c r="AK311" s="876">
        <v>0.34376378163565685</v>
      </c>
      <c r="AL311" s="835">
        <v>4185.8499999999904</v>
      </c>
      <c r="AM311" s="882">
        <v>7797.1299999999901</v>
      </c>
      <c r="AN311" s="876">
        <v>0.33763320606428182</v>
      </c>
      <c r="AO311" s="835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3488566.6099999989</v>
      </c>
      <c r="D312" s="915">
        <v>0.31514776781057335</v>
      </c>
      <c r="E312" s="916">
        <v>1099413.9799999986</v>
      </c>
      <c r="F312" s="914">
        <v>242992.84999999998</v>
      </c>
      <c r="G312" s="915">
        <v>0.27634101167997327</v>
      </c>
      <c r="H312" s="916">
        <v>67148.889999999985</v>
      </c>
      <c r="I312" s="914">
        <v>216701.79</v>
      </c>
      <c r="J312" s="915">
        <v>0.32070496510434815</v>
      </c>
      <c r="K312" s="916">
        <v>69497.339999999778</v>
      </c>
      <c r="L312" s="914">
        <v>359620.32</v>
      </c>
      <c r="M312" s="915">
        <v>0.31083449344575381</v>
      </c>
      <c r="N312" s="916">
        <v>111782.39999999989</v>
      </c>
      <c r="O312" s="914">
        <v>302658.33</v>
      </c>
      <c r="P312" s="915">
        <v>0.30805657984037604</v>
      </c>
      <c r="Q312" s="916">
        <v>93235.889999999883</v>
      </c>
      <c r="R312" s="914">
        <v>371365.54999999987</v>
      </c>
      <c r="S312" s="915">
        <v>0.31900702690381466</v>
      </c>
      <c r="T312" s="916">
        <v>118468.21999999988</v>
      </c>
      <c r="U312" s="914">
        <v>253167.15</v>
      </c>
      <c r="V312" s="915">
        <v>0.33389948103456552</v>
      </c>
      <c r="W312" s="916">
        <v>84532.38</v>
      </c>
      <c r="X312" s="914">
        <v>261510.04999999981</v>
      </c>
      <c r="Y312" s="915">
        <v>0.32275623824017419</v>
      </c>
      <c r="Z312" s="916">
        <v>84403.999999999796</v>
      </c>
      <c r="AA312" s="914">
        <v>244586.49999999988</v>
      </c>
      <c r="AB312" s="915">
        <v>0.3264749689782539</v>
      </c>
      <c r="AC312" s="916">
        <v>79851.369999999661</v>
      </c>
      <c r="AD312" s="914">
        <v>280746.27</v>
      </c>
      <c r="AE312" s="915">
        <v>0.31893399687910368</v>
      </c>
      <c r="AF312" s="916">
        <v>89539.53</v>
      </c>
      <c r="AG312" s="914">
        <v>345232.08999999991</v>
      </c>
      <c r="AH312" s="915">
        <v>0.31660970450342557</v>
      </c>
      <c r="AI312" s="916">
        <v>109303.82999999999</v>
      </c>
      <c r="AJ312" s="914">
        <v>387887.49999999988</v>
      </c>
      <c r="AK312" s="915">
        <v>0.28643284457477985</v>
      </c>
      <c r="AL312" s="916">
        <v>111103.71999999988</v>
      </c>
      <c r="AM312" s="914">
        <v>222098.21000000002</v>
      </c>
      <c r="AN312" s="915">
        <v>0.36266122991265837</v>
      </c>
      <c r="AO312" s="916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3488566.6099999989</v>
      </c>
      <c r="D317" s="921">
        <v>0.31514776781057335</v>
      </c>
      <c r="E317" s="825">
        <v>1099413.9799999986</v>
      </c>
      <c r="F317" s="823">
        <v>242992.84999999998</v>
      </c>
      <c r="G317" s="921">
        <v>0.27634101167997327</v>
      </c>
      <c r="H317" s="825">
        <v>67148.889999999985</v>
      </c>
      <c r="I317" s="823">
        <v>216701.79</v>
      </c>
      <c r="J317" s="921">
        <v>0.32070496510434815</v>
      </c>
      <c r="K317" s="825">
        <v>69497.339999999778</v>
      </c>
      <c r="L317" s="823">
        <v>359620.32</v>
      </c>
      <c r="M317" s="921">
        <v>0.31083449344575381</v>
      </c>
      <c r="N317" s="825">
        <v>111782.39999999989</v>
      </c>
      <c r="O317" s="823">
        <v>302658.33</v>
      </c>
      <c r="P317" s="921">
        <v>0.30805657984037604</v>
      </c>
      <c r="Q317" s="825">
        <v>93235.889999999883</v>
      </c>
      <c r="R317" s="823">
        <v>371365.54999999987</v>
      </c>
      <c r="S317" s="921">
        <v>0.31900702690381466</v>
      </c>
      <c r="T317" s="825">
        <v>118468.21999999988</v>
      </c>
      <c r="U317" s="823">
        <v>253167.15</v>
      </c>
      <c r="V317" s="921">
        <v>0.33389948103456552</v>
      </c>
      <c r="W317" s="825">
        <v>84532.38</v>
      </c>
      <c r="X317" s="823">
        <v>261510.04999999981</v>
      </c>
      <c r="Y317" s="921">
        <v>0.32275623824017419</v>
      </c>
      <c r="Z317" s="825">
        <v>84403.999999999796</v>
      </c>
      <c r="AA317" s="823">
        <v>244586.49999999988</v>
      </c>
      <c r="AB317" s="921">
        <v>0.3264749689782539</v>
      </c>
      <c r="AC317" s="825">
        <v>79851.369999999661</v>
      </c>
      <c r="AD317" s="823">
        <v>280746.27</v>
      </c>
      <c r="AE317" s="921">
        <v>0.31893399687910368</v>
      </c>
      <c r="AF317" s="825">
        <v>89539.53</v>
      </c>
      <c r="AG317" s="823">
        <v>345232.08999999991</v>
      </c>
      <c r="AH317" s="921">
        <v>0.31660970450342557</v>
      </c>
      <c r="AI317" s="825">
        <v>109303.82999999999</v>
      </c>
      <c r="AJ317" s="823">
        <v>387887.49999999988</v>
      </c>
      <c r="AK317" s="921">
        <v>0.28643284457477985</v>
      </c>
      <c r="AL317" s="825">
        <v>111103.71999999988</v>
      </c>
      <c r="AM317" s="823">
        <v>222098.21000000002</v>
      </c>
      <c r="AN317" s="921">
        <v>0.36266122991265837</v>
      </c>
      <c r="AO317" s="825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45206.54</v>
      </c>
      <c r="F321" s="813"/>
      <c r="G321" s="821"/>
      <c r="H321" s="835">
        <v>4424.55</v>
      </c>
      <c r="I321" s="813"/>
      <c r="J321" s="821"/>
      <c r="K321" s="835">
        <v>4355.9799999999996</v>
      </c>
      <c r="L321" s="813"/>
      <c r="M321" s="821"/>
      <c r="N321" s="835">
        <v>4245.91</v>
      </c>
      <c r="O321" s="813"/>
      <c r="P321" s="821"/>
      <c r="Q321" s="835">
        <v>3666.38</v>
      </c>
      <c r="R321" s="813"/>
      <c r="S321" s="821"/>
      <c r="T321" s="835">
        <v>4025.96</v>
      </c>
      <c r="U321" s="813"/>
      <c r="V321" s="821"/>
      <c r="W321" s="835">
        <v>2526.5100000000002</v>
      </c>
      <c r="X321" s="813"/>
      <c r="Y321" s="821"/>
      <c r="Z321" s="835">
        <v>3237.25</v>
      </c>
      <c r="AA321" s="813"/>
      <c r="AB321" s="821"/>
      <c r="AC321" s="835">
        <v>4268.37</v>
      </c>
      <c r="AD321" s="813"/>
      <c r="AE321" s="821"/>
      <c r="AF321" s="835">
        <v>3667.15</v>
      </c>
      <c r="AG321" s="813"/>
      <c r="AH321" s="821"/>
      <c r="AI321" s="835">
        <v>3611.47</v>
      </c>
      <c r="AJ321" s="813"/>
      <c r="AK321" s="821"/>
      <c r="AL321" s="835">
        <v>3689.26</v>
      </c>
      <c r="AM321" s="813"/>
      <c r="AN321" s="821"/>
      <c r="AO321" s="835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31824.269999999997</v>
      </c>
      <c r="F322" s="813"/>
      <c r="G322" s="821"/>
      <c r="H322" s="835">
        <v>2772.3</v>
      </c>
      <c r="I322" s="813"/>
      <c r="J322" s="821"/>
      <c r="K322" s="835">
        <v>2718.74</v>
      </c>
      <c r="L322" s="813"/>
      <c r="M322" s="821"/>
      <c r="N322" s="835">
        <v>2852.31</v>
      </c>
      <c r="O322" s="813"/>
      <c r="P322" s="821"/>
      <c r="Q322" s="835">
        <v>2420.58</v>
      </c>
      <c r="R322" s="813"/>
      <c r="S322" s="821"/>
      <c r="T322" s="835">
        <v>2982.45</v>
      </c>
      <c r="U322" s="813"/>
      <c r="V322" s="821"/>
      <c r="W322" s="835">
        <v>2900.5</v>
      </c>
      <c r="X322" s="813"/>
      <c r="Y322" s="821"/>
      <c r="Z322" s="835">
        <v>2464.84</v>
      </c>
      <c r="AA322" s="813"/>
      <c r="AB322" s="821"/>
      <c r="AC322" s="835">
        <v>2773</v>
      </c>
      <c r="AD322" s="813"/>
      <c r="AE322" s="821"/>
      <c r="AF322" s="835">
        <v>2352.41</v>
      </c>
      <c r="AG322" s="813"/>
      <c r="AH322" s="821"/>
      <c r="AI322" s="835">
        <v>2719.26</v>
      </c>
      <c r="AJ322" s="813"/>
      <c r="AK322" s="821"/>
      <c r="AL322" s="835">
        <v>2803.85</v>
      </c>
      <c r="AM322" s="813"/>
      <c r="AN322" s="821"/>
      <c r="AO322" s="835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157732.62</v>
      </c>
      <c r="F323" s="843"/>
      <c r="G323" s="844"/>
      <c r="H323" s="845">
        <v>14105.28</v>
      </c>
      <c r="I323" s="843"/>
      <c r="J323" s="844"/>
      <c r="K323" s="845">
        <v>12300.63</v>
      </c>
      <c r="L323" s="843"/>
      <c r="M323" s="844"/>
      <c r="N323" s="845">
        <v>13005.84</v>
      </c>
      <c r="O323" s="843"/>
      <c r="P323" s="844"/>
      <c r="Q323" s="845">
        <v>11542.53</v>
      </c>
      <c r="R323" s="843"/>
      <c r="S323" s="844"/>
      <c r="T323" s="845">
        <v>14079.07</v>
      </c>
      <c r="U323" s="843"/>
      <c r="V323" s="844"/>
      <c r="W323" s="845">
        <v>13262.32</v>
      </c>
      <c r="X323" s="843"/>
      <c r="Y323" s="844"/>
      <c r="Z323" s="845">
        <v>11051.83</v>
      </c>
      <c r="AA323" s="843"/>
      <c r="AB323" s="844"/>
      <c r="AC323" s="845">
        <v>13736.63</v>
      </c>
      <c r="AD323" s="843"/>
      <c r="AE323" s="844"/>
      <c r="AF323" s="845">
        <v>12409.03</v>
      </c>
      <c r="AG323" s="843"/>
      <c r="AH323" s="844"/>
      <c r="AI323" s="845">
        <v>14418.85</v>
      </c>
      <c r="AJ323" s="843"/>
      <c r="AK323" s="844"/>
      <c r="AL323" s="845">
        <v>14447.65</v>
      </c>
      <c r="AM323" s="843"/>
      <c r="AN323" s="844"/>
      <c r="AO323" s="845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23066.42</v>
      </c>
      <c r="F328" s="813"/>
      <c r="G328" s="821"/>
      <c r="H328" s="835">
        <v>1534.46</v>
      </c>
      <c r="I328" s="813"/>
      <c r="J328" s="821"/>
      <c r="K328" s="835">
        <v>2696.57</v>
      </c>
      <c r="L328" s="813"/>
      <c r="M328" s="821"/>
      <c r="N328" s="835">
        <v>1686.67</v>
      </c>
      <c r="O328" s="813"/>
      <c r="P328" s="821"/>
      <c r="Q328" s="835">
        <v>1487.15</v>
      </c>
      <c r="R328" s="813"/>
      <c r="S328" s="821"/>
      <c r="T328" s="835">
        <v>3881.96</v>
      </c>
      <c r="U328" s="813"/>
      <c r="V328" s="821"/>
      <c r="W328" s="835">
        <v>1623.67</v>
      </c>
      <c r="X328" s="813"/>
      <c r="Y328" s="821"/>
      <c r="Z328" s="835">
        <v>1319.34</v>
      </c>
      <c r="AA328" s="813"/>
      <c r="AB328" s="821"/>
      <c r="AC328" s="835">
        <v>1636.88</v>
      </c>
      <c r="AD328" s="813"/>
      <c r="AE328" s="821"/>
      <c r="AF328" s="835">
        <v>1649.62</v>
      </c>
      <c r="AG328" s="813"/>
      <c r="AH328" s="821"/>
      <c r="AI328" s="835">
        <v>1591.75</v>
      </c>
      <c r="AJ328" s="813"/>
      <c r="AK328" s="821"/>
      <c r="AL328" s="835">
        <v>1685.09</v>
      </c>
      <c r="AM328" s="813"/>
      <c r="AN328" s="821"/>
      <c r="AO328" s="835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38857.71</v>
      </c>
      <c r="F329" s="843"/>
      <c r="G329" s="844"/>
      <c r="H329" s="845">
        <v>4097.79</v>
      </c>
      <c r="I329" s="843"/>
      <c r="J329" s="844"/>
      <c r="K329" s="845">
        <v>3197.58</v>
      </c>
      <c r="L329" s="843"/>
      <c r="M329" s="844"/>
      <c r="N329" s="845">
        <v>3533.86</v>
      </c>
      <c r="O329" s="843"/>
      <c r="P329" s="844"/>
      <c r="Q329" s="845">
        <v>3478.12</v>
      </c>
      <c r="R329" s="843"/>
      <c r="S329" s="844"/>
      <c r="T329" s="845">
        <v>3590.8</v>
      </c>
      <c r="U329" s="843"/>
      <c r="V329" s="844"/>
      <c r="W329" s="845">
        <v>3326.84</v>
      </c>
      <c r="X329" s="843"/>
      <c r="Y329" s="844"/>
      <c r="Z329" s="845">
        <v>3278.52</v>
      </c>
      <c r="AA329" s="843"/>
      <c r="AB329" s="844"/>
      <c r="AC329" s="845">
        <v>3526.37</v>
      </c>
      <c r="AD329" s="843"/>
      <c r="AE329" s="844"/>
      <c r="AF329" s="845">
        <v>2663.83</v>
      </c>
      <c r="AG329" s="843"/>
      <c r="AH329" s="844"/>
      <c r="AI329" s="845">
        <v>2769.86</v>
      </c>
      <c r="AJ329" s="843"/>
      <c r="AK329" s="844"/>
      <c r="AL329" s="845">
        <v>2759.36</v>
      </c>
      <c r="AM329" s="843"/>
      <c r="AN329" s="844"/>
      <c r="AO329" s="845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19919.75</v>
      </c>
      <c r="F330" s="813"/>
      <c r="G330" s="821"/>
      <c r="H330" s="835">
        <v>1426.42</v>
      </c>
      <c r="I330" s="813"/>
      <c r="J330" s="821"/>
      <c r="K330" s="835">
        <v>1546.41</v>
      </c>
      <c r="L330" s="813"/>
      <c r="M330" s="821"/>
      <c r="N330" s="835">
        <v>1785.82</v>
      </c>
      <c r="O330" s="813"/>
      <c r="P330" s="821"/>
      <c r="Q330" s="835">
        <v>1688.88</v>
      </c>
      <c r="R330" s="813"/>
      <c r="S330" s="821"/>
      <c r="T330" s="835">
        <v>1826.35</v>
      </c>
      <c r="U330" s="813"/>
      <c r="V330" s="821"/>
      <c r="W330" s="835">
        <v>1731.01</v>
      </c>
      <c r="X330" s="813"/>
      <c r="Y330" s="821"/>
      <c r="Z330" s="835">
        <v>1641.27</v>
      </c>
      <c r="AA330" s="813"/>
      <c r="AB330" s="821"/>
      <c r="AC330" s="835">
        <v>1870.35</v>
      </c>
      <c r="AD330" s="813"/>
      <c r="AE330" s="821"/>
      <c r="AF330" s="835">
        <v>1596.5</v>
      </c>
      <c r="AG330" s="813"/>
      <c r="AH330" s="821"/>
      <c r="AI330" s="835">
        <v>1668.02</v>
      </c>
      <c r="AJ330" s="813"/>
      <c r="AK330" s="821"/>
      <c r="AL330" s="835">
        <v>1684.3</v>
      </c>
      <c r="AM330" s="813"/>
      <c r="AN330" s="821"/>
      <c r="AO330" s="835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3257.09</v>
      </c>
      <c r="F331" s="813"/>
      <c r="G331" s="821"/>
      <c r="H331" s="835">
        <v>344.65</v>
      </c>
      <c r="I331" s="813"/>
      <c r="J331" s="821"/>
      <c r="K331" s="835">
        <v>458.33</v>
      </c>
      <c r="L331" s="813"/>
      <c r="M331" s="821"/>
      <c r="N331" s="835">
        <v>262.39999999999998</v>
      </c>
      <c r="O331" s="813"/>
      <c r="P331" s="821"/>
      <c r="Q331" s="835">
        <v>257.39</v>
      </c>
      <c r="R331" s="813"/>
      <c r="S331" s="821"/>
      <c r="T331" s="835">
        <v>271.72000000000003</v>
      </c>
      <c r="U331" s="813"/>
      <c r="V331" s="821"/>
      <c r="W331" s="835">
        <v>238.69</v>
      </c>
      <c r="X331" s="813"/>
      <c r="Y331" s="821"/>
      <c r="Z331" s="835">
        <v>229.57</v>
      </c>
      <c r="AA331" s="813"/>
      <c r="AB331" s="821"/>
      <c r="AC331" s="835">
        <v>286.36</v>
      </c>
      <c r="AD331" s="813"/>
      <c r="AE331" s="821"/>
      <c r="AF331" s="835">
        <v>247.13</v>
      </c>
      <c r="AG331" s="813"/>
      <c r="AH331" s="821"/>
      <c r="AI331" s="835">
        <v>253.95</v>
      </c>
      <c r="AJ331" s="813"/>
      <c r="AK331" s="821"/>
      <c r="AL331" s="835">
        <v>247.99</v>
      </c>
      <c r="AM331" s="813"/>
      <c r="AN331" s="821"/>
      <c r="AO331" s="835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/>
      <c r="I332" s="839"/>
      <c r="J332" s="846"/>
      <c r="K332" s="847"/>
      <c r="L332" s="839"/>
      <c r="M332" s="846"/>
      <c r="N332" s="847"/>
      <c r="O332" s="839"/>
      <c r="P332" s="846"/>
      <c r="Q332" s="847"/>
      <c r="R332" s="839"/>
      <c r="S332" s="846"/>
      <c r="T332" s="847"/>
      <c r="U332" s="839"/>
      <c r="V332" s="846"/>
      <c r="W332" s="847"/>
      <c r="X332" s="839"/>
      <c r="Y332" s="846"/>
      <c r="Z332" s="847"/>
      <c r="AA332" s="839"/>
      <c r="AB332" s="846"/>
      <c r="AC332" s="847"/>
      <c r="AD332" s="839"/>
      <c r="AE332" s="846"/>
      <c r="AF332" s="847"/>
      <c r="AG332" s="839"/>
      <c r="AH332" s="846"/>
      <c r="AI332" s="847"/>
      <c r="AJ332" s="839"/>
      <c r="AK332" s="846"/>
      <c r="AL332" s="847"/>
      <c r="AM332" s="839"/>
      <c r="AN332" s="846"/>
      <c r="AO332" s="847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0.29094081557885998</v>
      </c>
      <c r="E333" s="842">
        <v>319864.40000000002</v>
      </c>
      <c r="F333" s="840" t="s">
        <v>108</v>
      </c>
      <c r="G333" s="841">
        <v>0.42748956833091373</v>
      </c>
      <c r="H333" s="842">
        <v>28705.450000000004</v>
      </c>
      <c r="I333" s="840" t="s">
        <v>108</v>
      </c>
      <c r="J333" s="841">
        <v>0.39245012830707027</v>
      </c>
      <c r="K333" s="842">
        <v>27274.240000000002</v>
      </c>
      <c r="L333" s="840" t="s">
        <v>108</v>
      </c>
      <c r="M333" s="841">
        <v>0.24487584807626267</v>
      </c>
      <c r="N333" s="842">
        <v>27372.809999999998</v>
      </c>
      <c r="O333" s="840" t="s">
        <v>108</v>
      </c>
      <c r="P333" s="841">
        <v>0.26321441238990728</v>
      </c>
      <c r="Q333" s="842">
        <v>24541.030000000002</v>
      </c>
      <c r="R333" s="840" t="s">
        <v>108</v>
      </c>
      <c r="S333" s="841">
        <v>0.25878931919463322</v>
      </c>
      <c r="T333" s="842">
        <v>30658.309999999998</v>
      </c>
      <c r="U333" s="840" t="s">
        <v>108</v>
      </c>
      <c r="V333" s="841">
        <v>0.30295538821928347</v>
      </c>
      <c r="W333" s="842">
        <v>25609.539999999997</v>
      </c>
      <c r="X333" s="840" t="s">
        <v>108</v>
      </c>
      <c r="Y333" s="841">
        <v>0.27513648642244509</v>
      </c>
      <c r="Z333" s="842">
        <v>23222.62</v>
      </c>
      <c r="AA333" s="840" t="s">
        <v>108</v>
      </c>
      <c r="AB333" s="841">
        <v>0.35187824579590954</v>
      </c>
      <c r="AC333" s="842">
        <v>28097.96</v>
      </c>
      <c r="AD333" s="840" t="s">
        <v>108</v>
      </c>
      <c r="AE333" s="841">
        <v>0.27457894853814846</v>
      </c>
      <c r="AF333" s="842">
        <v>24585.670000000002</v>
      </c>
      <c r="AG333" s="840" t="s">
        <v>108</v>
      </c>
      <c r="AH333" s="841">
        <v>0.24732125123154428</v>
      </c>
      <c r="AI333" s="842">
        <v>27033.160000000003</v>
      </c>
      <c r="AJ333" s="840" t="s">
        <v>108</v>
      </c>
      <c r="AK333" s="841">
        <v>0.24587385552887006</v>
      </c>
      <c r="AL333" s="842">
        <v>27317.500000000004</v>
      </c>
      <c r="AM333" s="840" t="s">
        <v>108</v>
      </c>
      <c r="AN333" s="841">
        <v>0.31591861139435057</v>
      </c>
      <c r="AO333" s="842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32772.230000000003</v>
      </c>
      <c r="F334" s="813"/>
      <c r="G334" s="821"/>
      <c r="H334" s="835">
        <v>1968.35</v>
      </c>
      <c r="I334" s="813"/>
      <c r="J334" s="821"/>
      <c r="K334" s="835">
        <v>1890.13</v>
      </c>
      <c r="L334" s="813"/>
      <c r="M334" s="821"/>
      <c r="N334" s="835">
        <v>2811.69</v>
      </c>
      <c r="O334" s="813"/>
      <c r="P334" s="821"/>
      <c r="Q334" s="835">
        <v>3626.56</v>
      </c>
      <c r="R334" s="813"/>
      <c r="S334" s="821"/>
      <c r="T334" s="835">
        <v>3270.87</v>
      </c>
      <c r="U334" s="813"/>
      <c r="V334" s="821"/>
      <c r="W334" s="835">
        <v>2056.84</v>
      </c>
      <c r="X334" s="813"/>
      <c r="Y334" s="821"/>
      <c r="Z334" s="835">
        <v>1890.52</v>
      </c>
      <c r="AA334" s="813"/>
      <c r="AB334" s="821"/>
      <c r="AC334" s="835">
        <v>2806.54</v>
      </c>
      <c r="AD334" s="813"/>
      <c r="AE334" s="821"/>
      <c r="AF334" s="835">
        <v>2144.66</v>
      </c>
      <c r="AG334" s="813"/>
      <c r="AH334" s="821"/>
      <c r="AI334" s="835">
        <v>4097.5200000000004</v>
      </c>
      <c r="AJ334" s="813"/>
      <c r="AK334" s="821"/>
      <c r="AL334" s="835">
        <v>4524.6499999999996</v>
      </c>
      <c r="AM334" s="813"/>
      <c r="AN334" s="821"/>
      <c r="AO334" s="835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4619.9399999999905</v>
      </c>
      <c r="F335" s="813"/>
      <c r="G335" s="821"/>
      <c r="H335" s="835">
        <v>-21.25</v>
      </c>
      <c r="I335" s="813"/>
      <c r="J335" s="821"/>
      <c r="K335" s="835">
        <v>30</v>
      </c>
      <c r="L335" s="813"/>
      <c r="M335" s="821"/>
      <c r="N335" s="835">
        <v>1.21</v>
      </c>
      <c r="O335" s="813"/>
      <c r="P335" s="821"/>
      <c r="Q335" s="835">
        <v>151.51</v>
      </c>
      <c r="R335" s="813"/>
      <c r="S335" s="821"/>
      <c r="T335" s="835">
        <v>292.14999999999998</v>
      </c>
      <c r="U335" s="813"/>
      <c r="V335" s="821"/>
      <c r="W335" s="835">
        <v>12.99</v>
      </c>
      <c r="X335" s="813"/>
      <c r="Y335" s="821"/>
      <c r="Z335" s="835">
        <v>389.14</v>
      </c>
      <c r="AA335" s="813"/>
      <c r="AB335" s="821"/>
      <c r="AC335" s="835">
        <v>258.38</v>
      </c>
      <c r="AD335" s="813"/>
      <c r="AE335" s="821"/>
      <c r="AF335" s="835">
        <v>607.54</v>
      </c>
      <c r="AG335" s="813"/>
      <c r="AH335" s="821"/>
      <c r="AI335" s="835">
        <v>1608.6799999999901</v>
      </c>
      <c r="AJ335" s="813"/>
      <c r="AK335" s="821"/>
      <c r="AL335" s="835">
        <v>582.59</v>
      </c>
      <c r="AM335" s="813"/>
      <c r="AN335" s="821"/>
      <c r="AO335" s="835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52242.650000000009</v>
      </c>
      <c r="F336" s="839"/>
      <c r="G336" s="846"/>
      <c r="H336" s="838">
        <v>1694.8</v>
      </c>
      <c r="I336" s="839"/>
      <c r="J336" s="846"/>
      <c r="K336" s="838">
        <v>3421.59</v>
      </c>
      <c r="L336" s="839"/>
      <c r="M336" s="846"/>
      <c r="N336" s="838">
        <v>4707.28</v>
      </c>
      <c r="O336" s="839"/>
      <c r="P336" s="846"/>
      <c r="Q336" s="838">
        <v>5661.6</v>
      </c>
      <c r="R336" s="839"/>
      <c r="S336" s="846"/>
      <c r="T336" s="838">
        <v>4065.81</v>
      </c>
      <c r="U336" s="839"/>
      <c r="V336" s="846"/>
      <c r="W336" s="838">
        <v>4673.08</v>
      </c>
      <c r="X336" s="839"/>
      <c r="Y336" s="846"/>
      <c r="Z336" s="838">
        <v>4509.47</v>
      </c>
      <c r="AA336" s="839"/>
      <c r="AB336" s="846"/>
      <c r="AC336" s="838">
        <v>3900.19</v>
      </c>
      <c r="AD336" s="839"/>
      <c r="AE336" s="846"/>
      <c r="AF336" s="838">
        <v>5670.75</v>
      </c>
      <c r="AG336" s="839"/>
      <c r="AH336" s="846"/>
      <c r="AI336" s="838">
        <v>7049.42</v>
      </c>
      <c r="AJ336" s="839"/>
      <c r="AK336" s="846"/>
      <c r="AL336" s="838">
        <v>3469.48</v>
      </c>
      <c r="AM336" s="839"/>
      <c r="AN336" s="846"/>
      <c r="AO336" s="838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22436.51</v>
      </c>
      <c r="F337" s="813"/>
      <c r="G337" s="821"/>
      <c r="H337" s="835">
        <v>1668.77</v>
      </c>
      <c r="I337" s="813"/>
      <c r="J337" s="821"/>
      <c r="K337" s="835">
        <v>1978.02</v>
      </c>
      <c r="L337" s="813"/>
      <c r="M337" s="821"/>
      <c r="N337" s="835">
        <v>1668.77</v>
      </c>
      <c r="O337" s="813"/>
      <c r="P337" s="821"/>
      <c r="Q337" s="835">
        <v>1864.36</v>
      </c>
      <c r="R337" s="813"/>
      <c r="S337" s="821"/>
      <c r="T337" s="835">
        <v>2315.71</v>
      </c>
      <c r="U337" s="813"/>
      <c r="V337" s="821"/>
      <c r="W337" s="835">
        <v>1732.58</v>
      </c>
      <c r="X337" s="813"/>
      <c r="Y337" s="821"/>
      <c r="Z337" s="835">
        <v>1933.78</v>
      </c>
      <c r="AA337" s="813"/>
      <c r="AB337" s="821"/>
      <c r="AC337" s="835">
        <v>1902.76</v>
      </c>
      <c r="AD337" s="813"/>
      <c r="AE337" s="821"/>
      <c r="AF337" s="835">
        <v>1720.95</v>
      </c>
      <c r="AG337" s="813"/>
      <c r="AH337" s="821"/>
      <c r="AI337" s="835">
        <v>1938.3</v>
      </c>
      <c r="AJ337" s="813"/>
      <c r="AK337" s="821"/>
      <c r="AL337" s="835">
        <v>1821.46</v>
      </c>
      <c r="AM337" s="813"/>
      <c r="AN337" s="821"/>
      <c r="AO337" s="835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2465.0500000000002</v>
      </c>
      <c r="F338" s="813"/>
      <c r="G338" s="821"/>
      <c r="H338" s="835">
        <v>280.08999999999997</v>
      </c>
      <c r="I338" s="813"/>
      <c r="J338" s="821"/>
      <c r="K338" s="835">
        <v>255.89</v>
      </c>
      <c r="L338" s="813"/>
      <c r="M338" s="821"/>
      <c r="N338" s="835">
        <v>319.94</v>
      </c>
      <c r="O338" s="813"/>
      <c r="P338" s="821"/>
      <c r="Q338" s="835">
        <v>232.99</v>
      </c>
      <c r="R338" s="813"/>
      <c r="S338" s="821"/>
      <c r="T338" s="835">
        <v>362.64</v>
      </c>
      <c r="U338" s="813"/>
      <c r="V338" s="821"/>
      <c r="W338" s="835">
        <v>270.32</v>
      </c>
      <c r="X338" s="813"/>
      <c r="Y338" s="821"/>
      <c r="Z338" s="835">
        <v>272.7</v>
      </c>
      <c r="AA338" s="813"/>
      <c r="AB338" s="821"/>
      <c r="AC338" s="835">
        <v>190.57</v>
      </c>
      <c r="AD338" s="813"/>
      <c r="AE338" s="821"/>
      <c r="AF338" s="835">
        <v>91.61</v>
      </c>
      <c r="AG338" s="813"/>
      <c r="AH338" s="821"/>
      <c r="AI338" s="835">
        <v>144.16</v>
      </c>
      <c r="AJ338" s="813"/>
      <c r="AK338" s="821"/>
      <c r="AL338" s="835">
        <v>-122.06</v>
      </c>
      <c r="AM338" s="813"/>
      <c r="AN338" s="821"/>
      <c r="AO338" s="835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20374.300000000003</v>
      </c>
      <c r="F339" s="839"/>
      <c r="G339" s="846"/>
      <c r="H339" s="838">
        <v>1123.0999999999999</v>
      </c>
      <c r="I339" s="839"/>
      <c r="J339" s="846"/>
      <c r="K339" s="838">
        <v>2561.9899999999998</v>
      </c>
      <c r="L339" s="839"/>
      <c r="M339" s="846"/>
      <c r="N339" s="838">
        <v>1884.22</v>
      </c>
      <c r="O339" s="839"/>
      <c r="P339" s="846"/>
      <c r="Q339" s="838">
        <v>1778.66</v>
      </c>
      <c r="R339" s="839"/>
      <c r="S339" s="846"/>
      <c r="T339" s="838">
        <v>1476.24</v>
      </c>
      <c r="U339" s="839"/>
      <c r="V339" s="846"/>
      <c r="W339" s="838">
        <v>1965.11</v>
      </c>
      <c r="X339" s="839"/>
      <c r="Y339" s="846"/>
      <c r="Z339" s="838">
        <v>1603.38</v>
      </c>
      <c r="AA339" s="839"/>
      <c r="AB339" s="846"/>
      <c r="AC339" s="838">
        <v>1205.67</v>
      </c>
      <c r="AD339" s="839"/>
      <c r="AE339" s="846"/>
      <c r="AF339" s="838">
        <v>1922.27</v>
      </c>
      <c r="AG339" s="839"/>
      <c r="AH339" s="846"/>
      <c r="AI339" s="838">
        <v>1332.82</v>
      </c>
      <c r="AJ339" s="839"/>
      <c r="AK339" s="846"/>
      <c r="AL339" s="838">
        <v>1880.47</v>
      </c>
      <c r="AM339" s="839"/>
      <c r="AN339" s="846"/>
      <c r="AO339" s="838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201.56</v>
      </c>
      <c r="F341" s="813"/>
      <c r="G341" s="821"/>
      <c r="H341" s="835">
        <v>0</v>
      </c>
      <c r="I341" s="813"/>
      <c r="J341" s="821"/>
      <c r="K341" s="835">
        <v>0</v>
      </c>
      <c r="L341" s="813"/>
      <c r="M341" s="821"/>
      <c r="N341" s="835">
        <v>0</v>
      </c>
      <c r="O341" s="813"/>
      <c r="P341" s="821"/>
      <c r="Q341" s="835">
        <v>5.65</v>
      </c>
      <c r="R341" s="813"/>
      <c r="S341" s="821"/>
      <c r="T341" s="835">
        <v>89.6</v>
      </c>
      <c r="U341" s="813"/>
      <c r="V341" s="821"/>
      <c r="W341" s="835">
        <v>0</v>
      </c>
      <c r="X341" s="813"/>
      <c r="Y341" s="821"/>
      <c r="Z341" s="835">
        <v>0</v>
      </c>
      <c r="AA341" s="813"/>
      <c r="AB341" s="821"/>
      <c r="AC341" s="835">
        <v>46.18</v>
      </c>
      <c r="AD341" s="813"/>
      <c r="AE341" s="821"/>
      <c r="AF341" s="835">
        <v>53.13</v>
      </c>
      <c r="AG341" s="813"/>
      <c r="AH341" s="821"/>
      <c r="AI341" s="835">
        <v>7</v>
      </c>
      <c r="AJ341" s="813"/>
      <c r="AK341" s="821"/>
      <c r="AL341" s="835">
        <v>0</v>
      </c>
      <c r="AM341" s="813"/>
      <c r="AN341" s="821"/>
      <c r="AO341" s="835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286.84000000000003</v>
      </c>
      <c r="F342" s="813"/>
      <c r="G342" s="821"/>
      <c r="H342" s="835">
        <v>0</v>
      </c>
      <c r="I342" s="813"/>
      <c r="J342" s="821"/>
      <c r="K342" s="835">
        <v>0</v>
      </c>
      <c r="L342" s="813"/>
      <c r="M342" s="821"/>
      <c r="N342" s="835">
        <v>31.95</v>
      </c>
      <c r="O342" s="813"/>
      <c r="P342" s="821"/>
      <c r="Q342" s="835">
        <v>123.18</v>
      </c>
      <c r="R342" s="813"/>
      <c r="S342" s="821"/>
      <c r="T342" s="835">
        <v>0</v>
      </c>
      <c r="U342" s="813"/>
      <c r="V342" s="821"/>
      <c r="W342" s="835">
        <v>0</v>
      </c>
      <c r="X342" s="813"/>
      <c r="Y342" s="821"/>
      <c r="Z342" s="835">
        <v>0</v>
      </c>
      <c r="AA342" s="813"/>
      <c r="AB342" s="821"/>
      <c r="AC342" s="835">
        <v>131.71</v>
      </c>
      <c r="AD342" s="813"/>
      <c r="AE342" s="821"/>
      <c r="AF342" s="835">
        <v>0</v>
      </c>
      <c r="AG342" s="813"/>
      <c r="AH342" s="821"/>
      <c r="AI342" s="835">
        <v>0</v>
      </c>
      <c r="AJ342" s="813"/>
      <c r="AK342" s="821"/>
      <c r="AL342" s="835">
        <v>0</v>
      </c>
      <c r="AM342" s="813"/>
      <c r="AN342" s="821"/>
      <c r="AO342" s="835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2934.9600000000005</v>
      </c>
      <c r="F343" s="813"/>
      <c r="G343" s="821"/>
      <c r="H343" s="835">
        <v>252.92</v>
      </c>
      <c r="I343" s="813"/>
      <c r="J343" s="821"/>
      <c r="K343" s="835">
        <v>212.52</v>
      </c>
      <c r="L343" s="813"/>
      <c r="M343" s="821"/>
      <c r="N343" s="835">
        <v>147.21</v>
      </c>
      <c r="O343" s="813"/>
      <c r="P343" s="821"/>
      <c r="Q343" s="835">
        <v>243.76</v>
      </c>
      <c r="R343" s="813"/>
      <c r="S343" s="821"/>
      <c r="T343" s="835">
        <v>249.49</v>
      </c>
      <c r="U343" s="813"/>
      <c r="V343" s="821"/>
      <c r="W343" s="835">
        <v>399.13</v>
      </c>
      <c r="X343" s="813"/>
      <c r="Y343" s="821"/>
      <c r="Z343" s="835">
        <v>262.61</v>
      </c>
      <c r="AA343" s="813"/>
      <c r="AB343" s="821"/>
      <c r="AC343" s="835">
        <v>327.3</v>
      </c>
      <c r="AD343" s="813"/>
      <c r="AE343" s="821"/>
      <c r="AF343" s="835">
        <v>100.94</v>
      </c>
      <c r="AG343" s="813"/>
      <c r="AH343" s="821"/>
      <c r="AI343" s="835">
        <v>270.77999999999997</v>
      </c>
      <c r="AJ343" s="813"/>
      <c r="AK343" s="821"/>
      <c r="AL343" s="835">
        <v>321.83</v>
      </c>
      <c r="AM343" s="813"/>
      <c r="AN343" s="821"/>
      <c r="AO343" s="835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1296.3200000000002</v>
      </c>
      <c r="F344" s="813"/>
      <c r="G344" s="821"/>
      <c r="H344" s="835">
        <v>60.8</v>
      </c>
      <c r="I344" s="813"/>
      <c r="J344" s="821"/>
      <c r="K344" s="835">
        <v>70.84</v>
      </c>
      <c r="L344" s="813"/>
      <c r="M344" s="821"/>
      <c r="N344" s="835">
        <v>78.92</v>
      </c>
      <c r="O344" s="813"/>
      <c r="P344" s="821"/>
      <c r="Q344" s="835">
        <v>77.010000000000005</v>
      </c>
      <c r="R344" s="813"/>
      <c r="S344" s="821"/>
      <c r="T344" s="835">
        <v>62.31</v>
      </c>
      <c r="U344" s="813"/>
      <c r="V344" s="821"/>
      <c r="W344" s="835">
        <v>63.02</v>
      </c>
      <c r="X344" s="813"/>
      <c r="Y344" s="821"/>
      <c r="Z344" s="835">
        <v>301.49</v>
      </c>
      <c r="AA344" s="813"/>
      <c r="AB344" s="821"/>
      <c r="AC344" s="835">
        <v>136.96</v>
      </c>
      <c r="AD344" s="813"/>
      <c r="AE344" s="821"/>
      <c r="AF344" s="835">
        <v>115.58</v>
      </c>
      <c r="AG344" s="813"/>
      <c r="AH344" s="821"/>
      <c r="AI344" s="835">
        <v>106.44</v>
      </c>
      <c r="AJ344" s="813"/>
      <c r="AK344" s="821"/>
      <c r="AL344" s="835">
        <v>106.66</v>
      </c>
      <c r="AM344" s="813"/>
      <c r="AN344" s="821"/>
      <c r="AO344" s="835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5982.4400000000005</v>
      </c>
      <c r="F345" s="813"/>
      <c r="G345" s="821"/>
      <c r="H345" s="835">
        <v>498.04</v>
      </c>
      <c r="I345" s="813"/>
      <c r="J345" s="821"/>
      <c r="K345" s="835">
        <v>485.63</v>
      </c>
      <c r="L345" s="813"/>
      <c r="M345" s="821"/>
      <c r="N345" s="835">
        <v>675.28</v>
      </c>
      <c r="O345" s="813"/>
      <c r="P345" s="821"/>
      <c r="Q345" s="835">
        <v>1393.02</v>
      </c>
      <c r="R345" s="813"/>
      <c r="S345" s="821"/>
      <c r="T345" s="835">
        <v>493.32</v>
      </c>
      <c r="U345" s="813"/>
      <c r="V345" s="821"/>
      <c r="W345" s="835">
        <v>-838.54</v>
      </c>
      <c r="X345" s="813"/>
      <c r="Y345" s="821"/>
      <c r="Z345" s="835">
        <v>-45.79</v>
      </c>
      <c r="AA345" s="813"/>
      <c r="AB345" s="821"/>
      <c r="AC345" s="835">
        <v>419.92</v>
      </c>
      <c r="AD345" s="813"/>
      <c r="AE345" s="821"/>
      <c r="AF345" s="835">
        <v>368.12</v>
      </c>
      <c r="AG345" s="813"/>
      <c r="AH345" s="821"/>
      <c r="AI345" s="835">
        <v>1576.96</v>
      </c>
      <c r="AJ345" s="813"/>
      <c r="AK345" s="821"/>
      <c r="AL345" s="835">
        <v>779.58</v>
      </c>
      <c r="AM345" s="813"/>
      <c r="AN345" s="821"/>
      <c r="AO345" s="835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4145.92</v>
      </c>
      <c r="F346" s="813"/>
      <c r="G346" s="821"/>
      <c r="H346" s="835">
        <v>297.06</v>
      </c>
      <c r="I346" s="813"/>
      <c r="J346" s="821"/>
      <c r="K346" s="835">
        <v>338.99</v>
      </c>
      <c r="L346" s="813"/>
      <c r="M346" s="821"/>
      <c r="N346" s="835">
        <v>292.2</v>
      </c>
      <c r="O346" s="813"/>
      <c r="P346" s="821"/>
      <c r="Q346" s="835">
        <v>359.15</v>
      </c>
      <c r="R346" s="813"/>
      <c r="S346" s="821"/>
      <c r="T346" s="835">
        <v>432.2</v>
      </c>
      <c r="U346" s="813"/>
      <c r="V346" s="821"/>
      <c r="W346" s="835">
        <v>292.8</v>
      </c>
      <c r="X346" s="813"/>
      <c r="Y346" s="821"/>
      <c r="Z346" s="835">
        <v>296.95999999999998</v>
      </c>
      <c r="AA346" s="813"/>
      <c r="AB346" s="821"/>
      <c r="AC346" s="835">
        <v>461.3</v>
      </c>
      <c r="AD346" s="813"/>
      <c r="AE346" s="821"/>
      <c r="AF346" s="835">
        <v>317.86</v>
      </c>
      <c r="AG346" s="813"/>
      <c r="AH346" s="821"/>
      <c r="AI346" s="835">
        <v>412.7</v>
      </c>
      <c r="AJ346" s="813"/>
      <c r="AK346" s="821"/>
      <c r="AL346" s="835">
        <v>334.2</v>
      </c>
      <c r="AM346" s="813"/>
      <c r="AN346" s="821"/>
      <c r="AO346" s="835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2039.5600000000004</v>
      </c>
      <c r="F347" s="813"/>
      <c r="G347" s="821"/>
      <c r="H347" s="835">
        <v>151.06</v>
      </c>
      <c r="I347" s="813"/>
      <c r="J347" s="821"/>
      <c r="K347" s="835">
        <v>25.62</v>
      </c>
      <c r="L347" s="813"/>
      <c r="M347" s="821"/>
      <c r="N347" s="835">
        <v>72.099999999999994</v>
      </c>
      <c r="O347" s="813"/>
      <c r="P347" s="821"/>
      <c r="Q347" s="835">
        <v>115.6</v>
      </c>
      <c r="R347" s="813"/>
      <c r="S347" s="821"/>
      <c r="T347" s="835">
        <v>106.34</v>
      </c>
      <c r="U347" s="813"/>
      <c r="V347" s="821"/>
      <c r="W347" s="835">
        <v>244.97</v>
      </c>
      <c r="X347" s="813"/>
      <c r="Y347" s="821"/>
      <c r="Z347" s="835">
        <v>449.17</v>
      </c>
      <c r="AA347" s="813"/>
      <c r="AB347" s="821"/>
      <c r="AC347" s="835">
        <v>164.48</v>
      </c>
      <c r="AD347" s="813"/>
      <c r="AE347" s="821"/>
      <c r="AF347" s="835">
        <v>-149.37</v>
      </c>
      <c r="AG347" s="813"/>
      <c r="AH347" s="821"/>
      <c r="AI347" s="835">
        <v>217.22</v>
      </c>
      <c r="AJ347" s="813"/>
      <c r="AK347" s="821"/>
      <c r="AL347" s="835">
        <v>256.75</v>
      </c>
      <c r="AM347" s="813"/>
      <c r="AN347" s="821"/>
      <c r="AO347" s="835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13823.419999999998</v>
      </c>
      <c r="F348" s="813"/>
      <c r="G348" s="821"/>
      <c r="H348" s="835">
        <v>839.83</v>
      </c>
      <c r="I348" s="813"/>
      <c r="J348" s="821"/>
      <c r="K348" s="835">
        <v>709.65</v>
      </c>
      <c r="L348" s="813"/>
      <c r="M348" s="821"/>
      <c r="N348" s="835">
        <v>977.59</v>
      </c>
      <c r="O348" s="813"/>
      <c r="P348" s="821"/>
      <c r="Q348" s="835">
        <v>1473.32</v>
      </c>
      <c r="R348" s="813"/>
      <c r="S348" s="821"/>
      <c r="T348" s="835">
        <v>1415.35</v>
      </c>
      <c r="U348" s="813"/>
      <c r="V348" s="821"/>
      <c r="W348" s="835">
        <v>1387.53</v>
      </c>
      <c r="X348" s="813"/>
      <c r="Y348" s="821"/>
      <c r="Z348" s="835">
        <v>1079.52</v>
      </c>
      <c r="AA348" s="813"/>
      <c r="AB348" s="821"/>
      <c r="AC348" s="835">
        <v>1168.8</v>
      </c>
      <c r="AD348" s="813"/>
      <c r="AE348" s="821"/>
      <c r="AF348" s="835">
        <v>1145.0899999999999</v>
      </c>
      <c r="AG348" s="813"/>
      <c r="AH348" s="821"/>
      <c r="AI348" s="835">
        <v>1362.47</v>
      </c>
      <c r="AJ348" s="813"/>
      <c r="AK348" s="821"/>
      <c r="AL348" s="835">
        <v>1559.77</v>
      </c>
      <c r="AM348" s="813"/>
      <c r="AN348" s="821"/>
      <c r="AO348" s="835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0.15064543749025297</v>
      </c>
      <c r="E352" s="842">
        <v>165621.70000000001</v>
      </c>
      <c r="F352" s="840" t="s">
        <v>108</v>
      </c>
      <c r="G352" s="841">
        <v>0.13125414284584605</v>
      </c>
      <c r="H352" s="842">
        <v>8813.5700000000015</v>
      </c>
      <c r="I352" s="840" t="s">
        <v>108</v>
      </c>
      <c r="J352" s="841">
        <v>0.17239321677635486</v>
      </c>
      <c r="K352" s="842">
        <v>11980.869999999999</v>
      </c>
      <c r="L352" s="840" t="s">
        <v>108</v>
      </c>
      <c r="M352" s="841">
        <v>0.12227649433184487</v>
      </c>
      <c r="N352" s="842">
        <v>13668.360000000002</v>
      </c>
      <c r="O352" s="840" t="s">
        <v>108</v>
      </c>
      <c r="P352" s="841">
        <v>0.18347408921607361</v>
      </c>
      <c r="Q352" s="842">
        <v>17106.370000000003</v>
      </c>
      <c r="R352" s="840" t="s">
        <v>108</v>
      </c>
      <c r="S352" s="841">
        <v>0.12351017006923895</v>
      </c>
      <c r="T352" s="842">
        <v>14632.03</v>
      </c>
      <c r="U352" s="840" t="s">
        <v>108</v>
      </c>
      <c r="V352" s="841">
        <v>0.14503117030420765</v>
      </c>
      <c r="W352" s="842">
        <v>12259.829999999998</v>
      </c>
      <c r="X352" s="840" t="s">
        <v>108</v>
      </c>
      <c r="Y352" s="841">
        <v>0.15334522060565889</v>
      </c>
      <c r="Z352" s="842">
        <v>12942.95</v>
      </c>
      <c r="AA352" s="840" t="s">
        <v>108</v>
      </c>
      <c r="AB352" s="841">
        <v>0.16431477631504698</v>
      </c>
      <c r="AC352" s="842">
        <v>13120.759999999997</v>
      </c>
      <c r="AD352" s="840" t="s">
        <v>108</v>
      </c>
      <c r="AE352" s="841">
        <v>0.15757431382541323</v>
      </c>
      <c r="AF352" s="842">
        <v>14109.130000000003</v>
      </c>
      <c r="AG352" s="840" t="s">
        <v>108</v>
      </c>
      <c r="AH352" s="841">
        <v>0.18411495736242722</v>
      </c>
      <c r="AI352" s="842">
        <v>20124.46999999999</v>
      </c>
      <c r="AJ352" s="840" t="s">
        <v>108</v>
      </c>
      <c r="AK352" s="841">
        <v>0.13964770936562715</v>
      </c>
      <c r="AL352" s="842">
        <v>15515.380000000001</v>
      </c>
      <c r="AM352" s="840" t="s">
        <v>108</v>
      </c>
      <c r="AN352" s="841">
        <v>0.14088747096239321</v>
      </c>
      <c r="AO352" s="842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0.44158625306911292</v>
      </c>
      <c r="E354" s="851">
        <v>485486.10000000003</v>
      </c>
      <c r="F354" s="840" t="s">
        <v>108</v>
      </c>
      <c r="G354" s="878">
        <v>0.55874371117675981</v>
      </c>
      <c r="H354" s="851">
        <v>37519.020000000004</v>
      </c>
      <c r="I354" s="840" t="s">
        <v>108</v>
      </c>
      <c r="J354" s="878">
        <v>0.56484334508342515</v>
      </c>
      <c r="K354" s="851">
        <v>39255.11</v>
      </c>
      <c r="L354" s="840" t="s">
        <v>108</v>
      </c>
      <c r="M354" s="878">
        <v>0.36715234240810751</v>
      </c>
      <c r="N354" s="851">
        <v>41041.17</v>
      </c>
      <c r="O354" s="840" t="s">
        <v>108</v>
      </c>
      <c r="P354" s="878">
        <v>0.44668850160598095</v>
      </c>
      <c r="Q354" s="851">
        <v>41647.400000000009</v>
      </c>
      <c r="R354" s="840" t="s">
        <v>108</v>
      </c>
      <c r="S354" s="878">
        <v>0.38229948926387214</v>
      </c>
      <c r="T354" s="851">
        <v>45290.34</v>
      </c>
      <c r="U354" s="840" t="s">
        <v>108</v>
      </c>
      <c r="V354" s="878">
        <v>0.44798655852349117</v>
      </c>
      <c r="W354" s="851">
        <v>37869.369999999995</v>
      </c>
      <c r="X354" s="840" t="s">
        <v>108</v>
      </c>
      <c r="Y354" s="878">
        <v>0.42848170702810395</v>
      </c>
      <c r="Z354" s="851">
        <v>36165.57</v>
      </c>
      <c r="AA354" s="840" t="s">
        <v>108</v>
      </c>
      <c r="AB354" s="878">
        <v>0.51619302211095652</v>
      </c>
      <c r="AC354" s="851">
        <v>41218.719999999994</v>
      </c>
      <c r="AD354" s="840" t="s">
        <v>108</v>
      </c>
      <c r="AE354" s="878">
        <v>0.43215326236356172</v>
      </c>
      <c r="AF354" s="851">
        <v>38694.800000000003</v>
      </c>
      <c r="AG354" s="840" t="s">
        <v>108</v>
      </c>
      <c r="AH354" s="878">
        <v>0.43143620859397147</v>
      </c>
      <c r="AI354" s="851">
        <v>47157.62999999999</v>
      </c>
      <c r="AJ354" s="840" t="s">
        <v>108</v>
      </c>
      <c r="AK354" s="878">
        <v>0.38552156489449724</v>
      </c>
      <c r="AL354" s="851">
        <v>42832.880000000005</v>
      </c>
      <c r="AM354" s="840" t="s">
        <v>108</v>
      </c>
      <c r="AN354" s="878">
        <v>0.45680608235674375</v>
      </c>
      <c r="AO354" s="851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613927.87999999849</v>
      </c>
      <c r="F356" s="879"/>
      <c r="G356" s="880"/>
      <c r="H356" s="860">
        <v>29629.869999999981</v>
      </c>
      <c r="I356" s="879"/>
      <c r="J356" s="880"/>
      <c r="K356" s="860">
        <v>30242.229999999778</v>
      </c>
      <c r="L356" s="879"/>
      <c r="M356" s="880"/>
      <c r="N356" s="860">
        <v>70741.229999999894</v>
      </c>
      <c r="O356" s="879"/>
      <c r="P356" s="880"/>
      <c r="Q356" s="860">
        <v>51588.489999999874</v>
      </c>
      <c r="R356" s="879"/>
      <c r="S356" s="880"/>
      <c r="T356" s="860">
        <v>73177.879999999888</v>
      </c>
      <c r="U356" s="879"/>
      <c r="V356" s="880"/>
      <c r="W356" s="860">
        <v>46663.010000000009</v>
      </c>
      <c r="X356" s="879"/>
      <c r="Y356" s="880"/>
      <c r="Z356" s="860">
        <v>48238.429999999797</v>
      </c>
      <c r="AA356" s="879"/>
      <c r="AB356" s="880"/>
      <c r="AC356" s="860">
        <v>38632.649999999667</v>
      </c>
      <c r="AD356" s="879"/>
      <c r="AE356" s="880"/>
      <c r="AF356" s="860">
        <v>50844.729999999996</v>
      </c>
      <c r="AG356" s="879"/>
      <c r="AH356" s="880"/>
      <c r="AI356" s="860">
        <v>62146.2</v>
      </c>
      <c r="AJ356" s="879"/>
      <c r="AK356" s="880"/>
      <c r="AL356" s="860">
        <v>68270.83999999988</v>
      </c>
      <c r="AM356" s="879"/>
      <c r="AN356" s="880"/>
      <c r="AO356" s="860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2824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2023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/>
      <c r="F379" s="839"/>
      <c r="G379" s="846"/>
      <c r="H379" s="847"/>
      <c r="I379" s="839"/>
      <c r="J379" s="846"/>
      <c r="K379" s="847"/>
      <c r="L379" s="839"/>
      <c r="M379" s="846"/>
      <c r="N379" s="847"/>
      <c r="O379" s="839"/>
      <c r="P379" s="846"/>
      <c r="Q379" s="847"/>
      <c r="R379" s="839"/>
      <c r="S379" s="846"/>
      <c r="T379" s="847"/>
      <c r="U379" s="839"/>
      <c r="V379" s="846"/>
      <c r="W379" s="847"/>
      <c r="X379" s="839"/>
      <c r="Y379" s="846"/>
      <c r="Z379" s="847"/>
      <c r="AA379" s="839"/>
      <c r="AB379" s="846"/>
      <c r="AC379" s="847"/>
      <c r="AD379" s="839"/>
      <c r="AE379" s="846"/>
      <c r="AF379" s="847"/>
      <c r="AG379" s="839"/>
      <c r="AH379" s="846"/>
      <c r="AI379" s="847"/>
      <c r="AJ379" s="839"/>
      <c r="AK379" s="846"/>
      <c r="AL379" s="847"/>
      <c r="AM379" s="839"/>
      <c r="AN379" s="846"/>
      <c r="AO379" s="847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/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2824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2857638.24</v>
      </c>
      <c r="I406" s="932"/>
      <c r="J406" s="932"/>
      <c r="K406" s="933">
        <v>2196501.27</v>
      </c>
      <c r="L406" s="932"/>
      <c r="M406" s="932"/>
      <c r="N406" s="933">
        <v>4255868.8100000005</v>
      </c>
      <c r="O406" s="932"/>
      <c r="P406" s="932"/>
      <c r="Q406" s="933">
        <v>4519395.8499999903</v>
      </c>
      <c r="R406" s="932"/>
      <c r="S406" s="932"/>
      <c r="T406" s="933">
        <v>5228335.0699999901</v>
      </c>
      <c r="U406" s="932"/>
      <c r="V406" s="932"/>
      <c r="W406" s="933">
        <v>3825747.9</v>
      </c>
      <c r="X406" s="932"/>
      <c r="Y406" s="932"/>
      <c r="Z406" s="933">
        <v>2555648.6199999899</v>
      </c>
      <c r="AA406" s="932"/>
      <c r="AB406" s="932"/>
      <c r="AC406" s="933">
        <v>5191041.2399999993</v>
      </c>
      <c r="AD406" s="932"/>
      <c r="AE406" s="932"/>
      <c r="AF406" s="933">
        <v>3954834.1299999896</v>
      </c>
      <c r="AG406" s="932"/>
      <c r="AH406" s="932"/>
      <c r="AI406" s="933">
        <v>10220167.15</v>
      </c>
      <c r="AJ406" s="932"/>
      <c r="AK406" s="932"/>
      <c r="AL406" s="933">
        <v>11998554.869999999</v>
      </c>
      <c r="AM406" s="932"/>
      <c r="AN406" s="932"/>
      <c r="AO406" s="933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2023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65975607.959999956</v>
      </c>
      <c r="F409" s="939"/>
      <c r="G409" s="940"/>
      <c r="H409" s="941">
        <v>2857638.24</v>
      </c>
      <c r="I409" s="939"/>
      <c r="J409" s="940"/>
      <c r="K409" s="941">
        <v>2196501.27</v>
      </c>
      <c r="L409" s="939"/>
      <c r="M409" s="940"/>
      <c r="N409" s="941">
        <v>4255868.8100000005</v>
      </c>
      <c r="O409" s="939"/>
      <c r="P409" s="940"/>
      <c r="Q409" s="941">
        <v>4519395.8499999903</v>
      </c>
      <c r="R409" s="939"/>
      <c r="S409" s="940"/>
      <c r="T409" s="941">
        <v>5228335.0699999901</v>
      </c>
      <c r="U409" s="939"/>
      <c r="V409" s="940"/>
      <c r="W409" s="941">
        <v>3825747.9</v>
      </c>
      <c r="X409" s="939"/>
      <c r="Y409" s="940"/>
      <c r="Z409" s="941">
        <v>2555648.6199999899</v>
      </c>
      <c r="AA409" s="939"/>
      <c r="AB409" s="940"/>
      <c r="AC409" s="941">
        <v>5191041.2399999993</v>
      </c>
      <c r="AD409" s="939"/>
      <c r="AE409" s="940"/>
      <c r="AF409" s="941">
        <v>3954834.1299999896</v>
      </c>
      <c r="AG409" s="939"/>
      <c r="AH409" s="940"/>
      <c r="AI409" s="941">
        <v>10220167.15</v>
      </c>
      <c r="AJ409" s="939"/>
      <c r="AK409" s="940"/>
      <c r="AL409" s="941">
        <v>11998554.869999999</v>
      </c>
      <c r="AM409" s="939"/>
      <c r="AN409" s="940"/>
      <c r="AO409" s="941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4818970.139999995</v>
      </c>
      <c r="F410" s="942"/>
      <c r="G410" s="943"/>
      <c r="H410" s="944">
        <v>247843.95999999964</v>
      </c>
      <c r="I410" s="942"/>
      <c r="J410" s="943"/>
      <c r="K410" s="944">
        <v>228320.31999999972</v>
      </c>
      <c r="L410" s="942"/>
      <c r="M410" s="943"/>
      <c r="N410" s="944">
        <v>447329.57999999978</v>
      </c>
      <c r="O410" s="942"/>
      <c r="P410" s="943"/>
      <c r="Q410" s="944">
        <v>489317.75999999949</v>
      </c>
      <c r="R410" s="942"/>
      <c r="S410" s="943"/>
      <c r="T410" s="944">
        <v>563683.11999999941</v>
      </c>
      <c r="U410" s="942"/>
      <c r="V410" s="943"/>
      <c r="W410" s="944">
        <v>452056.90999999963</v>
      </c>
      <c r="X410" s="942"/>
      <c r="Y410" s="943"/>
      <c r="Z410" s="944">
        <v>366371.92999999935</v>
      </c>
      <c r="AA410" s="942"/>
      <c r="AB410" s="943"/>
      <c r="AC410" s="944">
        <v>498187.64999999927</v>
      </c>
      <c r="AD410" s="942"/>
      <c r="AE410" s="943"/>
      <c r="AF410" s="944">
        <v>411392.35999999975</v>
      </c>
      <c r="AG410" s="942"/>
      <c r="AH410" s="943"/>
      <c r="AI410" s="944">
        <v>438573.15999999945</v>
      </c>
      <c r="AJ410" s="942"/>
      <c r="AK410" s="943"/>
      <c r="AL410" s="944">
        <v>420728.0199999999</v>
      </c>
      <c r="AM410" s="942"/>
      <c r="AN410" s="943"/>
      <c r="AO410" s="944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0.31015351992233442</v>
      </c>
      <c r="D412" s="949">
        <v>1239.4734988713319</v>
      </c>
      <c r="E412" s="947">
        <v>549086.76</v>
      </c>
      <c r="F412" s="948"/>
      <c r="G412" s="949">
        <v>1133.8338461538463</v>
      </c>
      <c r="H412" s="947">
        <v>29479.68</v>
      </c>
      <c r="I412" s="948"/>
      <c r="J412" s="949">
        <v>1166.141052631579</v>
      </c>
      <c r="K412" s="947">
        <v>22156.68</v>
      </c>
      <c r="L412" s="948"/>
      <c r="M412" s="949">
        <v>1380.5157894736842</v>
      </c>
      <c r="N412" s="947">
        <v>52459.6</v>
      </c>
      <c r="O412" s="948"/>
      <c r="P412" s="949">
        <v>1333.7249999999999</v>
      </c>
      <c r="Q412" s="947">
        <v>53349</v>
      </c>
      <c r="R412" s="948"/>
      <c r="S412" s="949">
        <v>1339.4560416666666</v>
      </c>
      <c r="T412" s="947">
        <v>64293.89</v>
      </c>
      <c r="U412" s="948"/>
      <c r="V412" s="949">
        <v>1271.739</v>
      </c>
      <c r="W412" s="947">
        <v>50869.56</v>
      </c>
      <c r="X412" s="948"/>
      <c r="Y412" s="949">
        <v>1221.4603448275861</v>
      </c>
      <c r="Z412" s="947">
        <v>35422.35</v>
      </c>
      <c r="AA412" s="948"/>
      <c r="AB412" s="949">
        <v>1540.2204761904761</v>
      </c>
      <c r="AC412" s="947">
        <v>64689.259999999995</v>
      </c>
      <c r="AD412" s="948"/>
      <c r="AE412" s="949">
        <v>1304.9917142857146</v>
      </c>
      <c r="AF412" s="947">
        <v>45674.710000000006</v>
      </c>
      <c r="AG412" s="948"/>
      <c r="AH412" s="949">
        <v>1543.2543243243244</v>
      </c>
      <c r="AI412" s="947">
        <v>57100.41</v>
      </c>
      <c r="AJ412" s="948"/>
      <c r="AK412" s="949">
        <v>1145.6115789473686</v>
      </c>
      <c r="AL412" s="947">
        <v>43533.240000000005</v>
      </c>
      <c r="AM412" s="948"/>
      <c r="AN412" s="949">
        <v>1156.0915384615384</v>
      </c>
      <c r="AO412" s="947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0.24497797579950292</v>
      </c>
      <c r="D413" s="951">
        <v>396.08576555023916</v>
      </c>
      <c r="E413" s="941">
        <v>165563.84999999998</v>
      </c>
      <c r="F413" s="950"/>
      <c r="G413" s="951">
        <v>479.77192307692309</v>
      </c>
      <c r="H413" s="941">
        <v>12474.07</v>
      </c>
      <c r="I413" s="950"/>
      <c r="J413" s="951">
        <v>358.28105263157897</v>
      </c>
      <c r="K413" s="941">
        <v>6807.34</v>
      </c>
      <c r="L413" s="950"/>
      <c r="M413" s="951">
        <v>337.75631578947366</v>
      </c>
      <c r="N413" s="941">
        <v>12834.74</v>
      </c>
      <c r="O413" s="950"/>
      <c r="P413" s="951">
        <v>446.87774999999999</v>
      </c>
      <c r="Q413" s="941">
        <v>17875.11</v>
      </c>
      <c r="R413" s="950"/>
      <c r="S413" s="951">
        <v>492.38687499999997</v>
      </c>
      <c r="T413" s="941">
        <v>23634.57</v>
      </c>
      <c r="U413" s="950"/>
      <c r="V413" s="951">
        <v>352.38874999999996</v>
      </c>
      <c r="W413" s="941">
        <v>14095.55</v>
      </c>
      <c r="X413" s="950"/>
      <c r="Y413" s="951">
        <v>495.98206896551721</v>
      </c>
      <c r="Z413" s="941">
        <v>14383.48</v>
      </c>
      <c r="AA413" s="950"/>
      <c r="AB413" s="951">
        <v>461.125</v>
      </c>
      <c r="AC413" s="941">
        <v>19367.25</v>
      </c>
      <c r="AD413" s="950"/>
      <c r="AE413" s="951">
        <v>234.02085714285712</v>
      </c>
      <c r="AF413" s="941">
        <v>8190.73</v>
      </c>
      <c r="AG413" s="950"/>
      <c r="AH413" s="951">
        <v>344.10945945945946</v>
      </c>
      <c r="AI413" s="941">
        <v>12732.05</v>
      </c>
      <c r="AJ413" s="950"/>
      <c r="AK413" s="951">
        <v>314.48578947368424</v>
      </c>
      <c r="AL413" s="941">
        <v>11950.460000000001</v>
      </c>
      <c r="AM413" s="950"/>
      <c r="AN413" s="951">
        <v>431.48076923076923</v>
      </c>
      <c r="AO413" s="941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105.69767942583731</v>
      </c>
      <c r="E414" s="947">
        <v>44181.63</v>
      </c>
      <c r="F414" s="948"/>
      <c r="G414" s="949">
        <v>85.181923076923084</v>
      </c>
      <c r="H414" s="947">
        <v>2214.73</v>
      </c>
      <c r="I414" s="948"/>
      <c r="J414" s="949">
        <v>135.09684210526316</v>
      </c>
      <c r="K414" s="947">
        <v>2566.84</v>
      </c>
      <c r="L414" s="948"/>
      <c r="M414" s="949">
        <v>87.394210526315788</v>
      </c>
      <c r="N414" s="947">
        <v>3320.98</v>
      </c>
      <c r="O414" s="948"/>
      <c r="P414" s="949">
        <v>105.11500000000001</v>
      </c>
      <c r="Q414" s="947">
        <v>4204.6000000000004</v>
      </c>
      <c r="R414" s="948"/>
      <c r="S414" s="949">
        <v>57.481875000000002</v>
      </c>
      <c r="T414" s="947">
        <v>2759.13</v>
      </c>
      <c r="U414" s="948"/>
      <c r="V414" s="949">
        <v>113.48150000000001</v>
      </c>
      <c r="W414" s="947">
        <v>4539.26</v>
      </c>
      <c r="X414" s="948"/>
      <c r="Y414" s="949">
        <v>140.21310344827586</v>
      </c>
      <c r="Z414" s="947">
        <v>4066.1800000000003</v>
      </c>
      <c r="AA414" s="948"/>
      <c r="AB414" s="949">
        <v>110.12071428571429</v>
      </c>
      <c r="AC414" s="947">
        <v>4625.07</v>
      </c>
      <c r="AD414" s="948"/>
      <c r="AE414" s="949">
        <v>145.76171428571428</v>
      </c>
      <c r="AF414" s="947">
        <v>5101.66</v>
      </c>
      <c r="AG414" s="948"/>
      <c r="AH414" s="949">
        <v>103.55324324324324</v>
      </c>
      <c r="AI414" s="947">
        <v>3831.47</v>
      </c>
      <c r="AJ414" s="948"/>
      <c r="AK414" s="949">
        <v>99.11342105263158</v>
      </c>
      <c r="AL414" s="947">
        <v>3766.31</v>
      </c>
      <c r="AM414" s="948"/>
      <c r="AN414" s="949">
        <v>122.5153846153846</v>
      </c>
      <c r="AO414" s="947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63.591076555023932</v>
      </c>
      <c r="E415" s="947">
        <v>26581.070000000003</v>
      </c>
      <c r="F415" s="948"/>
      <c r="G415" s="949">
        <v>51.144230769230766</v>
      </c>
      <c r="H415" s="947">
        <v>1329.75</v>
      </c>
      <c r="I415" s="948"/>
      <c r="J415" s="949">
        <v>96.850000000000009</v>
      </c>
      <c r="K415" s="947">
        <v>1840.15</v>
      </c>
      <c r="L415" s="948"/>
      <c r="M415" s="949">
        <v>50.767105263157895</v>
      </c>
      <c r="N415" s="947">
        <v>1929.15</v>
      </c>
      <c r="O415" s="948"/>
      <c r="P415" s="949">
        <v>47.091499999999996</v>
      </c>
      <c r="Q415" s="947">
        <v>1883.6599999999999</v>
      </c>
      <c r="R415" s="948"/>
      <c r="S415" s="949">
        <v>134.98833333333332</v>
      </c>
      <c r="T415" s="947">
        <v>6479.44</v>
      </c>
      <c r="U415" s="948"/>
      <c r="V415" s="949">
        <v>14.111250000000002</v>
      </c>
      <c r="W415" s="947">
        <v>564.45000000000005</v>
      </c>
      <c r="X415" s="948"/>
      <c r="Y415" s="949">
        <v>85.048275862068962</v>
      </c>
      <c r="Z415" s="947">
        <v>2466.4</v>
      </c>
      <c r="AA415" s="948"/>
      <c r="AB415" s="949">
        <v>74.042142857142863</v>
      </c>
      <c r="AC415" s="947">
        <v>3109.77</v>
      </c>
      <c r="AD415" s="948"/>
      <c r="AE415" s="949">
        <v>105.32857142857142</v>
      </c>
      <c r="AF415" s="947">
        <v>3686.5</v>
      </c>
      <c r="AG415" s="948"/>
      <c r="AH415" s="949">
        <v>17.563783783783784</v>
      </c>
      <c r="AI415" s="947">
        <v>649.86</v>
      </c>
      <c r="AJ415" s="948"/>
      <c r="AK415" s="949">
        <v>43.371842105263163</v>
      </c>
      <c r="AL415" s="947">
        <v>1648.13</v>
      </c>
      <c r="AM415" s="948"/>
      <c r="AN415" s="949">
        <v>38.223461538461542</v>
      </c>
      <c r="AO415" s="947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78.373516746411482</v>
      </c>
      <c r="E416" s="941">
        <v>32760.13</v>
      </c>
      <c r="F416" s="950"/>
      <c r="G416" s="951">
        <v>100.56615384615385</v>
      </c>
      <c r="H416" s="941">
        <v>2614.7200000000003</v>
      </c>
      <c r="I416" s="950"/>
      <c r="J416" s="951">
        <v>125.84210526315789</v>
      </c>
      <c r="K416" s="941">
        <v>2391</v>
      </c>
      <c r="L416" s="950"/>
      <c r="M416" s="951">
        <v>48.846578947368421</v>
      </c>
      <c r="N416" s="941">
        <v>1856.17</v>
      </c>
      <c r="O416" s="950"/>
      <c r="P416" s="951">
        <v>72.176249999999996</v>
      </c>
      <c r="Q416" s="941">
        <v>2887.0499999999997</v>
      </c>
      <c r="R416" s="950"/>
      <c r="S416" s="951">
        <v>74.522708333333341</v>
      </c>
      <c r="T416" s="941">
        <v>3577.09</v>
      </c>
      <c r="U416" s="950"/>
      <c r="V416" s="951">
        <v>56.967000000000006</v>
      </c>
      <c r="W416" s="941">
        <v>2278.6800000000003</v>
      </c>
      <c r="X416" s="950"/>
      <c r="Y416" s="951">
        <v>74.362413793103457</v>
      </c>
      <c r="Z416" s="941">
        <v>2156.5100000000002</v>
      </c>
      <c r="AA416" s="950"/>
      <c r="AB416" s="951">
        <v>62.07595238095238</v>
      </c>
      <c r="AC416" s="941">
        <v>2607.19</v>
      </c>
      <c r="AD416" s="950"/>
      <c r="AE416" s="951">
        <v>105.67514285714286</v>
      </c>
      <c r="AF416" s="941">
        <v>3698.63</v>
      </c>
      <c r="AG416" s="950"/>
      <c r="AH416" s="951">
        <v>76.253513513513511</v>
      </c>
      <c r="AI416" s="941">
        <v>2821.38</v>
      </c>
      <c r="AJ416" s="950"/>
      <c r="AK416" s="951">
        <v>80.133684210526312</v>
      </c>
      <c r="AL416" s="941">
        <v>3045.08</v>
      </c>
      <c r="AM416" s="950"/>
      <c r="AN416" s="951">
        <v>108.71653846153846</v>
      </c>
      <c r="AO416" s="941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538.47485645933</v>
      </c>
      <c r="E417" s="947">
        <v>225082.48999999996</v>
      </c>
      <c r="F417" s="948"/>
      <c r="G417" s="949">
        <v>502.81115384615384</v>
      </c>
      <c r="H417" s="947">
        <v>13073.09</v>
      </c>
      <c r="I417" s="948"/>
      <c r="J417" s="949">
        <v>661.78947368421007</v>
      </c>
      <c r="K417" s="947">
        <v>12573.999999999991</v>
      </c>
      <c r="L417" s="948"/>
      <c r="M417" s="949">
        <v>659.63473684210521</v>
      </c>
      <c r="N417" s="947">
        <v>25066.12</v>
      </c>
      <c r="O417" s="948"/>
      <c r="P417" s="949">
        <v>591.19749999999965</v>
      </c>
      <c r="Q417" s="947">
        <v>23647.899999999987</v>
      </c>
      <c r="R417" s="948"/>
      <c r="S417" s="949">
        <v>396.78812500000004</v>
      </c>
      <c r="T417" s="947">
        <v>19045.830000000002</v>
      </c>
      <c r="U417" s="948"/>
      <c r="V417" s="949">
        <v>423.73924999999997</v>
      </c>
      <c r="W417" s="947">
        <v>16949.57</v>
      </c>
      <c r="X417" s="948"/>
      <c r="Y417" s="949">
        <v>625.05482758620656</v>
      </c>
      <c r="Z417" s="947">
        <v>18126.589999999989</v>
      </c>
      <c r="AA417" s="948"/>
      <c r="AB417" s="949">
        <v>360.56095238095241</v>
      </c>
      <c r="AC417" s="947">
        <v>15143.560000000001</v>
      </c>
      <c r="AD417" s="948"/>
      <c r="AE417" s="949">
        <v>479.3857142857143</v>
      </c>
      <c r="AF417" s="947">
        <v>16778.5</v>
      </c>
      <c r="AG417" s="948"/>
      <c r="AH417" s="949">
        <v>506.55864864864861</v>
      </c>
      <c r="AI417" s="947">
        <v>18742.669999999998</v>
      </c>
      <c r="AJ417" s="948"/>
      <c r="AK417" s="949">
        <v>553.87210526315789</v>
      </c>
      <c r="AL417" s="947">
        <v>21047.14</v>
      </c>
      <c r="AM417" s="948"/>
      <c r="AN417" s="949">
        <v>957.21230769230772</v>
      </c>
      <c r="AO417" s="947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453.52033492822966</v>
      </c>
      <c r="E418" s="947">
        <v>189571.5</v>
      </c>
      <c r="F418" s="948"/>
      <c r="G418" s="949">
        <v>514.38923076923072</v>
      </c>
      <c r="H418" s="947">
        <v>13374.119999999999</v>
      </c>
      <c r="I418" s="948"/>
      <c r="J418" s="949">
        <v>555.86894736842112</v>
      </c>
      <c r="K418" s="947">
        <v>10561.51</v>
      </c>
      <c r="L418" s="948"/>
      <c r="M418" s="949">
        <v>264.03026315789475</v>
      </c>
      <c r="N418" s="947">
        <v>10033.15</v>
      </c>
      <c r="O418" s="948"/>
      <c r="P418" s="949">
        <v>291.34875</v>
      </c>
      <c r="Q418" s="947">
        <v>11653.95</v>
      </c>
      <c r="R418" s="948"/>
      <c r="S418" s="949">
        <v>263.67562500000003</v>
      </c>
      <c r="T418" s="947">
        <v>12656.43</v>
      </c>
      <c r="U418" s="948"/>
      <c r="V418" s="949">
        <v>276.30025000000001</v>
      </c>
      <c r="W418" s="947">
        <v>11052.01</v>
      </c>
      <c r="X418" s="948"/>
      <c r="Y418" s="949">
        <v>449.73068965517245</v>
      </c>
      <c r="Z418" s="947">
        <v>13042.19</v>
      </c>
      <c r="AA418" s="948"/>
      <c r="AB418" s="949">
        <v>488.42476190476191</v>
      </c>
      <c r="AC418" s="947">
        <v>20513.84</v>
      </c>
      <c r="AD418" s="948"/>
      <c r="AE418" s="949">
        <v>637.14428571428573</v>
      </c>
      <c r="AF418" s="947">
        <v>22300.05</v>
      </c>
      <c r="AG418" s="948"/>
      <c r="AH418" s="949">
        <v>536.21783783783781</v>
      </c>
      <c r="AI418" s="947">
        <v>19840.059999999998</v>
      </c>
      <c r="AJ418" s="948"/>
      <c r="AK418" s="949">
        <v>563.71236842105259</v>
      </c>
      <c r="AL418" s="947">
        <v>21421.07</v>
      </c>
      <c r="AM418" s="948"/>
      <c r="AN418" s="949">
        <v>889.35076923076917</v>
      </c>
      <c r="AO418" s="947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0.25582798693166448</v>
      </c>
      <c r="D422" s="953">
        <v>2875.2167285364035</v>
      </c>
      <c r="E422" s="954">
        <v>1232827.43</v>
      </c>
      <c r="F422" s="952">
        <v>0.30083508994933794</v>
      </c>
      <c r="G422" s="953"/>
      <c r="H422" s="954">
        <v>74560.160000000003</v>
      </c>
      <c r="I422" s="952">
        <v>0.25796004490533331</v>
      </c>
      <c r="J422" s="953"/>
      <c r="K422" s="954">
        <v>58897.52</v>
      </c>
      <c r="L422" s="952">
        <v>0.24031478088258779</v>
      </c>
      <c r="M422" s="953"/>
      <c r="N422" s="954">
        <v>107499.90999999997</v>
      </c>
      <c r="O422" s="952">
        <v>0.23604553000487888</v>
      </c>
      <c r="P422" s="953"/>
      <c r="Q422" s="954">
        <v>115501.27</v>
      </c>
      <c r="R422" s="952">
        <v>0.23496602133482397</v>
      </c>
      <c r="S422" s="953"/>
      <c r="T422" s="954">
        <v>132446.38</v>
      </c>
      <c r="U422" s="952">
        <v>0.22198328967032069</v>
      </c>
      <c r="V422" s="953"/>
      <c r="W422" s="954">
        <v>100349.08</v>
      </c>
      <c r="X422" s="952">
        <v>0.24473408757051926</v>
      </c>
      <c r="Y422" s="953"/>
      <c r="Z422" s="954">
        <v>89663.7</v>
      </c>
      <c r="AA422" s="952">
        <v>0.26105813743074557</v>
      </c>
      <c r="AB422" s="953"/>
      <c r="AC422" s="954">
        <v>130055.93999999999</v>
      </c>
      <c r="AD422" s="952">
        <v>0.25627792407228972</v>
      </c>
      <c r="AE422" s="953"/>
      <c r="AF422" s="954">
        <v>105430.78000000001</v>
      </c>
      <c r="AG422" s="952">
        <v>0.26385084759860855</v>
      </c>
      <c r="AH422" s="953"/>
      <c r="AI422" s="954">
        <v>115717.90000000001</v>
      </c>
      <c r="AJ422" s="952">
        <v>0.25292213720398282</v>
      </c>
      <c r="AK422" s="953"/>
      <c r="AL422" s="954">
        <v>106411.43</v>
      </c>
      <c r="AM422" s="952">
        <v>0.37737628738570633</v>
      </c>
      <c r="AN422" s="953"/>
      <c r="AO422" s="954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160396.24999999983</v>
      </c>
      <c r="F423" s="948"/>
      <c r="G423" s="949"/>
      <c r="H423" s="955">
        <v>14048.1</v>
      </c>
      <c r="I423" s="948"/>
      <c r="J423" s="949"/>
      <c r="K423" s="955">
        <v>13952.97</v>
      </c>
      <c r="L423" s="948"/>
      <c r="M423" s="949"/>
      <c r="N423" s="955">
        <v>11384.54</v>
      </c>
      <c r="O423" s="948"/>
      <c r="P423" s="949"/>
      <c r="Q423" s="955">
        <v>12811.44</v>
      </c>
      <c r="R423" s="948"/>
      <c r="S423" s="949"/>
      <c r="T423" s="955">
        <v>14713.9899999999</v>
      </c>
      <c r="U423" s="948"/>
      <c r="V423" s="949"/>
      <c r="W423" s="955">
        <v>14713.99</v>
      </c>
      <c r="X423" s="948"/>
      <c r="Y423" s="949"/>
      <c r="Z423" s="955">
        <v>9006.36</v>
      </c>
      <c r="AA423" s="948"/>
      <c r="AB423" s="949"/>
      <c r="AC423" s="955">
        <v>14809.109999999901</v>
      </c>
      <c r="AD423" s="948"/>
      <c r="AE423" s="949"/>
      <c r="AF423" s="955">
        <v>13667.59</v>
      </c>
      <c r="AG423" s="948"/>
      <c r="AH423" s="949"/>
      <c r="AI423" s="955">
        <v>14713.99</v>
      </c>
      <c r="AJ423" s="948"/>
      <c r="AK423" s="949"/>
      <c r="AL423" s="955">
        <v>14238.35</v>
      </c>
      <c r="AM423" s="948"/>
      <c r="AN423" s="949"/>
      <c r="AO423" s="955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355313.90999999992</v>
      </c>
      <c r="F424" s="948"/>
      <c r="G424" s="949"/>
      <c r="H424" s="947">
        <v>35611.599999999999</v>
      </c>
      <c r="I424" s="948"/>
      <c r="J424" s="949"/>
      <c r="K424" s="947">
        <v>31987.95</v>
      </c>
      <c r="L424" s="948"/>
      <c r="M424" s="949"/>
      <c r="N424" s="947">
        <v>30733.79</v>
      </c>
      <c r="O424" s="948"/>
      <c r="P424" s="949"/>
      <c r="Q424" s="947">
        <v>27009.13</v>
      </c>
      <c r="R424" s="948"/>
      <c r="S424" s="949"/>
      <c r="T424" s="947">
        <v>30634.06</v>
      </c>
      <c r="U424" s="948"/>
      <c r="V424" s="949"/>
      <c r="W424" s="947">
        <v>22809.809999999899</v>
      </c>
      <c r="X424" s="948"/>
      <c r="Y424" s="949"/>
      <c r="Z424" s="947">
        <v>21755.71</v>
      </c>
      <c r="AA424" s="948"/>
      <c r="AB424" s="949"/>
      <c r="AC424" s="947">
        <v>35346.1</v>
      </c>
      <c r="AD424" s="948"/>
      <c r="AE424" s="949"/>
      <c r="AF424" s="947">
        <v>31809.14</v>
      </c>
      <c r="AG424" s="948"/>
      <c r="AH424" s="949"/>
      <c r="AI424" s="947">
        <v>31546.26</v>
      </c>
      <c r="AJ424" s="948"/>
      <c r="AK424" s="949"/>
      <c r="AL424" s="947">
        <v>29108.18</v>
      </c>
      <c r="AM424" s="948"/>
      <c r="AN424" s="949"/>
      <c r="AO424" s="947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229905.54999999996</v>
      </c>
      <c r="F425" s="950"/>
      <c r="G425" s="951"/>
      <c r="H425" s="941">
        <v>19350.14</v>
      </c>
      <c r="I425" s="950"/>
      <c r="J425" s="951"/>
      <c r="K425" s="941">
        <v>18091.03</v>
      </c>
      <c r="L425" s="950"/>
      <c r="M425" s="951"/>
      <c r="N425" s="941">
        <v>20328.82</v>
      </c>
      <c r="O425" s="950"/>
      <c r="P425" s="951"/>
      <c r="Q425" s="941">
        <v>19789.52</v>
      </c>
      <c r="R425" s="950"/>
      <c r="S425" s="951"/>
      <c r="T425" s="941">
        <v>24387.27</v>
      </c>
      <c r="U425" s="950"/>
      <c r="V425" s="951"/>
      <c r="W425" s="941">
        <v>18562.3</v>
      </c>
      <c r="X425" s="950"/>
      <c r="Y425" s="951"/>
      <c r="Z425" s="941">
        <v>17271.22</v>
      </c>
      <c r="AA425" s="950"/>
      <c r="AB425" s="951"/>
      <c r="AC425" s="941">
        <v>19876.96</v>
      </c>
      <c r="AD425" s="950"/>
      <c r="AE425" s="951"/>
      <c r="AF425" s="941">
        <v>17473.39</v>
      </c>
      <c r="AG425" s="950"/>
      <c r="AH425" s="951"/>
      <c r="AI425" s="941">
        <v>19917.48</v>
      </c>
      <c r="AJ425" s="950"/>
      <c r="AK425" s="951"/>
      <c r="AL425" s="941">
        <v>18747.400000000001</v>
      </c>
      <c r="AM425" s="950"/>
      <c r="AN425" s="951"/>
      <c r="AO425" s="941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251211.29000000004</v>
      </c>
      <c r="F426" s="948"/>
      <c r="G426" s="949"/>
      <c r="H426" s="947">
        <v>20747.84</v>
      </c>
      <c r="I426" s="948"/>
      <c r="J426" s="949"/>
      <c r="K426" s="947">
        <v>18891.66</v>
      </c>
      <c r="L426" s="948"/>
      <c r="M426" s="949"/>
      <c r="N426" s="947">
        <v>20157.150000000001</v>
      </c>
      <c r="O426" s="948"/>
      <c r="P426" s="949"/>
      <c r="Q426" s="947">
        <v>21320.63</v>
      </c>
      <c r="R426" s="948"/>
      <c r="S426" s="949"/>
      <c r="T426" s="947">
        <v>21902.42</v>
      </c>
      <c r="U426" s="948"/>
      <c r="V426" s="949"/>
      <c r="W426" s="947">
        <v>20946.169999999998</v>
      </c>
      <c r="X426" s="948"/>
      <c r="Y426" s="949"/>
      <c r="Z426" s="947">
        <v>18248.23</v>
      </c>
      <c r="AA426" s="948"/>
      <c r="AB426" s="949"/>
      <c r="AC426" s="947">
        <v>19593.86</v>
      </c>
      <c r="AD426" s="948"/>
      <c r="AE426" s="949"/>
      <c r="AF426" s="947">
        <v>19683.03</v>
      </c>
      <c r="AG426" s="948"/>
      <c r="AH426" s="949"/>
      <c r="AI426" s="947">
        <v>21807.07</v>
      </c>
      <c r="AJ426" s="948"/>
      <c r="AK426" s="949"/>
      <c r="AL426" s="947">
        <v>26784.41</v>
      </c>
      <c r="AM426" s="948"/>
      <c r="AN426" s="949"/>
      <c r="AO426" s="947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118586.2</v>
      </c>
      <c r="F427" s="948"/>
      <c r="G427" s="949"/>
      <c r="H427" s="947">
        <v>4333.8100000000004</v>
      </c>
      <c r="I427" s="948"/>
      <c r="J427" s="949"/>
      <c r="K427" s="947">
        <v>4084.04</v>
      </c>
      <c r="L427" s="948"/>
      <c r="M427" s="949"/>
      <c r="N427" s="947">
        <v>9264.17</v>
      </c>
      <c r="O427" s="948"/>
      <c r="P427" s="949"/>
      <c r="Q427" s="947">
        <v>11493.78</v>
      </c>
      <c r="R427" s="948"/>
      <c r="S427" s="949"/>
      <c r="T427" s="947">
        <v>13021.88</v>
      </c>
      <c r="U427" s="948"/>
      <c r="V427" s="949"/>
      <c r="W427" s="947">
        <v>13109.7</v>
      </c>
      <c r="X427" s="948"/>
      <c r="Y427" s="949"/>
      <c r="Z427" s="947">
        <v>8957.89</v>
      </c>
      <c r="AA427" s="948"/>
      <c r="AB427" s="949"/>
      <c r="AC427" s="947">
        <v>9697.6200000000008</v>
      </c>
      <c r="AD427" s="948"/>
      <c r="AE427" s="949"/>
      <c r="AF427" s="947">
        <v>13814.13</v>
      </c>
      <c r="AG427" s="948"/>
      <c r="AH427" s="949"/>
      <c r="AI427" s="947">
        <v>11193.92</v>
      </c>
      <c r="AJ427" s="948"/>
      <c r="AK427" s="949"/>
      <c r="AL427" s="947">
        <v>13574.37</v>
      </c>
      <c r="AM427" s="948"/>
      <c r="AN427" s="949"/>
      <c r="AO427" s="947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9.7386435135219315E-2</v>
      </c>
      <c r="E431" s="941">
        <v>230678.90999999968</v>
      </c>
      <c r="F431" s="950"/>
      <c r="G431" s="956">
        <v>9.5766528984358668E-2</v>
      </c>
      <c r="H431" s="941">
        <v>15933.23</v>
      </c>
      <c r="I431" s="950"/>
      <c r="J431" s="956">
        <v>0.1293229409794</v>
      </c>
      <c r="K431" s="941">
        <v>19076.89</v>
      </c>
      <c r="L431" s="950"/>
      <c r="M431" s="956">
        <v>5.6810430812754678E-2</v>
      </c>
      <c r="N431" s="941">
        <v>10895.859999999901</v>
      </c>
      <c r="O431" s="950"/>
      <c r="P431" s="956">
        <v>7.4645058620548946E-2</v>
      </c>
      <c r="Q431" s="941">
        <v>16271.63</v>
      </c>
      <c r="R431" s="950"/>
      <c r="S431" s="956">
        <v>0.10012945820108116</v>
      </c>
      <c r="T431" s="941">
        <v>25480.54</v>
      </c>
      <c r="U431" s="950"/>
      <c r="V431" s="956">
        <v>0.1213088653948219</v>
      </c>
      <c r="W431" s="941">
        <v>25019</v>
      </c>
      <c r="X431" s="950"/>
      <c r="Y431" s="956">
        <v>8.28306212525899E-2</v>
      </c>
      <c r="Z431" s="941">
        <v>14087.76</v>
      </c>
      <c r="AA431" s="950"/>
      <c r="AB431" s="956">
        <v>7.1190741337498711E-2</v>
      </c>
      <c r="AC431" s="941">
        <v>16480.5</v>
      </c>
      <c r="AD431" s="950"/>
      <c r="AE431" s="956">
        <v>0.11156690321953973</v>
      </c>
      <c r="AF431" s="941">
        <v>21755.949999999899</v>
      </c>
      <c r="AG431" s="950"/>
      <c r="AH431" s="956">
        <v>9.2222866984680768E-2</v>
      </c>
      <c r="AI431" s="941">
        <v>20395.04</v>
      </c>
      <c r="AJ431" s="950"/>
      <c r="AK431" s="956">
        <v>7.4345088075613186E-2</v>
      </c>
      <c r="AL431" s="941">
        <v>16189.77</v>
      </c>
      <c r="AM431" s="950"/>
      <c r="AN431" s="956">
        <v>0.19549750302172697</v>
      </c>
      <c r="AO431" s="941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0.12450926385453545</v>
      </c>
      <c r="E432" s="947">
        <v>294924.65999999986</v>
      </c>
      <c r="F432" s="948"/>
      <c r="G432" s="957">
        <v>0.149507888077693</v>
      </c>
      <c r="H432" s="947">
        <v>24874.49</v>
      </c>
      <c r="I432" s="948"/>
      <c r="J432" s="957">
        <v>0.15903959486306279</v>
      </c>
      <c r="K432" s="947">
        <v>23460.5</v>
      </c>
      <c r="L432" s="948"/>
      <c r="M432" s="957">
        <v>0.13684424846957638</v>
      </c>
      <c r="N432" s="947">
        <v>26245.81</v>
      </c>
      <c r="O432" s="948"/>
      <c r="P432" s="957">
        <v>0.14030961521964427</v>
      </c>
      <c r="Q432" s="947">
        <v>30585.63</v>
      </c>
      <c r="R432" s="948"/>
      <c r="S432" s="957">
        <v>0.12885126752248033</v>
      </c>
      <c r="T432" s="947">
        <v>32789.550000000003</v>
      </c>
      <c r="U432" s="948"/>
      <c r="V432" s="957">
        <v>0.11908710799839456</v>
      </c>
      <c r="W432" s="947">
        <v>24560.78</v>
      </c>
      <c r="X432" s="948"/>
      <c r="Y432" s="957">
        <v>0.13294846933894827</v>
      </c>
      <c r="Z432" s="947">
        <v>22611.759999999998</v>
      </c>
      <c r="AA432" s="948"/>
      <c r="AB432" s="957">
        <v>0.10474678377073092</v>
      </c>
      <c r="AC432" s="947">
        <v>24248.6499999999</v>
      </c>
      <c r="AD432" s="948"/>
      <c r="AE432" s="957">
        <v>0.11294226230261779</v>
      </c>
      <c r="AF432" s="947">
        <v>22024.15</v>
      </c>
      <c r="AG432" s="948"/>
      <c r="AH432" s="957">
        <v>9.7199274572145694E-2</v>
      </c>
      <c r="AI432" s="947">
        <v>21495.57</v>
      </c>
      <c r="AJ432" s="948"/>
      <c r="AK432" s="957">
        <v>0.10067992510831346</v>
      </c>
      <c r="AL432" s="947">
        <v>21924.5799999999</v>
      </c>
      <c r="AM432" s="948"/>
      <c r="AN432" s="957">
        <v>0.13508949132228057</v>
      </c>
      <c r="AO432" s="947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5.7689256030147712E-2</v>
      </c>
      <c r="E433" s="947">
        <v>136648.33999999988</v>
      </c>
      <c r="F433" s="948"/>
      <c r="G433" s="957">
        <v>4.5247153476735205E-2</v>
      </c>
      <c r="H433" s="947">
        <v>7528.03</v>
      </c>
      <c r="I433" s="948"/>
      <c r="J433" s="957">
        <v>6.4703669994315108E-2</v>
      </c>
      <c r="K433" s="947">
        <v>9544.67</v>
      </c>
      <c r="L433" s="948"/>
      <c r="M433" s="957">
        <v>5.6124327596428034E-2</v>
      </c>
      <c r="N433" s="947">
        <v>10764.27</v>
      </c>
      <c r="O433" s="948"/>
      <c r="P433" s="957">
        <v>5.1038710159839622E-2</v>
      </c>
      <c r="Q433" s="947">
        <v>11125.7599999999</v>
      </c>
      <c r="R433" s="948"/>
      <c r="S433" s="957">
        <v>5.3409720902516687E-2</v>
      </c>
      <c r="T433" s="947">
        <v>13591.49</v>
      </c>
      <c r="U433" s="948"/>
      <c r="V433" s="957">
        <v>6.1103758911733586E-2</v>
      </c>
      <c r="W433" s="947">
        <v>12602.17</v>
      </c>
      <c r="X433" s="948"/>
      <c r="Y433" s="957">
        <v>7.094674108457634E-2</v>
      </c>
      <c r="Z433" s="947">
        <v>12066.56</v>
      </c>
      <c r="AA433" s="948"/>
      <c r="AB433" s="957">
        <v>5.3203918136587071E-2</v>
      </c>
      <c r="AC433" s="947">
        <v>12316.59</v>
      </c>
      <c r="AD433" s="948"/>
      <c r="AE433" s="957">
        <v>5.9411050933310894E-2</v>
      </c>
      <c r="AF433" s="947">
        <v>11585.37</v>
      </c>
      <c r="AG433" s="948"/>
      <c r="AH433" s="957">
        <v>5.3065191332794817E-2</v>
      </c>
      <c r="AI433" s="947">
        <v>11735.34</v>
      </c>
      <c r="AJ433" s="948"/>
      <c r="AK433" s="957">
        <v>5.8163436244806091E-2</v>
      </c>
      <c r="AL433" s="947">
        <v>12665.97</v>
      </c>
      <c r="AM433" s="948"/>
      <c r="AN433" s="957">
        <v>7.4738463558537888E-2</v>
      </c>
      <c r="AO433" s="947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1.1697104194673276E-2</v>
      </c>
      <c r="E434" s="947">
        <v>27706.889999999985</v>
      </c>
      <c r="F434" s="948"/>
      <c r="G434" s="957">
        <v>1.4061783155083213E-2</v>
      </c>
      <c r="H434" s="947">
        <v>2339.54</v>
      </c>
      <c r="I434" s="948"/>
      <c r="J434" s="957">
        <v>2.2569176342950869E-2</v>
      </c>
      <c r="K434" s="947">
        <v>3329.2599999999902</v>
      </c>
      <c r="L434" s="948"/>
      <c r="M434" s="957">
        <v>1.2600231603502312E-2</v>
      </c>
      <c r="N434" s="947">
        <v>2416.64</v>
      </c>
      <c r="O434" s="948"/>
      <c r="P434" s="957">
        <v>1.3623032964855208E-2</v>
      </c>
      <c r="Q434" s="947">
        <v>2969.64</v>
      </c>
      <c r="R434" s="948"/>
      <c r="S434" s="957">
        <v>1.3288131421136992E-2</v>
      </c>
      <c r="T434" s="947">
        <v>3381.51</v>
      </c>
      <c r="U434" s="948"/>
      <c r="V434" s="957">
        <v>1.3722559317896921E-2</v>
      </c>
      <c r="W434" s="947">
        <v>2830.17</v>
      </c>
      <c r="X434" s="948"/>
      <c r="Y434" s="957">
        <v>1.4286702901173117E-2</v>
      </c>
      <c r="Z434" s="947">
        <v>2429.87</v>
      </c>
      <c r="AA434" s="948"/>
      <c r="AB434" s="957">
        <v>8.2489768801258627E-3</v>
      </c>
      <c r="AC434" s="947">
        <v>1909.62</v>
      </c>
      <c r="AD434" s="948"/>
      <c r="AE434" s="957">
        <v>7.7966244934324818E-3</v>
      </c>
      <c r="AF434" s="947">
        <v>1520.37</v>
      </c>
      <c r="AG434" s="948"/>
      <c r="AH434" s="957">
        <v>7.2229874914023053E-3</v>
      </c>
      <c r="AI434" s="947">
        <v>1597.36</v>
      </c>
      <c r="AJ434" s="948"/>
      <c r="AK434" s="957">
        <v>6.7846941172775288E-3</v>
      </c>
      <c r="AL434" s="947">
        <v>1477.47</v>
      </c>
      <c r="AM434" s="948"/>
      <c r="AN434" s="957">
        <v>1.0116261340424782E-2</v>
      </c>
      <c r="AO434" s="947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0.37463855295853754</v>
      </c>
      <c r="D436" s="958"/>
      <c r="E436" s="954">
        <v>1805371.9999999991</v>
      </c>
      <c r="F436" s="952">
        <v>0.58410453093147885</v>
      </c>
      <c r="G436" s="958"/>
      <c r="H436" s="954">
        <v>144766.78</v>
      </c>
      <c r="I436" s="952">
        <v>0.62376826556655207</v>
      </c>
      <c r="J436" s="958"/>
      <c r="K436" s="954">
        <v>142418.96999999997</v>
      </c>
      <c r="L436" s="952">
        <v>0.31786641518318542</v>
      </c>
      <c r="M436" s="958"/>
      <c r="N436" s="954">
        <v>142191.0499999999</v>
      </c>
      <c r="O436" s="952">
        <v>0.31345103844176853</v>
      </c>
      <c r="P436" s="958"/>
      <c r="Q436" s="954">
        <v>153377.15999999992</v>
      </c>
      <c r="R436" s="952">
        <v>0.31915575190543244</v>
      </c>
      <c r="S436" s="958"/>
      <c r="T436" s="954">
        <v>179902.7099999999</v>
      </c>
      <c r="U436" s="952">
        <v>0.34321804747990697</v>
      </c>
      <c r="V436" s="958"/>
      <c r="W436" s="954">
        <v>155154.08999999991</v>
      </c>
      <c r="X436" s="952">
        <v>0.34510111077559957</v>
      </c>
      <c r="Y436" s="958"/>
      <c r="Z436" s="954">
        <v>126435.35999999999</v>
      </c>
      <c r="AA436" s="952">
        <v>0.30968051897713644</v>
      </c>
      <c r="AB436" s="958"/>
      <c r="AC436" s="954">
        <v>154279.00999999978</v>
      </c>
      <c r="AD436" s="952">
        <v>0.37271747098074443</v>
      </c>
      <c r="AE436" s="958"/>
      <c r="AF436" s="954">
        <v>153333.11999999988</v>
      </c>
      <c r="AG436" s="952">
        <v>0.35205535605507682</v>
      </c>
      <c r="AH436" s="958"/>
      <c r="AI436" s="954">
        <v>154402.02999999997</v>
      </c>
      <c r="AJ436" s="952">
        <v>0.36772093287250018</v>
      </c>
      <c r="AK436" s="958"/>
      <c r="AL436" s="954">
        <v>154710.49999999988</v>
      </c>
      <c r="AM436" s="952">
        <v>0.56591229444653879</v>
      </c>
      <c r="AN436" s="958"/>
      <c r="AO436" s="954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98362.909999999902</v>
      </c>
      <c r="F437" s="959"/>
      <c r="G437" s="960"/>
      <c r="H437" s="961">
        <v>5903.7199999999903</v>
      </c>
      <c r="I437" s="959"/>
      <c r="J437" s="960"/>
      <c r="K437" s="961">
        <v>5663.38</v>
      </c>
      <c r="L437" s="959"/>
      <c r="M437" s="960"/>
      <c r="N437" s="961">
        <v>8433.31</v>
      </c>
      <c r="O437" s="959"/>
      <c r="P437" s="960"/>
      <c r="Q437" s="961">
        <v>10801.26</v>
      </c>
      <c r="R437" s="959"/>
      <c r="S437" s="960"/>
      <c r="T437" s="961">
        <v>10071.379999999999</v>
      </c>
      <c r="U437" s="959"/>
      <c r="V437" s="960"/>
      <c r="W437" s="961">
        <v>6169.43</v>
      </c>
      <c r="X437" s="959"/>
      <c r="Y437" s="960"/>
      <c r="Z437" s="961">
        <v>5670.4699999999903</v>
      </c>
      <c r="AA437" s="959"/>
      <c r="AB437" s="960"/>
      <c r="AC437" s="961">
        <v>8395.2900000000009</v>
      </c>
      <c r="AD437" s="959"/>
      <c r="AE437" s="960"/>
      <c r="AF437" s="961">
        <v>6394.18</v>
      </c>
      <c r="AG437" s="959"/>
      <c r="AH437" s="960"/>
      <c r="AI437" s="961">
        <v>12227.79</v>
      </c>
      <c r="AJ437" s="959"/>
      <c r="AK437" s="960"/>
      <c r="AL437" s="961">
        <v>13476.789999999901</v>
      </c>
      <c r="AM437" s="959"/>
      <c r="AN437" s="960"/>
      <c r="AO437" s="961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50578.169999999984</v>
      </c>
      <c r="F438" s="948"/>
      <c r="G438" s="949"/>
      <c r="H438" s="947">
        <v>2753.75</v>
      </c>
      <c r="I438" s="948"/>
      <c r="J438" s="949"/>
      <c r="K438" s="947">
        <v>2242.58</v>
      </c>
      <c r="L438" s="948"/>
      <c r="M438" s="949"/>
      <c r="N438" s="947">
        <v>2293.56</v>
      </c>
      <c r="O438" s="948"/>
      <c r="P438" s="949"/>
      <c r="Q438" s="947">
        <v>2501.37</v>
      </c>
      <c r="R438" s="948"/>
      <c r="S438" s="949"/>
      <c r="T438" s="947">
        <v>5078.0499999999902</v>
      </c>
      <c r="U438" s="948"/>
      <c r="V438" s="949"/>
      <c r="W438" s="947">
        <v>6843.28999999999</v>
      </c>
      <c r="X438" s="948"/>
      <c r="Y438" s="949"/>
      <c r="Z438" s="947">
        <v>8371.4699999999993</v>
      </c>
      <c r="AA438" s="948"/>
      <c r="AB438" s="949"/>
      <c r="AC438" s="947">
        <v>6609.36</v>
      </c>
      <c r="AD438" s="948"/>
      <c r="AE438" s="949"/>
      <c r="AF438" s="947">
        <v>2429.71</v>
      </c>
      <c r="AG438" s="948"/>
      <c r="AH438" s="949"/>
      <c r="AI438" s="947">
        <v>5879.34</v>
      </c>
      <c r="AJ438" s="948"/>
      <c r="AK438" s="949"/>
      <c r="AL438" s="947">
        <v>3462.64</v>
      </c>
      <c r="AM438" s="948"/>
      <c r="AN438" s="949"/>
      <c r="AO438" s="947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188436.8199999998</v>
      </c>
      <c r="F439" s="950"/>
      <c r="G439" s="951"/>
      <c r="H439" s="941">
        <v>8587.8599999999897</v>
      </c>
      <c r="I439" s="950"/>
      <c r="J439" s="951"/>
      <c r="K439" s="941">
        <v>12923.37</v>
      </c>
      <c r="L439" s="950"/>
      <c r="M439" s="951"/>
      <c r="N439" s="941">
        <v>15255.88</v>
      </c>
      <c r="O439" s="950"/>
      <c r="P439" s="951"/>
      <c r="Q439" s="941">
        <v>16557.61</v>
      </c>
      <c r="R439" s="950"/>
      <c r="S439" s="951"/>
      <c r="T439" s="941">
        <v>14038.64</v>
      </c>
      <c r="U439" s="950"/>
      <c r="V439" s="951"/>
      <c r="W439" s="941">
        <v>17555.900000000001</v>
      </c>
      <c r="X439" s="950"/>
      <c r="Y439" s="951"/>
      <c r="Z439" s="941">
        <v>14873.8999999999</v>
      </c>
      <c r="AA439" s="950"/>
      <c r="AB439" s="951"/>
      <c r="AC439" s="941">
        <v>13590.859999999901</v>
      </c>
      <c r="AD439" s="950"/>
      <c r="AE439" s="951"/>
      <c r="AF439" s="941">
        <v>24224.79</v>
      </c>
      <c r="AG439" s="950"/>
      <c r="AH439" s="951"/>
      <c r="AI439" s="941">
        <v>21538.73</v>
      </c>
      <c r="AJ439" s="950"/>
      <c r="AK439" s="951"/>
      <c r="AL439" s="941">
        <v>16656.37</v>
      </c>
      <c r="AM439" s="950"/>
      <c r="AN439" s="951"/>
      <c r="AO439" s="941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165518.12999999983</v>
      </c>
      <c r="F440" s="948"/>
      <c r="G440" s="949"/>
      <c r="H440" s="947">
        <v>12494.33</v>
      </c>
      <c r="I440" s="948"/>
      <c r="J440" s="949"/>
      <c r="K440" s="947">
        <v>13959.08</v>
      </c>
      <c r="L440" s="948"/>
      <c r="M440" s="949"/>
      <c r="N440" s="947">
        <v>12575.619999999901</v>
      </c>
      <c r="O440" s="948"/>
      <c r="P440" s="949"/>
      <c r="Q440" s="947">
        <v>12709.38</v>
      </c>
      <c r="R440" s="948"/>
      <c r="S440" s="949"/>
      <c r="T440" s="947">
        <v>14771.27</v>
      </c>
      <c r="U440" s="948"/>
      <c r="V440" s="949"/>
      <c r="W440" s="947">
        <v>13138.59</v>
      </c>
      <c r="X440" s="948"/>
      <c r="Y440" s="949"/>
      <c r="Z440" s="947">
        <v>14537.83</v>
      </c>
      <c r="AA440" s="948"/>
      <c r="AB440" s="949"/>
      <c r="AC440" s="947">
        <v>15708.99</v>
      </c>
      <c r="AD440" s="948"/>
      <c r="AE440" s="949"/>
      <c r="AF440" s="947">
        <v>12426.25</v>
      </c>
      <c r="AG440" s="948"/>
      <c r="AH440" s="949"/>
      <c r="AI440" s="947">
        <v>14414.199999999901</v>
      </c>
      <c r="AJ440" s="948"/>
      <c r="AK440" s="949"/>
      <c r="AL440" s="947">
        <v>14607.89</v>
      </c>
      <c r="AM440" s="948"/>
      <c r="AN440" s="949"/>
      <c r="AO440" s="947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23250.789999999961</v>
      </c>
      <c r="F441" s="948"/>
      <c r="G441" s="949"/>
      <c r="H441" s="947">
        <v>1591.8999999999901</v>
      </c>
      <c r="I441" s="948"/>
      <c r="J441" s="949"/>
      <c r="K441" s="947">
        <v>1538.18</v>
      </c>
      <c r="L441" s="948"/>
      <c r="M441" s="949"/>
      <c r="N441" s="947">
        <v>1584.23</v>
      </c>
      <c r="O441" s="948"/>
      <c r="P441" s="949"/>
      <c r="Q441" s="947">
        <v>1272.6499999999901</v>
      </c>
      <c r="R441" s="948"/>
      <c r="S441" s="949"/>
      <c r="T441" s="947">
        <v>1450.42</v>
      </c>
      <c r="U441" s="948"/>
      <c r="V441" s="949"/>
      <c r="W441" s="947">
        <v>3017.52</v>
      </c>
      <c r="X441" s="948"/>
      <c r="Y441" s="949"/>
      <c r="Z441" s="947">
        <v>1849.23</v>
      </c>
      <c r="AA441" s="948"/>
      <c r="AB441" s="949"/>
      <c r="AC441" s="947">
        <v>1914.5799999999899</v>
      </c>
      <c r="AD441" s="948"/>
      <c r="AE441" s="949"/>
      <c r="AF441" s="947">
        <v>2077.75</v>
      </c>
      <c r="AG441" s="948"/>
      <c r="AH441" s="949"/>
      <c r="AI441" s="947">
        <v>1626.3</v>
      </c>
      <c r="AJ441" s="948"/>
      <c r="AK441" s="949"/>
      <c r="AL441" s="947">
        <v>2480.77</v>
      </c>
      <c r="AM441" s="948"/>
      <c r="AN441" s="949"/>
      <c r="AO441" s="947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128324.14999999981</v>
      </c>
      <c r="F442" s="962"/>
      <c r="G442" s="963"/>
      <c r="H442" s="964">
        <v>9248.9299999999894</v>
      </c>
      <c r="I442" s="962"/>
      <c r="J442" s="963"/>
      <c r="K442" s="964">
        <v>10706.6899999999</v>
      </c>
      <c r="L442" s="962"/>
      <c r="M442" s="963"/>
      <c r="N442" s="964">
        <v>12052.85</v>
      </c>
      <c r="O442" s="962"/>
      <c r="P442" s="963"/>
      <c r="Q442" s="964">
        <v>13417.029999999901</v>
      </c>
      <c r="R442" s="962"/>
      <c r="S442" s="963"/>
      <c r="T442" s="964">
        <v>9517.7800000000007</v>
      </c>
      <c r="U442" s="962"/>
      <c r="V442" s="963"/>
      <c r="W442" s="964">
        <v>11743.38</v>
      </c>
      <c r="X442" s="962"/>
      <c r="Y442" s="963"/>
      <c r="Z442" s="964">
        <v>9565.2000000000007</v>
      </c>
      <c r="AA442" s="962"/>
      <c r="AB442" s="963"/>
      <c r="AC442" s="964">
        <v>9450.4500000000007</v>
      </c>
      <c r="AD442" s="962"/>
      <c r="AE442" s="963"/>
      <c r="AF442" s="964">
        <v>10621.5</v>
      </c>
      <c r="AG442" s="962"/>
      <c r="AH442" s="963"/>
      <c r="AI442" s="964">
        <v>9933.0400000000009</v>
      </c>
      <c r="AJ442" s="962"/>
      <c r="AK442" s="963"/>
      <c r="AL442" s="964">
        <v>11928.33</v>
      </c>
      <c r="AM442" s="962"/>
      <c r="AN442" s="963"/>
      <c r="AO442" s="964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21542.9</v>
      </c>
      <c r="F444" s="948"/>
      <c r="G444" s="965"/>
      <c r="H444" s="947">
        <v>1382.97</v>
      </c>
      <c r="I444" s="948"/>
      <c r="J444" s="965"/>
      <c r="K444" s="947">
        <v>1021.21</v>
      </c>
      <c r="L444" s="948"/>
      <c r="M444" s="965"/>
      <c r="N444" s="947">
        <v>1670.75</v>
      </c>
      <c r="O444" s="948"/>
      <c r="P444" s="965"/>
      <c r="Q444" s="947">
        <v>889.06</v>
      </c>
      <c r="R444" s="948"/>
      <c r="S444" s="965"/>
      <c r="T444" s="947">
        <v>2484.9699999999998</v>
      </c>
      <c r="U444" s="948"/>
      <c r="V444" s="965"/>
      <c r="W444" s="947">
        <v>1161.21</v>
      </c>
      <c r="X444" s="948"/>
      <c r="Y444" s="965"/>
      <c r="Z444" s="947">
        <v>1213.31</v>
      </c>
      <c r="AA444" s="948"/>
      <c r="AB444" s="965"/>
      <c r="AC444" s="947">
        <v>1948.12</v>
      </c>
      <c r="AD444" s="948"/>
      <c r="AE444" s="965"/>
      <c r="AF444" s="947">
        <v>1000.36</v>
      </c>
      <c r="AG444" s="948"/>
      <c r="AH444" s="965"/>
      <c r="AI444" s="947">
        <v>2732.29</v>
      </c>
      <c r="AJ444" s="948"/>
      <c r="AK444" s="965"/>
      <c r="AL444" s="947">
        <v>2371.11</v>
      </c>
      <c r="AM444" s="948"/>
      <c r="AN444" s="965"/>
      <c r="AO444" s="947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12670.719999999988</v>
      </c>
      <c r="F445" s="948"/>
      <c r="G445" s="949"/>
      <c r="H445" s="947">
        <v>828.6</v>
      </c>
      <c r="I445" s="948"/>
      <c r="J445" s="949"/>
      <c r="K445" s="947">
        <v>665.73</v>
      </c>
      <c r="L445" s="948"/>
      <c r="M445" s="949"/>
      <c r="N445" s="947">
        <v>1296.07</v>
      </c>
      <c r="O445" s="948"/>
      <c r="P445" s="949"/>
      <c r="Q445" s="947">
        <v>1309.1599999999901</v>
      </c>
      <c r="R445" s="948"/>
      <c r="S445" s="949"/>
      <c r="T445" s="947">
        <v>1310.78</v>
      </c>
      <c r="U445" s="948"/>
      <c r="V445" s="949"/>
      <c r="W445" s="947">
        <v>747.98</v>
      </c>
      <c r="X445" s="948"/>
      <c r="Y445" s="949"/>
      <c r="Z445" s="947">
        <v>816.55</v>
      </c>
      <c r="AA445" s="948"/>
      <c r="AB445" s="949"/>
      <c r="AC445" s="947">
        <v>1031.8</v>
      </c>
      <c r="AD445" s="948"/>
      <c r="AE445" s="949"/>
      <c r="AF445" s="947">
        <v>930.02</v>
      </c>
      <c r="AG445" s="948"/>
      <c r="AH445" s="949"/>
      <c r="AI445" s="947">
        <v>612.80999999999995</v>
      </c>
      <c r="AJ445" s="948"/>
      <c r="AK445" s="949"/>
      <c r="AL445" s="947">
        <v>710.75</v>
      </c>
      <c r="AM445" s="948"/>
      <c r="AN445" s="949"/>
      <c r="AO445" s="947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19223.039999999983</v>
      </c>
      <c r="F446" s="948"/>
      <c r="G446" s="949"/>
      <c r="H446" s="947">
        <v>1464.5</v>
      </c>
      <c r="I446" s="948"/>
      <c r="J446" s="949"/>
      <c r="K446" s="947">
        <v>1695.86</v>
      </c>
      <c r="L446" s="948"/>
      <c r="M446" s="949"/>
      <c r="N446" s="947">
        <v>2275.29</v>
      </c>
      <c r="O446" s="948"/>
      <c r="P446" s="949"/>
      <c r="Q446" s="947">
        <v>1477.22</v>
      </c>
      <c r="R446" s="948"/>
      <c r="S446" s="949"/>
      <c r="T446" s="947">
        <v>1478.17</v>
      </c>
      <c r="U446" s="948"/>
      <c r="V446" s="949"/>
      <c r="W446" s="947">
        <v>2650.53</v>
      </c>
      <c r="X446" s="948"/>
      <c r="Y446" s="949"/>
      <c r="Z446" s="947">
        <v>1313.04</v>
      </c>
      <c r="AA446" s="948"/>
      <c r="AB446" s="949"/>
      <c r="AC446" s="947">
        <v>1636.49</v>
      </c>
      <c r="AD446" s="948"/>
      <c r="AE446" s="949"/>
      <c r="AF446" s="947">
        <v>1282.6499999999901</v>
      </c>
      <c r="AG446" s="948"/>
      <c r="AH446" s="949"/>
      <c r="AI446" s="947">
        <v>1478.6899999999901</v>
      </c>
      <c r="AJ446" s="948"/>
      <c r="AK446" s="949"/>
      <c r="AL446" s="947">
        <v>1703.29</v>
      </c>
      <c r="AM446" s="948"/>
      <c r="AN446" s="949"/>
      <c r="AO446" s="947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6384.1299999999992</v>
      </c>
      <c r="F447" s="948"/>
      <c r="G447" s="949"/>
      <c r="H447" s="947">
        <v>650.03</v>
      </c>
      <c r="I447" s="948"/>
      <c r="J447" s="949"/>
      <c r="K447" s="947">
        <v>454.21</v>
      </c>
      <c r="L447" s="948"/>
      <c r="M447" s="949"/>
      <c r="N447" s="947">
        <v>474.63</v>
      </c>
      <c r="O447" s="948"/>
      <c r="P447" s="949"/>
      <c r="Q447" s="947">
        <v>465.06</v>
      </c>
      <c r="R447" s="948"/>
      <c r="S447" s="949"/>
      <c r="T447" s="947">
        <v>511.55</v>
      </c>
      <c r="U447" s="948"/>
      <c r="V447" s="949"/>
      <c r="W447" s="947">
        <v>574.98</v>
      </c>
      <c r="X447" s="948"/>
      <c r="Y447" s="949"/>
      <c r="Z447" s="947">
        <v>547.44000000000005</v>
      </c>
      <c r="AA447" s="948"/>
      <c r="AB447" s="949"/>
      <c r="AC447" s="947">
        <v>646.64</v>
      </c>
      <c r="AD447" s="948"/>
      <c r="AE447" s="949"/>
      <c r="AF447" s="947">
        <v>532.84</v>
      </c>
      <c r="AG447" s="948"/>
      <c r="AH447" s="949"/>
      <c r="AI447" s="947">
        <v>495.21</v>
      </c>
      <c r="AJ447" s="948"/>
      <c r="AK447" s="949"/>
      <c r="AL447" s="947">
        <v>496.31999999999903</v>
      </c>
      <c r="AM447" s="948"/>
      <c r="AN447" s="949"/>
      <c r="AO447" s="947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12764.449999999988</v>
      </c>
      <c r="F448" s="948"/>
      <c r="G448" s="949"/>
      <c r="H448" s="947">
        <v>904.91</v>
      </c>
      <c r="I448" s="948"/>
      <c r="J448" s="949"/>
      <c r="K448" s="947">
        <v>1217.2</v>
      </c>
      <c r="L448" s="948"/>
      <c r="M448" s="949"/>
      <c r="N448" s="947">
        <v>1236.3899999999901</v>
      </c>
      <c r="O448" s="948"/>
      <c r="P448" s="949"/>
      <c r="Q448" s="947">
        <v>1993.94</v>
      </c>
      <c r="R448" s="948"/>
      <c r="S448" s="949"/>
      <c r="T448" s="947">
        <v>863.92</v>
      </c>
      <c r="U448" s="948"/>
      <c r="V448" s="949"/>
      <c r="W448" s="947">
        <v>-442.88999999999902</v>
      </c>
      <c r="X448" s="948"/>
      <c r="Y448" s="949"/>
      <c r="Z448" s="947">
        <v>427.95</v>
      </c>
      <c r="AA448" s="948"/>
      <c r="AB448" s="949"/>
      <c r="AC448" s="947">
        <v>1008.94</v>
      </c>
      <c r="AD448" s="948"/>
      <c r="AE448" s="949"/>
      <c r="AF448" s="947">
        <v>830.32999999999902</v>
      </c>
      <c r="AG448" s="948"/>
      <c r="AH448" s="949"/>
      <c r="AI448" s="947">
        <v>2265.1999999999998</v>
      </c>
      <c r="AJ448" s="948"/>
      <c r="AK448" s="949"/>
      <c r="AL448" s="947">
        <v>1253.58</v>
      </c>
      <c r="AM448" s="948"/>
      <c r="AN448" s="949"/>
      <c r="AO448" s="947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22162.599999999995</v>
      </c>
      <c r="F449" s="948"/>
      <c r="G449" s="949"/>
      <c r="H449" s="947">
        <v>1485.29999999999</v>
      </c>
      <c r="I449" s="948"/>
      <c r="J449" s="949"/>
      <c r="K449" s="947">
        <v>1694.95</v>
      </c>
      <c r="L449" s="948"/>
      <c r="M449" s="949"/>
      <c r="N449" s="947">
        <v>1671</v>
      </c>
      <c r="O449" s="948"/>
      <c r="P449" s="949"/>
      <c r="Q449" s="947">
        <v>1845.74</v>
      </c>
      <c r="R449" s="948"/>
      <c r="S449" s="949"/>
      <c r="T449" s="947">
        <v>2161</v>
      </c>
      <c r="U449" s="948"/>
      <c r="V449" s="949"/>
      <c r="W449" s="947">
        <v>2212</v>
      </c>
      <c r="X449" s="948"/>
      <c r="Y449" s="949"/>
      <c r="Z449" s="947">
        <v>1484.79</v>
      </c>
      <c r="AA449" s="948"/>
      <c r="AB449" s="949"/>
      <c r="AC449" s="947">
        <v>2306.5</v>
      </c>
      <c r="AD449" s="948"/>
      <c r="AE449" s="949"/>
      <c r="AF449" s="947">
        <v>1589.31</v>
      </c>
      <c r="AG449" s="948"/>
      <c r="AH449" s="949"/>
      <c r="AI449" s="947">
        <v>2063.52</v>
      </c>
      <c r="AJ449" s="948"/>
      <c r="AK449" s="949"/>
      <c r="AL449" s="947">
        <v>1670.99</v>
      </c>
      <c r="AM449" s="948"/>
      <c r="AN449" s="949"/>
      <c r="AO449" s="947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33842.219999999979</v>
      </c>
      <c r="F450" s="948"/>
      <c r="G450" s="949"/>
      <c r="H450" s="947">
        <v>1501.03999999999</v>
      </c>
      <c r="I450" s="948"/>
      <c r="J450" s="949"/>
      <c r="K450" s="947">
        <v>2867.37</v>
      </c>
      <c r="L450" s="948"/>
      <c r="M450" s="949"/>
      <c r="N450" s="947">
        <v>2988.18</v>
      </c>
      <c r="O450" s="948"/>
      <c r="P450" s="949"/>
      <c r="Q450" s="947">
        <v>4208.7700000000004</v>
      </c>
      <c r="R450" s="948"/>
      <c r="S450" s="949"/>
      <c r="T450" s="947">
        <v>1940.6</v>
      </c>
      <c r="U450" s="948"/>
      <c r="V450" s="949"/>
      <c r="W450" s="947">
        <v>1938.32</v>
      </c>
      <c r="X450" s="948"/>
      <c r="Y450" s="949"/>
      <c r="Z450" s="947">
        <v>3686.5</v>
      </c>
      <c r="AA450" s="948"/>
      <c r="AB450" s="949"/>
      <c r="AC450" s="947">
        <v>2519.7399999999998</v>
      </c>
      <c r="AD450" s="948"/>
      <c r="AE450" s="949"/>
      <c r="AF450" s="947">
        <v>1810.52999999999</v>
      </c>
      <c r="AG450" s="948"/>
      <c r="AH450" s="949"/>
      <c r="AI450" s="947">
        <v>4375.3</v>
      </c>
      <c r="AJ450" s="948"/>
      <c r="AK450" s="949"/>
      <c r="AL450" s="947">
        <v>3247.26</v>
      </c>
      <c r="AM450" s="948"/>
      <c r="AN450" s="949"/>
      <c r="AO450" s="947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69458.809999999969</v>
      </c>
      <c r="F451" s="948"/>
      <c r="G451" s="949"/>
      <c r="H451" s="947">
        <v>4199.1399999999903</v>
      </c>
      <c r="I451" s="948"/>
      <c r="J451" s="949"/>
      <c r="K451" s="947">
        <v>3889.93</v>
      </c>
      <c r="L451" s="948"/>
      <c r="M451" s="949"/>
      <c r="N451" s="947">
        <v>4887.95</v>
      </c>
      <c r="O451" s="948"/>
      <c r="P451" s="949"/>
      <c r="Q451" s="947">
        <v>7366.5999999999904</v>
      </c>
      <c r="R451" s="948"/>
      <c r="S451" s="949"/>
      <c r="T451" s="947">
        <v>7076.77</v>
      </c>
      <c r="U451" s="948"/>
      <c r="V451" s="949"/>
      <c r="W451" s="947">
        <v>6937.65</v>
      </c>
      <c r="X451" s="948"/>
      <c r="Y451" s="949"/>
      <c r="Z451" s="947">
        <v>5397.62</v>
      </c>
      <c r="AA451" s="948"/>
      <c r="AB451" s="949"/>
      <c r="AC451" s="947">
        <v>5844</v>
      </c>
      <c r="AD451" s="948"/>
      <c r="AE451" s="949"/>
      <c r="AF451" s="947">
        <v>5725.43</v>
      </c>
      <c r="AG451" s="948"/>
      <c r="AH451" s="949"/>
      <c r="AI451" s="947">
        <v>6812.34</v>
      </c>
      <c r="AJ451" s="948"/>
      <c r="AK451" s="949"/>
      <c r="AL451" s="947">
        <v>7798.8599999999897</v>
      </c>
      <c r="AM451" s="948"/>
      <c r="AN451" s="949"/>
      <c r="AO451" s="947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/>
      <c r="I452" s="948"/>
      <c r="J452" s="949"/>
      <c r="K452" s="947"/>
      <c r="L452" s="948"/>
      <c r="M452" s="949"/>
      <c r="N452" s="947"/>
      <c r="O452" s="948"/>
      <c r="P452" s="949"/>
      <c r="Q452" s="947"/>
      <c r="R452" s="948"/>
      <c r="S452" s="949"/>
      <c r="T452" s="947"/>
      <c r="U452" s="948"/>
      <c r="V452" s="949"/>
      <c r="W452" s="947"/>
      <c r="X452" s="948"/>
      <c r="Y452" s="949"/>
      <c r="Z452" s="947"/>
      <c r="AA452" s="948"/>
      <c r="AB452" s="949"/>
      <c r="AC452" s="947"/>
      <c r="AD452" s="948"/>
      <c r="AE452" s="949"/>
      <c r="AF452" s="947"/>
      <c r="AG452" s="948"/>
      <c r="AH452" s="949"/>
      <c r="AI452" s="947"/>
      <c r="AJ452" s="948"/>
      <c r="AK452" s="949"/>
      <c r="AL452" s="947"/>
      <c r="AM452" s="948"/>
      <c r="AN452" s="949"/>
      <c r="AO452" s="947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/>
      <c r="I453" s="948"/>
      <c r="J453" s="949"/>
      <c r="K453" s="947"/>
      <c r="L453" s="948"/>
      <c r="M453" s="949"/>
      <c r="N453" s="947"/>
      <c r="O453" s="948"/>
      <c r="P453" s="949"/>
      <c r="Q453" s="947"/>
      <c r="R453" s="948"/>
      <c r="S453" s="949"/>
      <c r="T453" s="947"/>
      <c r="U453" s="948"/>
      <c r="V453" s="949"/>
      <c r="W453" s="947"/>
      <c r="X453" s="948"/>
      <c r="Y453" s="949"/>
      <c r="Z453" s="947"/>
      <c r="AA453" s="948"/>
      <c r="AB453" s="949"/>
      <c r="AC453" s="947"/>
      <c r="AD453" s="948"/>
      <c r="AE453" s="949"/>
      <c r="AF453" s="947"/>
      <c r="AG453" s="948"/>
      <c r="AH453" s="949"/>
      <c r="AI453" s="947"/>
      <c r="AJ453" s="948"/>
      <c r="AK453" s="949"/>
      <c r="AL453" s="947"/>
      <c r="AM453" s="948"/>
      <c r="AN453" s="949"/>
      <c r="AO453" s="947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/>
      <c r="I454" s="948"/>
      <c r="J454" s="949"/>
      <c r="K454" s="947"/>
      <c r="L454" s="948"/>
      <c r="M454" s="949"/>
      <c r="N454" s="947"/>
      <c r="O454" s="948"/>
      <c r="P454" s="949"/>
      <c r="Q454" s="947"/>
      <c r="R454" s="948"/>
      <c r="S454" s="949"/>
      <c r="T454" s="947"/>
      <c r="U454" s="948"/>
      <c r="V454" s="949"/>
      <c r="W454" s="947"/>
      <c r="X454" s="948"/>
      <c r="Y454" s="949"/>
      <c r="Z454" s="947"/>
      <c r="AA454" s="948"/>
      <c r="AB454" s="949"/>
      <c r="AC454" s="947"/>
      <c r="AD454" s="948"/>
      <c r="AE454" s="949"/>
      <c r="AF454" s="947"/>
      <c r="AG454" s="948"/>
      <c r="AH454" s="949"/>
      <c r="AI454" s="947"/>
      <c r="AJ454" s="948"/>
      <c r="AK454" s="949"/>
      <c r="AL454" s="947"/>
      <c r="AM454" s="948"/>
      <c r="AN454" s="949"/>
      <c r="AO454" s="947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0.17690913519542995</v>
      </c>
      <c r="D455" s="953"/>
      <c r="E455" s="954">
        <v>852519.83999999915</v>
      </c>
      <c r="F455" s="952">
        <v>0.21383204174110196</v>
      </c>
      <c r="G455" s="953"/>
      <c r="H455" s="954">
        <v>52996.97999999993</v>
      </c>
      <c r="I455" s="952">
        <v>0.26515265921140957</v>
      </c>
      <c r="J455" s="953"/>
      <c r="K455" s="954">
        <v>60539.739999999903</v>
      </c>
      <c r="L455" s="952">
        <v>0.1535684494640393</v>
      </c>
      <c r="M455" s="953"/>
      <c r="N455" s="954">
        <v>68695.70999999989</v>
      </c>
      <c r="O455" s="952">
        <v>0.15698357239271254</v>
      </c>
      <c r="P455" s="953"/>
      <c r="Q455" s="954">
        <v>76814.84999999986</v>
      </c>
      <c r="R455" s="952">
        <v>0.12907127678402019</v>
      </c>
      <c r="S455" s="953"/>
      <c r="T455" s="954">
        <v>72755.299999999988</v>
      </c>
      <c r="U455" s="952">
        <v>0.16424456380945499</v>
      </c>
      <c r="V455" s="953"/>
      <c r="W455" s="954">
        <v>74247.889999999985</v>
      </c>
      <c r="X455" s="952">
        <v>0.19039477178287106</v>
      </c>
      <c r="Y455" s="953"/>
      <c r="Z455" s="954">
        <v>69755.299999999886</v>
      </c>
      <c r="AA455" s="952">
        <v>0.14575182664604391</v>
      </c>
      <c r="AB455" s="953"/>
      <c r="AC455" s="954">
        <v>72611.759999999893</v>
      </c>
      <c r="AD455" s="952">
        <v>0.17471313759934679</v>
      </c>
      <c r="AE455" s="953"/>
      <c r="AF455" s="954">
        <v>71875.649999999965</v>
      </c>
      <c r="AG455" s="952">
        <v>0.19712733902822507</v>
      </c>
      <c r="AH455" s="953"/>
      <c r="AI455" s="954">
        <v>86454.759999999893</v>
      </c>
      <c r="AJ455" s="952">
        <v>0.19457926762282174</v>
      </c>
      <c r="AK455" s="953"/>
      <c r="AL455" s="954">
        <v>81864.949999999881</v>
      </c>
      <c r="AM455" s="952">
        <v>0.25045306892545821</v>
      </c>
      <c r="AN455" s="953"/>
      <c r="AO455" s="954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66591.880000000019</v>
      </c>
      <c r="F457" s="948"/>
      <c r="G457" s="949"/>
      <c r="H457" s="955">
        <v>5408.65</v>
      </c>
      <c r="I457" s="948"/>
      <c r="J457" s="949"/>
      <c r="K457" s="955">
        <v>5408.65</v>
      </c>
      <c r="L457" s="948"/>
      <c r="M457" s="949"/>
      <c r="N457" s="955">
        <v>5408.65</v>
      </c>
      <c r="O457" s="948"/>
      <c r="P457" s="949"/>
      <c r="Q457" s="955">
        <v>5408.65</v>
      </c>
      <c r="R457" s="948"/>
      <c r="S457" s="949"/>
      <c r="T457" s="955">
        <v>5619.66</v>
      </c>
      <c r="U457" s="948"/>
      <c r="V457" s="949"/>
      <c r="W457" s="955">
        <v>5619.66</v>
      </c>
      <c r="X457" s="948"/>
      <c r="Y457" s="949"/>
      <c r="Z457" s="955">
        <v>5619.66</v>
      </c>
      <c r="AA457" s="948"/>
      <c r="AB457" s="949"/>
      <c r="AC457" s="955">
        <v>5619.66</v>
      </c>
      <c r="AD457" s="948"/>
      <c r="AE457" s="949"/>
      <c r="AF457" s="955">
        <v>5619.66</v>
      </c>
      <c r="AG457" s="948"/>
      <c r="AH457" s="949"/>
      <c r="AI457" s="955">
        <v>5619.66</v>
      </c>
      <c r="AJ457" s="948"/>
      <c r="AK457" s="949"/>
      <c r="AL457" s="955">
        <v>5619.66</v>
      </c>
      <c r="AM457" s="948"/>
      <c r="AN457" s="949"/>
      <c r="AO457" s="955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28539.4</v>
      </c>
      <c r="F458" s="950"/>
      <c r="G458" s="951"/>
      <c r="H458" s="966">
        <v>2317.9899999999998</v>
      </c>
      <c r="I458" s="950"/>
      <c r="J458" s="951"/>
      <c r="K458" s="966">
        <v>2317.9899999999998</v>
      </c>
      <c r="L458" s="950"/>
      <c r="M458" s="951"/>
      <c r="N458" s="966">
        <v>2317.9899999999998</v>
      </c>
      <c r="O458" s="950"/>
      <c r="P458" s="951"/>
      <c r="Q458" s="966">
        <v>2317.9899999999998</v>
      </c>
      <c r="R458" s="950"/>
      <c r="S458" s="951"/>
      <c r="T458" s="966">
        <v>2408.4299999999998</v>
      </c>
      <c r="U458" s="950"/>
      <c r="V458" s="951"/>
      <c r="W458" s="966">
        <v>2408.4299999999998</v>
      </c>
      <c r="X458" s="950"/>
      <c r="Y458" s="951"/>
      <c r="Z458" s="966">
        <v>2408.4299999999998</v>
      </c>
      <c r="AA458" s="950"/>
      <c r="AB458" s="951"/>
      <c r="AC458" s="966">
        <v>2408.4299999999998</v>
      </c>
      <c r="AD458" s="950"/>
      <c r="AE458" s="951"/>
      <c r="AF458" s="966">
        <v>2408.4299999999998</v>
      </c>
      <c r="AG458" s="950"/>
      <c r="AH458" s="951"/>
      <c r="AI458" s="966">
        <v>2408.4299999999998</v>
      </c>
      <c r="AJ458" s="950"/>
      <c r="AK458" s="951"/>
      <c r="AL458" s="966">
        <v>2408.4299999999998</v>
      </c>
      <c r="AM458" s="950"/>
      <c r="AN458" s="951"/>
      <c r="AO458" s="966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57999.75</v>
      </c>
      <c r="F460" s="950"/>
      <c r="G460" s="951"/>
      <c r="H460" s="966">
        <v>4772</v>
      </c>
      <c r="I460" s="950"/>
      <c r="J460" s="951"/>
      <c r="K460" s="966">
        <v>4772</v>
      </c>
      <c r="L460" s="950"/>
      <c r="M460" s="951"/>
      <c r="N460" s="966">
        <v>4772</v>
      </c>
      <c r="O460" s="950"/>
      <c r="P460" s="951"/>
      <c r="Q460" s="966">
        <v>4772</v>
      </c>
      <c r="R460" s="950"/>
      <c r="S460" s="951"/>
      <c r="T460" s="966">
        <v>4772</v>
      </c>
      <c r="U460" s="950"/>
      <c r="V460" s="951"/>
      <c r="W460" s="966">
        <v>4772</v>
      </c>
      <c r="X460" s="950"/>
      <c r="Y460" s="951"/>
      <c r="Z460" s="966">
        <v>5507.75</v>
      </c>
      <c r="AA460" s="950"/>
      <c r="AB460" s="951"/>
      <c r="AC460" s="966">
        <v>4772</v>
      </c>
      <c r="AD460" s="950"/>
      <c r="AE460" s="951"/>
      <c r="AF460" s="966">
        <v>4772</v>
      </c>
      <c r="AG460" s="950"/>
      <c r="AH460" s="951"/>
      <c r="AI460" s="966">
        <v>4772</v>
      </c>
      <c r="AJ460" s="950"/>
      <c r="AK460" s="951"/>
      <c r="AL460" s="966">
        <v>4772</v>
      </c>
      <c r="AM460" s="950"/>
      <c r="AN460" s="951"/>
      <c r="AO460" s="966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54567.889999999985</v>
      </c>
      <c r="F461" s="948"/>
      <c r="G461" s="949"/>
      <c r="H461" s="955">
        <v>5037.08</v>
      </c>
      <c r="I461" s="948"/>
      <c r="J461" s="949"/>
      <c r="K461" s="955">
        <v>4493.8</v>
      </c>
      <c r="L461" s="948"/>
      <c r="M461" s="949"/>
      <c r="N461" s="955">
        <v>5295.2599999999902</v>
      </c>
      <c r="O461" s="948"/>
      <c r="P461" s="949"/>
      <c r="Q461" s="955">
        <v>4482.57</v>
      </c>
      <c r="R461" s="948"/>
      <c r="S461" s="949"/>
      <c r="T461" s="955">
        <v>4743.07</v>
      </c>
      <c r="U461" s="948"/>
      <c r="V461" s="949"/>
      <c r="W461" s="955">
        <v>3908</v>
      </c>
      <c r="X461" s="948"/>
      <c r="Y461" s="949"/>
      <c r="Z461" s="955">
        <v>4345.17</v>
      </c>
      <c r="AA461" s="948"/>
      <c r="AB461" s="949"/>
      <c r="AC461" s="955">
        <v>4262.91</v>
      </c>
      <c r="AD461" s="948"/>
      <c r="AE461" s="949"/>
      <c r="AF461" s="955">
        <v>4279.7299999999996</v>
      </c>
      <c r="AG461" s="948"/>
      <c r="AH461" s="949"/>
      <c r="AI461" s="955">
        <v>4330</v>
      </c>
      <c r="AJ461" s="948"/>
      <c r="AK461" s="949"/>
      <c r="AL461" s="955">
        <v>4462.62</v>
      </c>
      <c r="AM461" s="948"/>
      <c r="AN461" s="949"/>
      <c r="AO461" s="955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77681.38</v>
      </c>
      <c r="F462" s="948"/>
      <c r="G462" s="949"/>
      <c r="H462" s="955">
        <v>6535.01</v>
      </c>
      <c r="I462" s="948"/>
      <c r="J462" s="949"/>
      <c r="K462" s="955">
        <v>6535.01</v>
      </c>
      <c r="L462" s="948"/>
      <c r="M462" s="949"/>
      <c r="N462" s="955">
        <v>7401.41</v>
      </c>
      <c r="O462" s="948"/>
      <c r="P462" s="949"/>
      <c r="Q462" s="955">
        <v>6561.03</v>
      </c>
      <c r="R462" s="948"/>
      <c r="S462" s="949"/>
      <c r="T462" s="955">
        <v>6402.4699999999903</v>
      </c>
      <c r="U462" s="948"/>
      <c r="V462" s="949"/>
      <c r="W462" s="955">
        <v>6307.33</v>
      </c>
      <c r="X462" s="948"/>
      <c r="Y462" s="949"/>
      <c r="Z462" s="955">
        <v>6307.33</v>
      </c>
      <c r="AA462" s="948"/>
      <c r="AB462" s="949"/>
      <c r="AC462" s="955">
        <v>6307.33</v>
      </c>
      <c r="AD462" s="948"/>
      <c r="AE462" s="949"/>
      <c r="AF462" s="955">
        <v>6307.33</v>
      </c>
      <c r="AG462" s="948"/>
      <c r="AH462" s="949"/>
      <c r="AI462" s="955">
        <v>6307.33</v>
      </c>
      <c r="AJ462" s="948"/>
      <c r="AK462" s="949"/>
      <c r="AL462" s="955">
        <v>6402.47</v>
      </c>
      <c r="AM462" s="948"/>
      <c r="AN462" s="949"/>
      <c r="AO462" s="955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5948</v>
      </c>
      <c r="F463" s="950"/>
      <c r="G463" s="951"/>
      <c r="H463" s="966">
        <v>750</v>
      </c>
      <c r="I463" s="950"/>
      <c r="J463" s="951"/>
      <c r="K463" s="966">
        <v>750</v>
      </c>
      <c r="L463" s="950"/>
      <c r="M463" s="951"/>
      <c r="N463" s="966">
        <v>948</v>
      </c>
      <c r="O463" s="950"/>
      <c r="P463" s="951"/>
      <c r="Q463" s="966">
        <v>750</v>
      </c>
      <c r="R463" s="950"/>
      <c r="S463" s="951"/>
      <c r="T463" s="966">
        <v>750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0</v>
      </c>
      <c r="AJ463" s="950"/>
      <c r="AK463" s="951"/>
      <c r="AL463" s="966">
        <v>0</v>
      </c>
      <c r="AM463" s="950"/>
      <c r="AN463" s="951"/>
      <c r="AO463" s="966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3237.0399999999963</v>
      </c>
      <c r="F464" s="948"/>
      <c r="G464" s="949"/>
      <c r="H464" s="955">
        <v>255.96</v>
      </c>
      <c r="I464" s="948"/>
      <c r="J464" s="949"/>
      <c r="K464" s="955">
        <v>255.96</v>
      </c>
      <c r="L464" s="948"/>
      <c r="M464" s="949"/>
      <c r="N464" s="955">
        <v>255.96</v>
      </c>
      <c r="O464" s="948"/>
      <c r="P464" s="949"/>
      <c r="Q464" s="955">
        <v>255.96</v>
      </c>
      <c r="R464" s="948"/>
      <c r="S464" s="949"/>
      <c r="T464" s="955">
        <v>255.96</v>
      </c>
      <c r="U464" s="948"/>
      <c r="V464" s="949"/>
      <c r="W464" s="955">
        <v>255.96</v>
      </c>
      <c r="X464" s="948"/>
      <c r="Y464" s="949"/>
      <c r="Z464" s="955">
        <v>255.96</v>
      </c>
      <c r="AA464" s="948"/>
      <c r="AB464" s="949"/>
      <c r="AC464" s="955">
        <v>255.96</v>
      </c>
      <c r="AD464" s="948"/>
      <c r="AE464" s="949"/>
      <c r="AF464" s="955">
        <v>173.95999999999901</v>
      </c>
      <c r="AG464" s="948"/>
      <c r="AH464" s="949"/>
      <c r="AI464" s="955">
        <v>173.95999999999901</v>
      </c>
      <c r="AJ464" s="948"/>
      <c r="AK464" s="949"/>
      <c r="AL464" s="955">
        <v>667.479999999999</v>
      </c>
      <c r="AM464" s="948"/>
      <c r="AN464" s="949"/>
      <c r="AO464" s="955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0.18563413219240263</v>
      </c>
      <c r="D469" s="953"/>
      <c r="E469" s="954">
        <v>894565.34000000008</v>
      </c>
      <c r="F469" s="952">
        <v>0.3029191835056223</v>
      </c>
      <c r="G469" s="953"/>
      <c r="H469" s="954">
        <v>75076.69</v>
      </c>
      <c r="I469" s="952">
        <v>0.32644229825886761</v>
      </c>
      <c r="J469" s="953"/>
      <c r="K469" s="954">
        <v>74533.41</v>
      </c>
      <c r="L469" s="952">
        <v>0.17078966698334602</v>
      </c>
      <c r="M469" s="953"/>
      <c r="N469" s="954">
        <v>76399.27</v>
      </c>
      <c r="O469" s="952">
        <v>0.15235130643939856</v>
      </c>
      <c r="P469" s="953"/>
      <c r="Q469" s="954">
        <v>74548.2</v>
      </c>
      <c r="R469" s="952">
        <v>0.13296759711378278</v>
      </c>
      <c r="S469" s="953"/>
      <c r="T469" s="954">
        <v>74951.59</v>
      </c>
      <c r="U469" s="952">
        <v>0.16319047086350272</v>
      </c>
      <c r="V469" s="953"/>
      <c r="W469" s="954">
        <v>73771.38</v>
      </c>
      <c r="X469" s="952">
        <v>0.20455797473349049</v>
      </c>
      <c r="Y469" s="953"/>
      <c r="Z469" s="954">
        <v>74944.300000000017</v>
      </c>
      <c r="AA469" s="952">
        <v>0.14879190602175729</v>
      </c>
      <c r="AB469" s="953"/>
      <c r="AC469" s="954">
        <v>74126.290000000008</v>
      </c>
      <c r="AD469" s="952">
        <v>0.18002548710433039</v>
      </c>
      <c r="AE469" s="953"/>
      <c r="AF469" s="954">
        <v>74061.11</v>
      </c>
      <c r="AG469" s="952">
        <v>0.16784287483529561</v>
      </c>
      <c r="AH469" s="953"/>
      <c r="AI469" s="954">
        <v>73611.37999999999</v>
      </c>
      <c r="AJ469" s="952">
        <v>0.17667627651707157</v>
      </c>
      <c r="AK469" s="953"/>
      <c r="AL469" s="954">
        <v>74332.66</v>
      </c>
      <c r="AM469" s="952">
        <v>0.29082731720217392</v>
      </c>
      <c r="AN469" s="953"/>
      <c r="AO469" s="954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221299.65999999986</v>
      </c>
      <c r="F470" s="967"/>
      <c r="G470" s="968"/>
      <c r="H470" s="969">
        <v>14008.389999999961</v>
      </c>
      <c r="I470" s="967"/>
      <c r="J470" s="968"/>
      <c r="K470" s="969">
        <v>15044.64</v>
      </c>
      <c r="L470" s="967"/>
      <c r="M470" s="968"/>
      <c r="N470" s="969">
        <v>18084.489999999991</v>
      </c>
      <c r="O470" s="967"/>
      <c r="P470" s="968"/>
      <c r="Q470" s="969">
        <v>20828.199999999972</v>
      </c>
      <c r="R470" s="967"/>
      <c r="S470" s="968"/>
      <c r="T470" s="969">
        <v>19278.18</v>
      </c>
      <c r="U470" s="967"/>
      <c r="V470" s="968"/>
      <c r="W470" s="969">
        <v>18797.3</v>
      </c>
      <c r="X470" s="967"/>
      <c r="Y470" s="968"/>
      <c r="Z470" s="969">
        <v>16736.43</v>
      </c>
      <c r="AA470" s="967"/>
      <c r="AB470" s="968"/>
      <c r="AC470" s="969">
        <v>18856.80999999999</v>
      </c>
      <c r="AD470" s="967"/>
      <c r="AE470" s="968"/>
      <c r="AF470" s="969">
        <v>15779.219999999979</v>
      </c>
      <c r="AG470" s="967"/>
      <c r="AH470" s="968"/>
      <c r="AI470" s="969">
        <v>22461.659999999989</v>
      </c>
      <c r="AJ470" s="967"/>
      <c r="AK470" s="968"/>
      <c r="AL470" s="969">
        <v>21732.929999999989</v>
      </c>
      <c r="AM470" s="967"/>
      <c r="AN470" s="968"/>
      <c r="AO470" s="969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0.99300980727803445</v>
      </c>
      <c r="D471" s="953"/>
      <c r="E471" s="954">
        <v>4785284.6099999975</v>
      </c>
      <c r="F471" s="952">
        <v>1.401690846127541</v>
      </c>
      <c r="G471" s="953"/>
      <c r="H471" s="954">
        <v>347400.60999999993</v>
      </c>
      <c r="I471" s="952">
        <v>1.4733232679421626</v>
      </c>
      <c r="J471" s="953"/>
      <c r="K471" s="954">
        <v>336389.6399999999</v>
      </c>
      <c r="L471" s="952">
        <v>0.88253931251315854</v>
      </c>
      <c r="M471" s="953"/>
      <c r="N471" s="954">
        <v>394785.93999999977</v>
      </c>
      <c r="O471" s="952">
        <v>0.8588314472787586</v>
      </c>
      <c r="P471" s="953"/>
      <c r="Q471" s="954">
        <v>420241.47999999981</v>
      </c>
      <c r="R471" s="952">
        <v>0.81616064713805936</v>
      </c>
      <c r="S471" s="953"/>
      <c r="T471" s="954">
        <v>460055.97999999986</v>
      </c>
      <c r="U471" s="952">
        <v>0.89263637182318545</v>
      </c>
      <c r="V471" s="953"/>
      <c r="W471" s="954">
        <v>403522.43999999994</v>
      </c>
      <c r="X471" s="952">
        <v>0.98478794486248045</v>
      </c>
      <c r="Y471" s="953"/>
      <c r="Z471" s="954">
        <v>360798.65999999992</v>
      </c>
      <c r="AA471" s="952">
        <v>0.86528238907568322</v>
      </c>
      <c r="AB471" s="953"/>
      <c r="AC471" s="954">
        <v>431072.99999999965</v>
      </c>
      <c r="AD471" s="952">
        <v>0.98373401975671138</v>
      </c>
      <c r="AE471" s="953"/>
      <c r="AF471" s="954">
        <v>404700.65999999986</v>
      </c>
      <c r="AG471" s="952">
        <v>0.98087641751720611</v>
      </c>
      <c r="AH471" s="953"/>
      <c r="AI471" s="954">
        <v>430186.06999999989</v>
      </c>
      <c r="AJ471" s="952">
        <v>0.99189861421637637</v>
      </c>
      <c r="AK471" s="953"/>
      <c r="AL471" s="954">
        <v>417319.5399999998</v>
      </c>
      <c r="AM471" s="952">
        <v>1.4845689679598775</v>
      </c>
      <c r="AN471" s="953"/>
      <c r="AO471" s="954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22329.349999999995</v>
      </c>
      <c r="F472" s="970"/>
      <c r="G472" s="971"/>
      <c r="H472" s="972">
        <v>2354.62</v>
      </c>
      <c r="I472" s="970"/>
      <c r="J472" s="971"/>
      <c r="K472" s="972">
        <v>435.46</v>
      </c>
      <c r="L472" s="970"/>
      <c r="M472" s="971"/>
      <c r="N472" s="972">
        <v>2138.88</v>
      </c>
      <c r="O472" s="970"/>
      <c r="P472" s="971"/>
      <c r="Q472" s="972">
        <v>1850.68</v>
      </c>
      <c r="R472" s="970"/>
      <c r="S472" s="971"/>
      <c r="T472" s="972">
        <v>369.18</v>
      </c>
      <c r="U472" s="970"/>
      <c r="V472" s="971"/>
      <c r="W472" s="972">
        <v>4195.6899999999996</v>
      </c>
      <c r="X472" s="970"/>
      <c r="Y472" s="971"/>
      <c r="Z472" s="972">
        <v>0.39</v>
      </c>
      <c r="AA472" s="970"/>
      <c r="AB472" s="971"/>
      <c r="AC472" s="972">
        <v>6566.37</v>
      </c>
      <c r="AD472" s="970"/>
      <c r="AE472" s="971"/>
      <c r="AF472" s="972">
        <v>432.76</v>
      </c>
      <c r="AG472" s="970"/>
      <c r="AH472" s="971"/>
      <c r="AI472" s="972">
        <v>570.82999999999902</v>
      </c>
      <c r="AJ472" s="970"/>
      <c r="AK472" s="971"/>
      <c r="AL472" s="972">
        <v>3408.08</v>
      </c>
      <c r="AM472" s="970"/>
      <c r="AN472" s="971"/>
      <c r="AO472" s="972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432057.70000000007</v>
      </c>
      <c r="F473" s="973"/>
      <c r="G473" s="974"/>
      <c r="H473" s="947">
        <v>23124.6</v>
      </c>
      <c r="I473" s="973"/>
      <c r="J473" s="974"/>
      <c r="K473" s="947">
        <v>13235.2</v>
      </c>
      <c r="L473" s="973"/>
      <c r="M473" s="974"/>
      <c r="N473" s="947">
        <v>41421.5</v>
      </c>
      <c r="O473" s="973"/>
      <c r="P473" s="974"/>
      <c r="Q473" s="947">
        <v>48030.400000000001</v>
      </c>
      <c r="R473" s="973"/>
      <c r="S473" s="974"/>
      <c r="T473" s="947">
        <v>57482.6</v>
      </c>
      <c r="U473" s="973"/>
      <c r="V473" s="974"/>
      <c r="W473" s="947">
        <v>32547.599999999999</v>
      </c>
      <c r="X473" s="973"/>
      <c r="Y473" s="974"/>
      <c r="Z473" s="947">
        <v>25316</v>
      </c>
      <c r="AA473" s="973"/>
      <c r="AB473" s="974"/>
      <c r="AC473" s="947">
        <v>43027.7</v>
      </c>
      <c r="AD473" s="973"/>
      <c r="AE473" s="974"/>
      <c r="AF473" s="947">
        <v>49858.9</v>
      </c>
      <c r="AG473" s="973"/>
      <c r="AH473" s="974"/>
      <c r="AI473" s="947">
        <v>33506.300000000003</v>
      </c>
      <c r="AJ473" s="973"/>
      <c r="AK473" s="974"/>
      <c r="AL473" s="947">
        <v>28951</v>
      </c>
      <c r="AM473" s="973"/>
      <c r="AN473" s="974"/>
      <c r="AO473" s="947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2823</v>
      </c>
      <c r="C474" s="973"/>
      <c r="D474" s="974"/>
      <c r="E474" s="947">
        <v>435844.24</v>
      </c>
      <c r="F474" s="973"/>
      <c r="G474" s="974"/>
      <c r="H474" s="947">
        <v>17143.900000000001</v>
      </c>
      <c r="I474" s="973"/>
      <c r="J474" s="974"/>
      <c r="K474" s="947">
        <v>12729</v>
      </c>
      <c r="L474" s="973"/>
      <c r="M474" s="974"/>
      <c r="N474" s="947">
        <v>40832.300000000003</v>
      </c>
      <c r="O474" s="973"/>
      <c r="P474" s="974"/>
      <c r="Q474" s="947">
        <v>44091.88</v>
      </c>
      <c r="R474" s="973"/>
      <c r="S474" s="974"/>
      <c r="T474" s="947">
        <v>38478.17</v>
      </c>
      <c r="U474" s="973"/>
      <c r="V474" s="974"/>
      <c r="W474" s="947">
        <v>28947.02</v>
      </c>
      <c r="X474" s="973"/>
      <c r="Y474" s="974"/>
      <c r="Z474" s="947">
        <v>24477.93</v>
      </c>
      <c r="AA474" s="973"/>
      <c r="AB474" s="974"/>
      <c r="AC474" s="947">
        <v>44929.74</v>
      </c>
      <c r="AD474" s="973"/>
      <c r="AE474" s="974"/>
      <c r="AF474" s="947">
        <v>83436.11</v>
      </c>
      <c r="AG474" s="973"/>
      <c r="AH474" s="974"/>
      <c r="AI474" s="947">
        <v>36701.35</v>
      </c>
      <c r="AJ474" s="973"/>
      <c r="AK474" s="974"/>
      <c r="AL474" s="947">
        <v>36663.839999999997</v>
      </c>
      <c r="AM474" s="973"/>
      <c r="AN474" s="974"/>
      <c r="AO474" s="947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2826</v>
      </c>
      <c r="C477" s="973"/>
      <c r="D477" s="974"/>
      <c r="E477" s="947">
        <v>24275</v>
      </c>
      <c r="F477" s="973"/>
      <c r="G477" s="974"/>
      <c r="H477" s="947">
        <v>1500</v>
      </c>
      <c r="I477" s="973"/>
      <c r="J477" s="974"/>
      <c r="K477" s="947">
        <v>1400</v>
      </c>
      <c r="L477" s="973"/>
      <c r="M477" s="974"/>
      <c r="N477" s="947">
        <v>0</v>
      </c>
      <c r="O477" s="973"/>
      <c r="P477" s="974"/>
      <c r="Q477" s="947">
        <v>1500</v>
      </c>
      <c r="R477" s="973"/>
      <c r="S477" s="974"/>
      <c r="T477" s="947">
        <v>2625</v>
      </c>
      <c r="U477" s="973"/>
      <c r="V477" s="974"/>
      <c r="W477" s="947">
        <v>2250</v>
      </c>
      <c r="X477" s="973"/>
      <c r="Y477" s="974"/>
      <c r="Z477" s="947">
        <v>3375</v>
      </c>
      <c r="AA477" s="973"/>
      <c r="AB477" s="974"/>
      <c r="AC477" s="947">
        <v>6000</v>
      </c>
      <c r="AD477" s="973"/>
      <c r="AE477" s="974"/>
      <c r="AF477" s="947">
        <v>1500</v>
      </c>
      <c r="AG477" s="973"/>
      <c r="AH477" s="974"/>
      <c r="AI477" s="947">
        <v>0</v>
      </c>
      <c r="AJ477" s="973"/>
      <c r="AK477" s="974"/>
      <c r="AL477" s="947">
        <v>1875</v>
      </c>
      <c r="AM477" s="973"/>
      <c r="AN477" s="974"/>
      <c r="AO477" s="947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8500</v>
      </c>
      <c r="F478" s="973"/>
      <c r="G478" s="974"/>
      <c r="H478" s="947">
        <v>-3750</v>
      </c>
      <c r="I478" s="973"/>
      <c r="J478" s="974"/>
      <c r="K478" s="947">
        <v>0</v>
      </c>
      <c r="L478" s="973"/>
      <c r="M478" s="974"/>
      <c r="N478" s="947">
        <v>0</v>
      </c>
      <c r="O478" s="973"/>
      <c r="P478" s="974"/>
      <c r="Q478" s="947">
        <v>0</v>
      </c>
      <c r="R478" s="973"/>
      <c r="S478" s="974"/>
      <c r="T478" s="947">
        <v>0</v>
      </c>
      <c r="U478" s="973"/>
      <c r="V478" s="974"/>
      <c r="W478" s="947">
        <v>4750</v>
      </c>
      <c r="X478" s="973"/>
      <c r="Y478" s="974"/>
      <c r="Z478" s="947">
        <v>3875</v>
      </c>
      <c r="AA478" s="973"/>
      <c r="AB478" s="974"/>
      <c r="AC478" s="947">
        <v>0</v>
      </c>
      <c r="AD478" s="973"/>
      <c r="AE478" s="974"/>
      <c r="AF478" s="947">
        <v>0</v>
      </c>
      <c r="AG478" s="973"/>
      <c r="AH478" s="974"/>
      <c r="AI478" s="947">
        <v>3625</v>
      </c>
      <c r="AJ478" s="973"/>
      <c r="AK478" s="974"/>
      <c r="AL478" s="947">
        <v>0</v>
      </c>
      <c r="AM478" s="973"/>
      <c r="AN478" s="974"/>
      <c r="AO478" s="947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249426.38</v>
      </c>
      <c r="F480" s="973"/>
      <c r="G480" s="974"/>
      <c r="H480" s="947">
        <v>9710.5400000000009</v>
      </c>
      <c r="I480" s="973"/>
      <c r="J480" s="974"/>
      <c r="K480" s="947">
        <v>8871.73</v>
      </c>
      <c r="L480" s="973"/>
      <c r="M480" s="974"/>
      <c r="N480" s="947">
        <v>28458.880000000001</v>
      </c>
      <c r="O480" s="973"/>
      <c r="P480" s="974"/>
      <c r="Q480" s="947">
        <v>26374.22</v>
      </c>
      <c r="R480" s="973"/>
      <c r="S480" s="974"/>
      <c r="T480" s="947">
        <v>26818.12</v>
      </c>
      <c r="U480" s="973"/>
      <c r="V480" s="974"/>
      <c r="W480" s="947">
        <v>20175.2</v>
      </c>
      <c r="X480" s="973"/>
      <c r="Y480" s="974"/>
      <c r="Z480" s="947">
        <v>10390.6</v>
      </c>
      <c r="AA480" s="973"/>
      <c r="AB480" s="974"/>
      <c r="AC480" s="947">
        <v>24032.18</v>
      </c>
      <c r="AD480" s="973"/>
      <c r="AE480" s="974"/>
      <c r="AF480" s="947">
        <v>39070.85</v>
      </c>
      <c r="AG480" s="973"/>
      <c r="AH480" s="974"/>
      <c r="AI480" s="947">
        <v>21505.17</v>
      </c>
      <c r="AJ480" s="973"/>
      <c r="AK480" s="974"/>
      <c r="AL480" s="947">
        <v>19610.89</v>
      </c>
      <c r="AM480" s="973"/>
      <c r="AN480" s="974"/>
      <c r="AO480" s="947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240880</v>
      </c>
      <c r="F483" s="975"/>
      <c r="G483" s="974"/>
      <c r="H483" s="947">
        <v>13685</v>
      </c>
      <c r="I483" s="975"/>
      <c r="J483" s="974"/>
      <c r="K483" s="947">
        <v>10710</v>
      </c>
      <c r="L483" s="975"/>
      <c r="M483" s="974"/>
      <c r="N483" s="947">
        <v>22610</v>
      </c>
      <c r="O483" s="975"/>
      <c r="P483" s="974"/>
      <c r="Q483" s="947">
        <v>21420</v>
      </c>
      <c r="R483" s="975"/>
      <c r="S483" s="974"/>
      <c r="T483" s="947">
        <v>29655</v>
      </c>
      <c r="U483" s="975"/>
      <c r="V483" s="974"/>
      <c r="W483" s="947">
        <v>23800</v>
      </c>
      <c r="X483" s="975"/>
      <c r="Y483" s="974"/>
      <c r="Z483" s="947">
        <v>17255</v>
      </c>
      <c r="AA483" s="975"/>
      <c r="AB483" s="974"/>
      <c r="AC483" s="947">
        <v>25585</v>
      </c>
      <c r="AD483" s="975"/>
      <c r="AE483" s="974"/>
      <c r="AF483" s="947">
        <v>19040</v>
      </c>
      <c r="AG483" s="975"/>
      <c r="AH483" s="974"/>
      <c r="AI483" s="947">
        <v>22015</v>
      </c>
      <c r="AJ483" s="975"/>
      <c r="AK483" s="974"/>
      <c r="AL483" s="947">
        <v>20825</v>
      </c>
      <c r="AM483" s="975"/>
      <c r="AN483" s="974"/>
      <c r="AO483" s="947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0.29328105984072383</v>
      </c>
      <c r="D484" s="976"/>
      <c r="E484" s="954">
        <v>1413312.67</v>
      </c>
      <c r="F484" s="952">
        <v>0.25729358100960009</v>
      </c>
      <c r="G484" s="976"/>
      <c r="H484" s="954">
        <v>63768.659999999996</v>
      </c>
      <c r="I484" s="952">
        <v>0.20752156444069481</v>
      </c>
      <c r="J484" s="976"/>
      <c r="K484" s="954">
        <v>47381.39</v>
      </c>
      <c r="L484" s="952">
        <v>0.30282271966007718</v>
      </c>
      <c r="M484" s="976"/>
      <c r="N484" s="954">
        <v>135461.56</v>
      </c>
      <c r="O484" s="952">
        <v>0.29278965880985014</v>
      </c>
      <c r="P484" s="976"/>
      <c r="Q484" s="954">
        <v>143267.18</v>
      </c>
      <c r="R484" s="952">
        <v>0.27573660534663547</v>
      </c>
      <c r="S484" s="976"/>
      <c r="T484" s="954">
        <v>155428.07</v>
      </c>
      <c r="U484" s="952">
        <v>0.25807704167158974</v>
      </c>
      <c r="V484" s="976"/>
      <c r="W484" s="954">
        <v>116665.51</v>
      </c>
      <c r="X484" s="952">
        <v>0.23115832045320761</v>
      </c>
      <c r="Y484" s="976"/>
      <c r="Z484" s="954">
        <v>84689.919999999998</v>
      </c>
      <c r="AA484" s="952">
        <v>0.30137437168504722</v>
      </c>
      <c r="AB484" s="976"/>
      <c r="AC484" s="954">
        <v>150140.99</v>
      </c>
      <c r="AD484" s="952">
        <v>0.46996162009425779</v>
      </c>
      <c r="AE484" s="976"/>
      <c r="AF484" s="954">
        <v>193338.62000000002</v>
      </c>
      <c r="AG484" s="952">
        <v>0.2688802251373526</v>
      </c>
      <c r="AH484" s="976"/>
      <c r="AI484" s="954">
        <v>117923.65000000001</v>
      </c>
      <c r="AJ484" s="952">
        <v>0.26462180959566234</v>
      </c>
      <c r="AK484" s="976"/>
      <c r="AL484" s="954">
        <v>111333.81</v>
      </c>
      <c r="AM484" s="952">
        <v>0.36804880693645886</v>
      </c>
      <c r="AN484" s="976"/>
      <c r="AO484" s="954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216883.96000000002</v>
      </c>
      <c r="F485" s="977"/>
      <c r="G485" s="978"/>
      <c r="H485" s="979">
        <v>18541.68</v>
      </c>
      <c r="I485" s="977"/>
      <c r="J485" s="978"/>
      <c r="K485" s="979">
        <v>17998.400000000001</v>
      </c>
      <c r="L485" s="977"/>
      <c r="M485" s="978"/>
      <c r="N485" s="979">
        <v>18997.85999999999</v>
      </c>
      <c r="O485" s="977"/>
      <c r="P485" s="978"/>
      <c r="Q485" s="979">
        <v>17987.169999999998</v>
      </c>
      <c r="R485" s="977"/>
      <c r="S485" s="978"/>
      <c r="T485" s="979">
        <v>18549.12</v>
      </c>
      <c r="U485" s="977"/>
      <c r="V485" s="978"/>
      <c r="W485" s="979">
        <v>17464.05</v>
      </c>
      <c r="X485" s="977"/>
      <c r="Y485" s="978"/>
      <c r="Z485" s="979">
        <v>18636.97</v>
      </c>
      <c r="AA485" s="977"/>
      <c r="AB485" s="978"/>
      <c r="AC485" s="979">
        <v>17818.96</v>
      </c>
      <c r="AD485" s="977"/>
      <c r="AE485" s="978"/>
      <c r="AF485" s="979">
        <v>17753.78</v>
      </c>
      <c r="AG485" s="977"/>
      <c r="AH485" s="978"/>
      <c r="AI485" s="979">
        <v>17304.05</v>
      </c>
      <c r="AJ485" s="977"/>
      <c r="AK485" s="978"/>
      <c r="AL485" s="979">
        <v>17930.189999999999</v>
      </c>
      <c r="AM485" s="977"/>
      <c r="AN485" s="978"/>
      <c r="AO485" s="979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2.1932320818889479E-2</v>
      </c>
      <c r="E486" s="982">
        <v>1446998.1999999974</v>
      </c>
      <c r="F486" s="980" t="s">
        <v>248</v>
      </c>
      <c r="G486" s="981">
        <v>-1.2523625103785106E-2</v>
      </c>
      <c r="H486" s="982">
        <v>-35787.990000000289</v>
      </c>
      <c r="I486" s="980" t="s">
        <v>248</v>
      </c>
      <c r="J486" s="981">
        <v>-2.7629362581702573E-2</v>
      </c>
      <c r="K486" s="982">
        <v>-60687.930000000182</v>
      </c>
      <c r="L486" s="980" t="s">
        <v>248</v>
      </c>
      <c r="M486" s="981">
        <v>4.4175515833158395E-2</v>
      </c>
      <c r="N486" s="982">
        <v>188005.2</v>
      </c>
      <c r="O486" s="980" t="s">
        <v>248</v>
      </c>
      <c r="P486" s="981">
        <v>4.6984921668235841E-2</v>
      </c>
      <c r="Q486" s="982">
        <v>212343.45999999967</v>
      </c>
      <c r="R486" s="980" t="s">
        <v>248</v>
      </c>
      <c r="S486" s="981">
        <v>4.9548318256503798E-2</v>
      </c>
      <c r="T486" s="982">
        <v>259055.20999999956</v>
      </c>
      <c r="U486" s="980" t="s">
        <v>248</v>
      </c>
      <c r="V486" s="981">
        <v>4.3181094080976874E-2</v>
      </c>
      <c r="W486" s="982">
        <v>165199.97999999969</v>
      </c>
      <c r="X486" s="980" t="s">
        <v>248</v>
      </c>
      <c r="Y486" s="981">
        <v>3.5319092497152364E-2</v>
      </c>
      <c r="Z486" s="982">
        <v>90263.189999999435</v>
      </c>
      <c r="AA486" s="980" t="s">
        <v>248</v>
      </c>
      <c r="AB486" s="981">
        <v>4.1852035064934227E-2</v>
      </c>
      <c r="AC486" s="982">
        <v>217255.63999999961</v>
      </c>
      <c r="AD486" s="980" t="s">
        <v>248</v>
      </c>
      <c r="AE486" s="981">
        <v>5.0578687607310713E-2</v>
      </c>
      <c r="AF486" s="982">
        <v>200030.31999999992</v>
      </c>
      <c r="AG486" s="980" t="s">
        <v>248</v>
      </c>
      <c r="AH486" s="981">
        <v>1.2358970078096969E-2</v>
      </c>
      <c r="AI486" s="982">
        <v>126310.73999999957</v>
      </c>
      <c r="AJ486" s="980" t="s">
        <v>248</v>
      </c>
      <c r="AK486" s="981">
        <v>9.5630091492843339E-3</v>
      </c>
      <c r="AL486" s="982">
        <v>114742.2900000001</v>
      </c>
      <c r="AM486" s="980" t="s">
        <v>248</v>
      </c>
      <c r="AN486" s="981">
        <v>-3.2416393175780981E-3</v>
      </c>
      <c r="AO486" s="982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2824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2.1932320818889479E-2</v>
      </c>
      <c r="E492" s="986">
        <v>1446998.1999999974</v>
      </c>
      <c r="F492" s="984" t="s">
        <v>248</v>
      </c>
      <c r="G492" s="985">
        <v>-1.2523625103785106E-2</v>
      </c>
      <c r="H492" s="986">
        <v>-35787.990000000289</v>
      </c>
      <c r="I492" s="984" t="s">
        <v>248</v>
      </c>
      <c r="J492" s="985">
        <v>-2.7629362581702573E-2</v>
      </c>
      <c r="K492" s="986">
        <v>-60687.930000000182</v>
      </c>
      <c r="L492" s="984" t="s">
        <v>248</v>
      </c>
      <c r="M492" s="985">
        <v>4.4175515833158395E-2</v>
      </c>
      <c r="N492" s="986">
        <v>188005.2</v>
      </c>
      <c r="O492" s="984" t="s">
        <v>248</v>
      </c>
      <c r="P492" s="985">
        <v>4.6984921668235841E-2</v>
      </c>
      <c r="Q492" s="986">
        <v>212343.45999999967</v>
      </c>
      <c r="R492" s="984" t="s">
        <v>248</v>
      </c>
      <c r="S492" s="985">
        <v>4.9548318256503798E-2</v>
      </c>
      <c r="T492" s="986">
        <v>259055.20999999956</v>
      </c>
      <c r="U492" s="984" t="s">
        <v>248</v>
      </c>
      <c r="V492" s="985">
        <v>4.3181094080976874E-2</v>
      </c>
      <c r="W492" s="986">
        <v>165199.97999999969</v>
      </c>
      <c r="X492" s="984" t="s">
        <v>248</v>
      </c>
      <c r="Y492" s="985">
        <v>3.5319092497152364E-2</v>
      </c>
      <c r="Z492" s="986">
        <v>90263.189999999435</v>
      </c>
      <c r="AA492" s="984" t="s">
        <v>248</v>
      </c>
      <c r="AB492" s="985">
        <v>4.1852035064934227E-2</v>
      </c>
      <c r="AC492" s="986">
        <v>217255.63999999961</v>
      </c>
      <c r="AD492" s="984" t="s">
        <v>248</v>
      </c>
      <c r="AE492" s="985">
        <v>5.0578687607310713E-2</v>
      </c>
      <c r="AF492" s="986">
        <v>200030.31999999992</v>
      </c>
      <c r="AG492" s="984" t="s">
        <v>248</v>
      </c>
      <c r="AH492" s="985">
        <v>1.2358970078096969E-2</v>
      </c>
      <c r="AI492" s="986">
        <v>126310.73999999957</v>
      </c>
      <c r="AJ492" s="984" t="s">
        <v>248</v>
      </c>
      <c r="AK492" s="985">
        <v>9.5630091492843339E-3</v>
      </c>
      <c r="AL492" s="986">
        <v>114742.2900000001</v>
      </c>
      <c r="AM492" s="984" t="s">
        <v>248</v>
      </c>
      <c r="AN492" s="985">
        <v>-3.2416393175780981E-3</v>
      </c>
      <c r="AO492" s="986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234240</v>
      </c>
      <c r="F494" s="948"/>
      <c r="G494" s="949"/>
      <c r="H494" s="955">
        <v>19520</v>
      </c>
      <c r="I494" s="948"/>
      <c r="J494" s="949"/>
      <c r="K494" s="955">
        <v>19520</v>
      </c>
      <c r="L494" s="948"/>
      <c r="M494" s="949"/>
      <c r="N494" s="955">
        <v>19520</v>
      </c>
      <c r="O494" s="948"/>
      <c r="P494" s="949"/>
      <c r="Q494" s="955">
        <v>19520</v>
      </c>
      <c r="R494" s="948"/>
      <c r="S494" s="949"/>
      <c r="T494" s="955">
        <v>19520</v>
      </c>
      <c r="U494" s="948"/>
      <c r="V494" s="949"/>
      <c r="W494" s="955">
        <v>19520</v>
      </c>
      <c r="X494" s="948"/>
      <c r="Y494" s="949"/>
      <c r="Z494" s="955">
        <v>19520</v>
      </c>
      <c r="AA494" s="948"/>
      <c r="AB494" s="949"/>
      <c r="AC494" s="955">
        <v>19520</v>
      </c>
      <c r="AD494" s="948"/>
      <c r="AE494" s="949"/>
      <c r="AF494" s="955">
        <v>19520</v>
      </c>
      <c r="AG494" s="948"/>
      <c r="AH494" s="949"/>
      <c r="AI494" s="955">
        <v>19520</v>
      </c>
      <c r="AJ494" s="948"/>
      <c r="AK494" s="949"/>
      <c r="AL494" s="955">
        <v>19520</v>
      </c>
      <c r="AM494" s="948"/>
      <c r="AN494" s="949"/>
      <c r="AO494" s="955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2827</v>
      </c>
      <c r="C499" s="992"/>
      <c r="D499" s="872"/>
      <c r="E499" s="947"/>
      <c r="F499" s="992"/>
      <c r="G499" s="872"/>
      <c r="H499" s="947"/>
      <c r="I499" s="992"/>
      <c r="J499" s="872"/>
      <c r="K499" s="947"/>
      <c r="L499" s="992"/>
      <c r="M499" s="872"/>
      <c r="N499" s="947"/>
      <c r="O499" s="992"/>
      <c r="P499" s="872"/>
      <c r="Q499" s="947"/>
      <c r="R499" s="992"/>
      <c r="S499" s="872"/>
      <c r="T499" s="947"/>
      <c r="U499" s="992"/>
      <c r="V499" s="872"/>
      <c r="W499" s="947"/>
      <c r="X499" s="992"/>
      <c r="Y499" s="872"/>
      <c r="Z499" s="947"/>
      <c r="AA499" s="992"/>
      <c r="AB499" s="872"/>
      <c r="AC499" s="947"/>
      <c r="AD499" s="992"/>
      <c r="AE499" s="872"/>
      <c r="AF499" s="947"/>
      <c r="AG499" s="992"/>
      <c r="AH499" s="872"/>
      <c r="AI499" s="947"/>
      <c r="AJ499" s="992"/>
      <c r="AK499" s="872"/>
      <c r="AL499" s="947"/>
      <c r="AM499" s="992"/>
      <c r="AN499" s="872"/>
      <c r="AO499" s="947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1.8381917764748373E-2</v>
      </c>
      <c r="E501" s="995">
        <v>1212758.1999999974</v>
      </c>
      <c r="F501" s="993" t="s">
        <v>248</v>
      </c>
      <c r="G501" s="994">
        <v>-1.9354440749645162E-2</v>
      </c>
      <c r="H501" s="995">
        <v>-55307.990000000289</v>
      </c>
      <c r="I501" s="993" t="s">
        <v>248</v>
      </c>
      <c r="J501" s="994">
        <v>-3.6516222911175546E-2</v>
      </c>
      <c r="K501" s="995">
        <v>-80207.930000000182</v>
      </c>
      <c r="L501" s="993" t="s">
        <v>248</v>
      </c>
      <c r="M501" s="994">
        <v>3.9588908286860465E-2</v>
      </c>
      <c r="N501" s="995">
        <v>168485.2</v>
      </c>
      <c r="O501" s="993" t="s">
        <v>248</v>
      </c>
      <c r="P501" s="994">
        <v>4.2665760291831945E-2</v>
      </c>
      <c r="Q501" s="995">
        <v>192823.45999999967</v>
      </c>
      <c r="R501" s="993" t="s">
        <v>248</v>
      </c>
      <c r="S501" s="994">
        <v>4.5814816149493648E-2</v>
      </c>
      <c r="T501" s="995">
        <v>239535.20999999956</v>
      </c>
      <c r="U501" s="993" t="s">
        <v>248</v>
      </c>
      <c r="V501" s="994">
        <v>3.8078823751036939E-2</v>
      </c>
      <c r="W501" s="995">
        <v>145679.97999999969</v>
      </c>
      <c r="X501" s="993" t="s">
        <v>248</v>
      </c>
      <c r="Y501" s="994">
        <v>2.7681109776350913E-2</v>
      </c>
      <c r="Z501" s="995">
        <v>70743.189999999435</v>
      </c>
      <c r="AA501" s="993" t="s">
        <v>248</v>
      </c>
      <c r="AB501" s="994">
        <v>3.8091710479264011E-2</v>
      </c>
      <c r="AC501" s="995">
        <v>197735.63999999961</v>
      </c>
      <c r="AD501" s="993" t="s">
        <v>248</v>
      </c>
      <c r="AE501" s="994">
        <v>4.5642955953755865E-2</v>
      </c>
      <c r="AF501" s="995">
        <v>180510.31999999992</v>
      </c>
      <c r="AG501" s="993" t="s">
        <v>248</v>
      </c>
      <c r="AH501" s="994">
        <v>1.0449020885142721E-2</v>
      </c>
      <c r="AI501" s="995">
        <v>106790.73999999957</v>
      </c>
      <c r="AJ501" s="993" t="s">
        <v>248</v>
      </c>
      <c r="AK501" s="994">
        <v>7.936146563623632E-3</v>
      </c>
      <c r="AL501" s="995">
        <v>95222.290000000095</v>
      </c>
      <c r="AM501" s="993" t="s">
        <v>248</v>
      </c>
      <c r="AN501" s="994">
        <v>-5.3698846768276097E-3</v>
      </c>
      <c r="AO501" s="995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zoomScale="80" zoomScaleNormal="80" workbookViewId="0">
      <selection activeCell="H5" sqref="H5:K5"/>
    </sheetView>
  </sheetViews>
  <sheetFormatPr baseColWidth="10" defaultColWidth="11" defaultRowHeight="15"/>
  <cols>
    <col min="1" max="2" width="21.5" style="998" customWidth="1"/>
    <col min="3" max="3" width="27" style="998" customWidth="1"/>
    <col min="4" max="4" width="22.75" style="1001" customWidth="1"/>
    <col min="5" max="19" width="13.625" style="1001" customWidth="1"/>
    <col min="20" max="20" width="75.875" style="1030" customWidth="1"/>
    <col min="21" max="16384" width="11" style="998"/>
  </cols>
  <sheetData>
    <row r="1" spans="1:24" ht="31.5">
      <c r="A1" s="997" t="s">
        <v>2312</v>
      </c>
      <c r="B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  <c r="Q1" s="997"/>
      <c r="R1" s="997"/>
      <c r="S1" s="997"/>
      <c r="T1" s="997"/>
    </row>
    <row r="2" spans="1:24" ht="21">
      <c r="A2" s="999" t="s">
        <v>2828</v>
      </c>
      <c r="B2" s="999"/>
      <c r="D2" s="999"/>
      <c r="E2" s="999"/>
      <c r="F2" s="999"/>
      <c r="G2" s="999"/>
      <c r="H2" s="1000">
        <v>1</v>
      </c>
      <c r="I2" s="1000">
        <v>2</v>
      </c>
      <c r="J2" s="1000">
        <v>3</v>
      </c>
      <c r="K2" s="1000">
        <v>4</v>
      </c>
      <c r="L2" s="1000">
        <v>5</v>
      </c>
      <c r="M2" s="1000">
        <v>6</v>
      </c>
      <c r="N2" s="1000">
        <v>7</v>
      </c>
      <c r="O2" s="1000">
        <v>8</v>
      </c>
      <c r="P2" s="1000">
        <v>9</v>
      </c>
      <c r="Q2" s="1000">
        <v>10</v>
      </c>
      <c r="R2" s="1000">
        <v>11</v>
      </c>
      <c r="S2" s="1000">
        <v>12</v>
      </c>
      <c r="T2" s="999"/>
    </row>
    <row r="3" spans="1:24" ht="15.75" thickBot="1">
      <c r="H3" s="1002" t="str">
        <f>+IF(VLOOKUP(H2,Parametres!$L$3:$N$14,3,0)="X","REEL","FORECAST")</f>
        <v>REEL</v>
      </c>
      <c r="I3" s="1002" t="str">
        <f>+IF(VLOOKUP(I2,Parametres!$L$3:$N$14,3,0)="X","REEL","FORECAST")</f>
        <v>REEL</v>
      </c>
      <c r="J3" s="1002" t="str">
        <f>+IF(VLOOKUP(J2,Parametres!$L$3:$N$14,3,0)="X","REEL","FORECAST")</f>
        <v>REEL</v>
      </c>
      <c r="K3" s="1002" t="str">
        <f>+IF(VLOOKUP(K2,Parametres!$L$3:$N$14,3,0)="X","REEL","FORECAST")</f>
        <v>REEL</v>
      </c>
      <c r="L3" s="1002" t="str">
        <f>+IF(VLOOKUP(L2,Parametres!$L$3:$N$14,3,0)="X","REEL","FORECAST")</f>
        <v>FORECAST</v>
      </c>
      <c r="M3" s="1002" t="str">
        <f>+IF(VLOOKUP(M2,Parametres!$L$3:$N$14,3,0)="X","REEL","FORECAST")</f>
        <v>FORECAST</v>
      </c>
      <c r="N3" s="1002" t="str">
        <f>+IF(VLOOKUP(N2,Parametres!$L$3:$N$14,3,0)="X","REEL","FORECAST")</f>
        <v>FORECAST</v>
      </c>
      <c r="O3" s="1002" t="str">
        <f>+IF(VLOOKUP(O2,Parametres!$L$3:$N$14,3,0)="X","REEL","FORECAST")</f>
        <v>FORECAST</v>
      </c>
      <c r="P3" s="1002" t="str">
        <f>+IF(VLOOKUP(P2,Parametres!$L$3:$N$14,3,0)="X","REEL","FORECAST")</f>
        <v>FORECAST</v>
      </c>
      <c r="Q3" s="1002" t="str">
        <f>+IF(VLOOKUP(Q2,Parametres!$L$3:$N$14,3,0)="X","REEL","FORECAST")</f>
        <v>FORECAST</v>
      </c>
      <c r="R3" s="1002" t="str">
        <f>+IF(VLOOKUP(R2,Parametres!$L$3:$N$14,3,0)="X","REEL","FORECAST")</f>
        <v>FORECAST</v>
      </c>
      <c r="S3" s="1002" t="str">
        <f>+IF(VLOOKUP(S2,Parametres!$L$3:$N$14,3,0)="X","REEL","FORECAST")</f>
        <v>FORECAST</v>
      </c>
      <c r="T3" s="998"/>
    </row>
    <row r="4" spans="1:24" s="1007" customFormat="1" ht="30" customHeight="1" thickBot="1">
      <c r="A4" s="1223" t="s">
        <v>2313</v>
      </c>
      <c r="B4" s="1223" t="s">
        <v>2314</v>
      </c>
      <c r="C4" s="1003" t="s">
        <v>2315</v>
      </c>
      <c r="D4" s="1004" t="s">
        <v>2316</v>
      </c>
      <c r="E4" s="1005" t="s">
        <v>2317</v>
      </c>
      <c r="F4" s="1003" t="s">
        <v>2318</v>
      </c>
      <c r="G4" s="1003" t="s">
        <v>2319</v>
      </c>
      <c r="H4" s="1005" t="s">
        <v>2320</v>
      </c>
      <c r="I4" s="1003" t="s">
        <v>2321</v>
      </c>
      <c r="J4" s="1003" t="s">
        <v>2322</v>
      </c>
      <c r="K4" s="1003" t="s">
        <v>2323</v>
      </c>
      <c r="L4" s="1003" t="s">
        <v>2324</v>
      </c>
      <c r="M4" s="1003" t="s">
        <v>2325</v>
      </c>
      <c r="N4" s="1003" t="s">
        <v>2326</v>
      </c>
      <c r="O4" s="1003" t="s">
        <v>2327</v>
      </c>
      <c r="P4" s="1003" t="s">
        <v>2328</v>
      </c>
      <c r="Q4" s="1003" t="s">
        <v>2329</v>
      </c>
      <c r="R4" s="1003" t="s">
        <v>2330</v>
      </c>
      <c r="S4" s="1003" t="s">
        <v>2331</v>
      </c>
      <c r="T4" s="1006" t="s">
        <v>2332</v>
      </c>
    </row>
    <row r="5" spans="1:24" ht="30" customHeight="1" thickBot="1">
      <c r="A5" s="1224"/>
      <c r="B5" s="1224"/>
      <c r="C5" s="1225" t="s">
        <v>1996</v>
      </c>
      <c r="D5" s="1226"/>
      <c r="E5" s="1008">
        <f t="shared" ref="E5:S5" si="0">+SUM(E6:E40)</f>
        <v>244135</v>
      </c>
      <c r="F5" s="1009">
        <f t="shared" si="0"/>
        <v>240000</v>
      </c>
      <c r="G5" s="1010">
        <f t="shared" si="0"/>
        <v>4135</v>
      </c>
      <c r="H5" s="1011">
        <f t="shared" si="0"/>
        <v>1922</v>
      </c>
      <c r="I5" s="1012">
        <f t="shared" si="0"/>
        <v>5358</v>
      </c>
      <c r="J5" s="1012">
        <f t="shared" si="0"/>
        <v>4856</v>
      </c>
      <c r="K5" s="1012">
        <f t="shared" si="0"/>
        <v>3323</v>
      </c>
      <c r="L5" s="1012">
        <f t="shared" si="0"/>
        <v>38676</v>
      </c>
      <c r="M5" s="1012">
        <f t="shared" si="0"/>
        <v>190000</v>
      </c>
      <c r="N5" s="1012">
        <f t="shared" si="0"/>
        <v>0</v>
      </c>
      <c r="O5" s="1012">
        <f t="shared" si="0"/>
        <v>0</v>
      </c>
      <c r="P5" s="1012">
        <f t="shared" si="0"/>
        <v>0</v>
      </c>
      <c r="Q5" s="1012">
        <f t="shared" si="0"/>
        <v>0</v>
      </c>
      <c r="R5" s="1012">
        <f t="shared" si="0"/>
        <v>0</v>
      </c>
      <c r="S5" s="1012">
        <f t="shared" si="0"/>
        <v>0</v>
      </c>
      <c r="T5" s="1013"/>
      <c r="X5" s="1007" t="s">
        <v>49</v>
      </c>
    </row>
    <row r="6" spans="1:24" ht="30" customHeight="1">
      <c r="A6" s="1014" t="str">
        <f>+Parametres!$B$1</f>
        <v>BMW Sherbrooke</v>
      </c>
      <c r="B6" s="1015" t="s">
        <v>2156</v>
      </c>
      <c r="C6" s="1016" t="s">
        <v>2853</v>
      </c>
      <c r="D6" s="1017" t="s">
        <v>57</v>
      </c>
      <c r="E6" s="1018">
        <f>+SUM(H6:S6)</f>
        <v>145000</v>
      </c>
      <c r="F6" s="1018">
        <v>145000</v>
      </c>
      <c r="G6" s="1018">
        <f>+E6-F6</f>
        <v>0</v>
      </c>
      <c r="H6" s="1019"/>
      <c r="I6" s="1018"/>
      <c r="J6" s="1018"/>
      <c r="K6" s="1018"/>
      <c r="L6" s="1018"/>
      <c r="M6" s="1018">
        <v>145000</v>
      </c>
      <c r="N6" s="1018"/>
      <c r="O6" s="1018"/>
      <c r="P6" s="1018"/>
      <c r="Q6" s="1018"/>
      <c r="R6" s="1018"/>
      <c r="S6" s="1018"/>
      <c r="T6" s="1039"/>
      <c r="X6" s="998" t="s">
        <v>51</v>
      </c>
    </row>
    <row r="7" spans="1:24" ht="30" customHeight="1">
      <c r="A7" s="1020" t="str">
        <f>+Parametres!$B$1</f>
        <v>BMW Sherbrooke</v>
      </c>
      <c r="B7" s="1021" t="s">
        <v>2156</v>
      </c>
      <c r="C7" s="1022" t="s">
        <v>2854</v>
      </c>
      <c r="D7" s="1017" t="s">
        <v>53</v>
      </c>
      <c r="E7" s="1019">
        <f t="shared" ref="E7:E40" si="1">+SUM(H7:S7)</f>
        <v>40000</v>
      </c>
      <c r="F7" s="1018">
        <v>40000</v>
      </c>
      <c r="G7" s="1018">
        <f t="shared" ref="G7:G40" si="2">+E7-F7</f>
        <v>0</v>
      </c>
      <c r="H7" s="1019"/>
      <c r="I7" s="1018"/>
      <c r="J7" s="1018"/>
      <c r="K7" s="1018">
        <v>1324</v>
      </c>
      <c r="L7" s="1018">
        <v>38676</v>
      </c>
      <c r="M7" s="1018"/>
      <c r="N7" s="1018"/>
      <c r="O7" s="1018"/>
      <c r="P7" s="1018"/>
      <c r="Q7" s="1018"/>
      <c r="R7" s="1018"/>
      <c r="S7" s="1018"/>
      <c r="T7" s="1020"/>
      <c r="X7" s="998" t="s">
        <v>53</v>
      </c>
    </row>
    <row r="8" spans="1:24" ht="55.5" customHeight="1">
      <c r="A8" s="1020" t="str">
        <f>+Parametres!$B$1</f>
        <v>BMW Sherbrooke</v>
      </c>
      <c r="B8" s="1021" t="s">
        <v>2156</v>
      </c>
      <c r="C8" s="1022" t="s">
        <v>2855</v>
      </c>
      <c r="D8" s="1017" t="s">
        <v>53</v>
      </c>
      <c r="E8" s="1019">
        <f>+SUM(H8:S8)</f>
        <v>25000</v>
      </c>
      <c r="F8" s="1018">
        <v>25000</v>
      </c>
      <c r="G8" s="1018">
        <f t="shared" si="2"/>
        <v>0</v>
      </c>
      <c r="H8" s="1019"/>
      <c r="I8" s="1018"/>
      <c r="J8" s="1018"/>
      <c r="K8" s="1018"/>
      <c r="L8" s="1018"/>
      <c r="M8" s="1018">
        <v>25000</v>
      </c>
      <c r="N8" s="1018"/>
      <c r="O8" s="1018"/>
      <c r="P8" s="1018"/>
      <c r="Q8" s="1018"/>
      <c r="R8" s="1018"/>
      <c r="S8" s="1018"/>
      <c r="T8" s="1020"/>
      <c r="X8" s="998" t="s">
        <v>55</v>
      </c>
    </row>
    <row r="9" spans="1:24" ht="30" customHeight="1">
      <c r="A9" s="1020" t="str">
        <f>+Parametres!$B$1</f>
        <v>BMW Sherbrooke</v>
      </c>
      <c r="B9" s="1021" t="s">
        <v>2156</v>
      </c>
      <c r="C9" s="1022" t="s">
        <v>2856</v>
      </c>
      <c r="D9" s="1017" t="s">
        <v>53</v>
      </c>
      <c r="E9" s="1019">
        <f t="shared" si="1"/>
        <v>20000</v>
      </c>
      <c r="F9" s="1018">
        <v>20000</v>
      </c>
      <c r="G9" s="1018">
        <f t="shared" si="2"/>
        <v>0</v>
      </c>
      <c r="H9" s="1019"/>
      <c r="I9" s="1018"/>
      <c r="J9" s="1018"/>
      <c r="K9" s="1018"/>
      <c r="L9" s="1018"/>
      <c r="M9" s="1018">
        <v>20000</v>
      </c>
      <c r="N9" s="1018"/>
      <c r="O9" s="1018"/>
      <c r="P9" s="1018"/>
      <c r="Q9" s="1018"/>
      <c r="R9" s="1018"/>
      <c r="S9" s="1018"/>
      <c r="T9" s="1020"/>
      <c r="X9" s="998" t="s">
        <v>57</v>
      </c>
    </row>
    <row r="10" spans="1:24" ht="30" customHeight="1">
      <c r="A10" s="1020" t="str">
        <f>+Parametres!$B$1</f>
        <v>BMW Sherbrooke</v>
      </c>
      <c r="B10" s="1021" t="s">
        <v>2333</v>
      </c>
      <c r="C10" s="1095" t="s">
        <v>2857</v>
      </c>
      <c r="D10" s="1017" t="s">
        <v>57</v>
      </c>
      <c r="E10" s="1019">
        <f t="shared" si="1"/>
        <v>10465</v>
      </c>
      <c r="F10" s="1018">
        <v>10000</v>
      </c>
      <c r="G10" s="1018">
        <f t="shared" si="2"/>
        <v>465</v>
      </c>
      <c r="H10" s="1019">
        <v>1922</v>
      </c>
      <c r="I10" s="1018">
        <v>2688</v>
      </c>
      <c r="J10" s="1018">
        <v>3856</v>
      </c>
      <c r="K10" s="1018">
        <v>1999</v>
      </c>
      <c r="L10" s="1018"/>
      <c r="M10" s="1018"/>
      <c r="N10" s="1018"/>
      <c r="O10" s="1018"/>
      <c r="P10" s="1018"/>
      <c r="Q10" s="1018"/>
      <c r="R10" s="1018"/>
      <c r="S10" s="1018"/>
      <c r="T10" s="1020"/>
      <c r="X10" s="998" t="s">
        <v>58</v>
      </c>
    </row>
    <row r="11" spans="1:24" ht="30" customHeight="1">
      <c r="A11" s="1020" t="str">
        <f>+Parametres!$B$1</f>
        <v>BMW Sherbrooke</v>
      </c>
      <c r="B11" s="1021" t="s">
        <v>2333</v>
      </c>
      <c r="C11" s="1195" t="s">
        <v>2875</v>
      </c>
      <c r="D11" s="1017" t="s">
        <v>55</v>
      </c>
      <c r="E11" s="1019">
        <f t="shared" si="1"/>
        <v>2670</v>
      </c>
      <c r="F11" s="1018"/>
      <c r="G11" s="1018">
        <f t="shared" si="2"/>
        <v>2670</v>
      </c>
      <c r="H11" s="1019"/>
      <c r="I11" s="1018">
        <v>2670</v>
      </c>
      <c r="J11" s="1018"/>
      <c r="K11" s="1018"/>
      <c r="L11" s="1018"/>
      <c r="M11" s="1018"/>
      <c r="N11" s="1018"/>
      <c r="O11" s="1018"/>
      <c r="P11" s="1018"/>
      <c r="Q11" s="1018"/>
      <c r="R11" s="1018"/>
      <c r="S11" s="1018"/>
      <c r="T11" s="1020"/>
      <c r="X11" s="998" t="s">
        <v>59</v>
      </c>
    </row>
    <row r="12" spans="1:24" ht="30" customHeight="1">
      <c r="A12" s="1020" t="str">
        <f>+Parametres!$B$1</f>
        <v>BMW Sherbrooke</v>
      </c>
      <c r="B12" s="1021" t="s">
        <v>2333</v>
      </c>
      <c r="C12" s="1195" t="s">
        <v>2891</v>
      </c>
      <c r="D12" s="1017" t="s">
        <v>58</v>
      </c>
      <c r="E12" s="1019">
        <f t="shared" si="1"/>
        <v>1000</v>
      </c>
      <c r="F12" s="1018"/>
      <c r="G12" s="1018">
        <f t="shared" si="2"/>
        <v>1000</v>
      </c>
      <c r="H12" s="1019"/>
      <c r="I12" s="1018"/>
      <c r="J12" s="1018">
        <v>1000</v>
      </c>
      <c r="K12" s="1018"/>
      <c r="L12" s="1018"/>
      <c r="M12" s="1018"/>
      <c r="N12" s="1018"/>
      <c r="O12" s="1018"/>
      <c r="P12" s="1018"/>
      <c r="Q12" s="1018"/>
      <c r="R12" s="1018"/>
      <c r="S12" s="1018"/>
      <c r="T12" s="1020"/>
      <c r="X12" s="998" t="s">
        <v>60</v>
      </c>
    </row>
    <row r="13" spans="1:24" ht="30" customHeight="1">
      <c r="A13" s="1020" t="str">
        <f>+Parametres!$B$1</f>
        <v>BMW Sherbrooke</v>
      </c>
      <c r="B13" s="1021" t="s">
        <v>2333</v>
      </c>
      <c r="C13" s="1106"/>
      <c r="D13" s="1017"/>
      <c r="E13" s="1019">
        <f t="shared" si="1"/>
        <v>0</v>
      </c>
      <c r="F13" s="1018"/>
      <c r="G13" s="1018">
        <f t="shared" si="2"/>
        <v>0</v>
      </c>
      <c r="H13" s="1019"/>
      <c r="I13" s="1018"/>
      <c r="J13" s="1018"/>
      <c r="K13" s="1018"/>
      <c r="L13" s="1018"/>
      <c r="M13" s="1018"/>
      <c r="N13" s="1018"/>
      <c r="O13" s="1018"/>
      <c r="P13" s="1018"/>
      <c r="Q13" s="1018"/>
      <c r="R13" s="1018"/>
      <c r="S13" s="1018"/>
      <c r="T13" s="1020"/>
      <c r="X13" s="998" t="s">
        <v>62</v>
      </c>
    </row>
    <row r="14" spans="1:24" ht="30" customHeight="1">
      <c r="A14" s="1020" t="str">
        <f>+Parametres!$B$1</f>
        <v>BMW Sherbrooke</v>
      </c>
      <c r="B14" s="1021" t="s">
        <v>2333</v>
      </c>
      <c r="C14" s="1109"/>
      <c r="D14" s="1108"/>
      <c r="E14" s="1019">
        <f t="shared" si="1"/>
        <v>0</v>
      </c>
      <c r="F14" s="1018"/>
      <c r="G14" s="1018">
        <f t="shared" si="2"/>
        <v>0</v>
      </c>
      <c r="H14" s="1019"/>
      <c r="I14" s="1018"/>
      <c r="J14" s="1018"/>
      <c r="K14" s="1018"/>
      <c r="L14" s="1018"/>
      <c r="M14" s="1018"/>
      <c r="N14" s="1018"/>
      <c r="O14" s="1018"/>
      <c r="P14" s="1018"/>
      <c r="Q14" s="1018"/>
      <c r="R14" s="1018"/>
      <c r="S14" s="1018"/>
      <c r="T14" s="1020"/>
    </row>
    <row r="15" spans="1:24" ht="30" customHeight="1">
      <c r="A15" s="1020" t="str">
        <f>+Parametres!$B$1</f>
        <v>BMW Sherbrooke</v>
      </c>
      <c r="B15" s="1021" t="s">
        <v>2333</v>
      </c>
      <c r="C15" s="1022"/>
      <c r="D15" s="1017"/>
      <c r="E15" s="1019">
        <f t="shared" si="1"/>
        <v>0</v>
      </c>
      <c r="F15" s="1018"/>
      <c r="G15" s="1018">
        <f t="shared" si="2"/>
        <v>0</v>
      </c>
      <c r="H15" s="1019"/>
      <c r="I15" s="1018"/>
      <c r="J15" s="1018"/>
      <c r="K15" s="1018"/>
      <c r="L15" s="1018"/>
      <c r="M15" s="1018"/>
      <c r="N15" s="1018"/>
      <c r="O15" s="1018"/>
      <c r="P15" s="1018"/>
      <c r="Q15" s="1018"/>
      <c r="R15" s="1018"/>
      <c r="S15" s="1018"/>
      <c r="T15" s="1020"/>
    </row>
    <row r="16" spans="1:24" ht="30" customHeight="1">
      <c r="A16" s="1020" t="str">
        <f>+Parametres!$B$1</f>
        <v>BMW Sherbrooke</v>
      </c>
      <c r="B16" s="1021" t="s">
        <v>2333</v>
      </c>
      <c r="C16" s="1022"/>
      <c r="D16" s="1017"/>
      <c r="E16" s="1019">
        <f t="shared" si="1"/>
        <v>0</v>
      </c>
      <c r="F16" s="1018"/>
      <c r="G16" s="1018">
        <f t="shared" si="2"/>
        <v>0</v>
      </c>
      <c r="H16" s="1019"/>
      <c r="I16" s="1018"/>
      <c r="J16" s="1018"/>
      <c r="K16" s="1018"/>
      <c r="L16" s="1018"/>
      <c r="M16" s="1018"/>
      <c r="N16" s="1018"/>
      <c r="O16" s="1018"/>
      <c r="P16" s="1018"/>
      <c r="Q16" s="1018"/>
      <c r="R16" s="1018"/>
      <c r="S16" s="1018"/>
      <c r="T16" s="1020"/>
    </row>
    <row r="17" spans="1:20" ht="30" customHeight="1">
      <c r="A17" s="1020" t="str">
        <f>+Parametres!$B$1</f>
        <v>BMW Sherbrooke</v>
      </c>
      <c r="B17" s="1021" t="s">
        <v>2333</v>
      </c>
      <c r="C17" s="1022"/>
      <c r="D17" s="1017"/>
      <c r="E17" s="1019">
        <f t="shared" si="1"/>
        <v>0</v>
      </c>
      <c r="F17" s="1018"/>
      <c r="G17" s="1018">
        <f t="shared" si="2"/>
        <v>0</v>
      </c>
      <c r="H17" s="1019"/>
      <c r="I17" s="1018"/>
      <c r="J17" s="1018"/>
      <c r="K17" s="1018"/>
      <c r="L17" s="1018"/>
      <c r="M17" s="1018"/>
      <c r="N17" s="1018"/>
      <c r="O17" s="1018"/>
      <c r="P17" s="1018"/>
      <c r="Q17" s="1018"/>
      <c r="R17" s="1018"/>
      <c r="S17" s="1018"/>
      <c r="T17" s="1020"/>
    </row>
    <row r="18" spans="1:20" ht="30" customHeight="1">
      <c r="A18" s="1020" t="str">
        <f>+Parametres!$B$1</f>
        <v>BMW Sherbrooke</v>
      </c>
      <c r="B18" s="1021" t="s">
        <v>2333</v>
      </c>
      <c r="C18" s="1022"/>
      <c r="D18" s="1017"/>
      <c r="E18" s="1019">
        <f t="shared" si="1"/>
        <v>0</v>
      </c>
      <c r="F18" s="1018"/>
      <c r="G18" s="1018">
        <f t="shared" si="2"/>
        <v>0</v>
      </c>
      <c r="H18" s="1019"/>
      <c r="I18" s="1018"/>
      <c r="J18" s="1018"/>
      <c r="K18" s="1018"/>
      <c r="L18" s="1018"/>
      <c r="M18" s="1018"/>
      <c r="N18" s="1018"/>
      <c r="O18" s="1018"/>
      <c r="P18" s="1018"/>
      <c r="Q18" s="1018"/>
      <c r="R18" s="1018"/>
      <c r="S18" s="1018"/>
      <c r="T18" s="1020"/>
    </row>
    <row r="19" spans="1:20" ht="30" customHeight="1">
      <c r="A19" s="1020" t="str">
        <f>+Parametres!$B$1</f>
        <v>BMW Sherbrooke</v>
      </c>
      <c r="B19" s="1021" t="s">
        <v>2333</v>
      </c>
      <c r="C19" s="1022"/>
      <c r="D19" s="1017"/>
      <c r="E19" s="1019">
        <f t="shared" si="1"/>
        <v>0</v>
      </c>
      <c r="F19" s="1018"/>
      <c r="G19" s="1018">
        <f t="shared" si="2"/>
        <v>0</v>
      </c>
      <c r="H19" s="1019"/>
      <c r="I19" s="1018"/>
      <c r="J19" s="1018"/>
      <c r="K19" s="1018"/>
      <c r="L19" s="1018"/>
      <c r="M19" s="1018"/>
      <c r="N19" s="1018"/>
      <c r="O19" s="1018"/>
      <c r="P19" s="1018"/>
      <c r="Q19" s="1018"/>
      <c r="R19" s="1018"/>
      <c r="S19" s="1018"/>
      <c r="T19" s="1020"/>
    </row>
    <row r="20" spans="1:20" ht="30" customHeight="1">
      <c r="A20" s="1020" t="str">
        <f>+Parametres!$B$1</f>
        <v>BMW Sherbrooke</v>
      </c>
      <c r="B20" s="1021" t="s">
        <v>2333</v>
      </c>
      <c r="C20" s="1022"/>
      <c r="D20" s="1017"/>
      <c r="E20" s="1019">
        <f t="shared" si="1"/>
        <v>0</v>
      </c>
      <c r="F20" s="1018"/>
      <c r="G20" s="1018">
        <f t="shared" si="2"/>
        <v>0</v>
      </c>
      <c r="H20" s="1019"/>
      <c r="I20" s="1018"/>
      <c r="J20" s="1018"/>
      <c r="K20" s="1018"/>
      <c r="L20" s="1018"/>
      <c r="M20" s="1018"/>
      <c r="N20" s="1018"/>
      <c r="O20" s="1018"/>
      <c r="P20" s="1018"/>
      <c r="Q20" s="1018"/>
      <c r="R20" s="1018"/>
      <c r="S20" s="1018"/>
      <c r="T20" s="1020"/>
    </row>
    <row r="21" spans="1:20" ht="30" customHeight="1">
      <c r="A21" s="1020" t="str">
        <f>+Parametres!$B$1</f>
        <v>BMW Sherbrooke</v>
      </c>
      <c r="B21" s="1021" t="s">
        <v>2333</v>
      </c>
      <c r="C21" s="1022"/>
      <c r="D21" s="1017"/>
      <c r="E21" s="1019">
        <f t="shared" si="1"/>
        <v>0</v>
      </c>
      <c r="F21" s="1018"/>
      <c r="G21" s="1018">
        <f t="shared" si="2"/>
        <v>0</v>
      </c>
      <c r="H21" s="1019"/>
      <c r="I21" s="1018"/>
      <c r="J21" s="1018"/>
      <c r="K21" s="1018"/>
      <c r="L21" s="1018"/>
      <c r="M21" s="1018"/>
      <c r="N21" s="1018"/>
      <c r="O21" s="1018"/>
      <c r="P21" s="1018"/>
      <c r="Q21" s="1018"/>
      <c r="R21" s="1018"/>
      <c r="S21" s="1018"/>
      <c r="T21" s="1020"/>
    </row>
    <row r="22" spans="1:20" ht="30" customHeight="1">
      <c r="A22" s="1020" t="str">
        <f>+Parametres!$B$1</f>
        <v>BMW Sherbrooke</v>
      </c>
      <c r="B22" s="1021" t="s">
        <v>2333</v>
      </c>
      <c r="C22" s="1022"/>
      <c r="D22" s="1017"/>
      <c r="E22" s="1019">
        <f t="shared" si="1"/>
        <v>0</v>
      </c>
      <c r="F22" s="1018"/>
      <c r="G22" s="1018">
        <f t="shared" si="2"/>
        <v>0</v>
      </c>
      <c r="H22" s="1019"/>
      <c r="I22" s="1018"/>
      <c r="J22" s="1018"/>
      <c r="K22" s="1018"/>
      <c r="L22" s="1018"/>
      <c r="M22" s="1018"/>
      <c r="N22" s="1018"/>
      <c r="O22" s="1018"/>
      <c r="P22" s="1018"/>
      <c r="Q22" s="1018"/>
      <c r="R22" s="1018"/>
      <c r="S22" s="1018"/>
      <c r="T22" s="1020"/>
    </row>
    <row r="23" spans="1:20" ht="30" customHeight="1">
      <c r="A23" s="1020" t="str">
        <f>+Parametres!$B$1</f>
        <v>BMW Sherbrooke</v>
      </c>
      <c r="B23" s="1021" t="s">
        <v>2333</v>
      </c>
      <c r="C23" s="1022"/>
      <c r="D23" s="1017"/>
      <c r="E23" s="1019">
        <f t="shared" si="1"/>
        <v>0</v>
      </c>
      <c r="F23" s="1018"/>
      <c r="G23" s="1018">
        <f t="shared" si="2"/>
        <v>0</v>
      </c>
      <c r="H23" s="1019"/>
      <c r="I23" s="1018"/>
      <c r="J23" s="1018"/>
      <c r="K23" s="1018"/>
      <c r="L23" s="1018"/>
      <c r="M23" s="1018"/>
      <c r="N23" s="1018"/>
      <c r="O23" s="1018"/>
      <c r="P23" s="1018"/>
      <c r="Q23" s="1018"/>
      <c r="R23" s="1018"/>
      <c r="S23" s="1018"/>
      <c r="T23" s="1020"/>
    </row>
    <row r="24" spans="1:20" ht="30" customHeight="1">
      <c r="A24" s="1020" t="str">
        <f>+Parametres!$B$1</f>
        <v>BMW Sherbrooke</v>
      </c>
      <c r="B24" s="1021" t="s">
        <v>2333</v>
      </c>
      <c r="C24" s="1022"/>
      <c r="D24" s="1017"/>
      <c r="E24" s="1019">
        <f t="shared" si="1"/>
        <v>0</v>
      </c>
      <c r="F24" s="1018"/>
      <c r="G24" s="1018">
        <f t="shared" si="2"/>
        <v>0</v>
      </c>
      <c r="H24" s="1019"/>
      <c r="I24" s="1018"/>
      <c r="J24" s="1018"/>
      <c r="K24" s="1018"/>
      <c r="L24" s="1018"/>
      <c r="M24" s="1018"/>
      <c r="N24" s="1018"/>
      <c r="O24" s="1018"/>
      <c r="P24" s="1018"/>
      <c r="Q24" s="1018"/>
      <c r="R24" s="1018"/>
      <c r="S24" s="1018"/>
      <c r="T24" s="1020"/>
    </row>
    <row r="25" spans="1:20" ht="30" customHeight="1">
      <c r="A25" s="1020" t="str">
        <f>+Parametres!$B$1</f>
        <v>BMW Sherbrooke</v>
      </c>
      <c r="B25" s="1021" t="s">
        <v>2333</v>
      </c>
      <c r="C25" s="1022"/>
      <c r="D25" s="1017"/>
      <c r="E25" s="1019">
        <f t="shared" si="1"/>
        <v>0</v>
      </c>
      <c r="F25" s="1018"/>
      <c r="G25" s="1018">
        <f t="shared" si="2"/>
        <v>0</v>
      </c>
      <c r="H25" s="1019"/>
      <c r="I25" s="1018"/>
      <c r="J25" s="1018"/>
      <c r="K25" s="1018"/>
      <c r="L25" s="1018"/>
      <c r="M25" s="1018"/>
      <c r="N25" s="1018"/>
      <c r="O25" s="1018"/>
      <c r="P25" s="1018"/>
      <c r="Q25" s="1018"/>
      <c r="R25" s="1018"/>
      <c r="S25" s="1018"/>
      <c r="T25" s="1020"/>
    </row>
    <row r="26" spans="1:20" ht="30" customHeight="1">
      <c r="A26" s="1020" t="str">
        <f>+Parametres!$B$1</f>
        <v>BMW Sherbrooke</v>
      </c>
      <c r="B26" s="1021" t="s">
        <v>2333</v>
      </c>
      <c r="C26" s="1022"/>
      <c r="D26" s="1017"/>
      <c r="E26" s="1019">
        <f t="shared" si="1"/>
        <v>0</v>
      </c>
      <c r="F26" s="1018"/>
      <c r="G26" s="1018">
        <f t="shared" si="2"/>
        <v>0</v>
      </c>
      <c r="H26" s="1019"/>
      <c r="I26" s="1018"/>
      <c r="J26" s="1018"/>
      <c r="K26" s="1018"/>
      <c r="L26" s="1018"/>
      <c r="M26" s="1018"/>
      <c r="N26" s="1018"/>
      <c r="O26" s="1018"/>
      <c r="P26" s="1018"/>
      <c r="Q26" s="1018"/>
      <c r="R26" s="1018"/>
      <c r="S26" s="1018"/>
      <c r="T26" s="1020"/>
    </row>
    <row r="27" spans="1:20" ht="30" customHeight="1">
      <c r="A27" s="1020" t="str">
        <f>+Parametres!$B$1</f>
        <v>BMW Sherbrooke</v>
      </c>
      <c r="B27" s="1021" t="s">
        <v>2333</v>
      </c>
      <c r="C27" s="1022"/>
      <c r="D27" s="1017"/>
      <c r="E27" s="1019">
        <f t="shared" si="1"/>
        <v>0</v>
      </c>
      <c r="F27" s="1018"/>
      <c r="G27" s="1018">
        <f t="shared" si="2"/>
        <v>0</v>
      </c>
      <c r="H27" s="1019"/>
      <c r="I27" s="1018"/>
      <c r="J27" s="1018"/>
      <c r="K27" s="1018"/>
      <c r="L27" s="1018"/>
      <c r="M27" s="1018"/>
      <c r="N27" s="1018"/>
      <c r="O27" s="1018"/>
      <c r="P27" s="1018"/>
      <c r="Q27" s="1018"/>
      <c r="R27" s="1018"/>
      <c r="S27" s="1018"/>
      <c r="T27" s="1020"/>
    </row>
    <row r="28" spans="1:20" ht="30" customHeight="1">
      <c r="A28" s="1020" t="str">
        <f>+Parametres!$B$1</f>
        <v>BMW Sherbrooke</v>
      </c>
      <c r="B28" s="1021" t="s">
        <v>2333</v>
      </c>
      <c r="C28" s="1022"/>
      <c r="D28" s="1017"/>
      <c r="E28" s="1019">
        <f t="shared" si="1"/>
        <v>0</v>
      </c>
      <c r="F28" s="1018"/>
      <c r="G28" s="1018">
        <f t="shared" si="2"/>
        <v>0</v>
      </c>
      <c r="H28" s="1019"/>
      <c r="I28" s="1018"/>
      <c r="J28" s="1018"/>
      <c r="K28" s="1018"/>
      <c r="L28" s="1018"/>
      <c r="M28" s="1018"/>
      <c r="N28" s="1018"/>
      <c r="O28" s="1018"/>
      <c r="P28" s="1018"/>
      <c r="Q28" s="1018"/>
      <c r="R28" s="1018"/>
      <c r="S28" s="1018"/>
      <c r="T28" s="1020"/>
    </row>
    <row r="29" spans="1:20" ht="30" customHeight="1">
      <c r="A29" s="1020" t="str">
        <f>+Parametres!$B$1</f>
        <v>BMW Sherbrooke</v>
      </c>
      <c r="B29" s="1021" t="s">
        <v>2333</v>
      </c>
      <c r="C29" s="1022"/>
      <c r="D29" s="1017"/>
      <c r="E29" s="1019">
        <f t="shared" si="1"/>
        <v>0</v>
      </c>
      <c r="F29" s="1018"/>
      <c r="G29" s="1018">
        <f t="shared" si="2"/>
        <v>0</v>
      </c>
      <c r="H29" s="1019"/>
      <c r="I29" s="1018"/>
      <c r="J29" s="1018"/>
      <c r="K29" s="1018"/>
      <c r="L29" s="1018"/>
      <c r="M29" s="1018"/>
      <c r="N29" s="1018"/>
      <c r="O29" s="1018"/>
      <c r="P29" s="1018"/>
      <c r="Q29" s="1018"/>
      <c r="R29" s="1018"/>
      <c r="S29" s="1018"/>
      <c r="T29" s="1020"/>
    </row>
    <row r="30" spans="1:20" ht="30" customHeight="1">
      <c r="A30" s="1020" t="str">
        <f>+Parametres!$B$1</f>
        <v>BMW Sherbrooke</v>
      </c>
      <c r="B30" s="1021" t="s">
        <v>2333</v>
      </c>
      <c r="C30" s="1022"/>
      <c r="D30" s="1017"/>
      <c r="E30" s="1019">
        <f t="shared" si="1"/>
        <v>0</v>
      </c>
      <c r="F30" s="1018"/>
      <c r="G30" s="1018">
        <f t="shared" si="2"/>
        <v>0</v>
      </c>
      <c r="H30" s="1019"/>
      <c r="I30" s="1018"/>
      <c r="J30" s="1018"/>
      <c r="K30" s="1018"/>
      <c r="L30" s="1018"/>
      <c r="M30" s="1018"/>
      <c r="N30" s="1018"/>
      <c r="O30" s="1018"/>
      <c r="P30" s="1018"/>
      <c r="Q30" s="1018"/>
      <c r="R30" s="1018"/>
      <c r="S30" s="1018"/>
      <c r="T30" s="1020"/>
    </row>
    <row r="31" spans="1:20" ht="30" customHeight="1">
      <c r="A31" s="1020" t="str">
        <f>+Parametres!$B$1</f>
        <v>BMW Sherbrooke</v>
      </c>
      <c r="B31" s="1021" t="s">
        <v>2333</v>
      </c>
      <c r="C31" s="1022"/>
      <c r="D31" s="1017"/>
      <c r="E31" s="1019">
        <f t="shared" si="1"/>
        <v>0</v>
      </c>
      <c r="F31" s="1018"/>
      <c r="G31" s="1018">
        <f t="shared" si="2"/>
        <v>0</v>
      </c>
      <c r="H31" s="1019"/>
      <c r="I31" s="1018"/>
      <c r="J31" s="1018"/>
      <c r="K31" s="1018"/>
      <c r="L31" s="1018"/>
      <c r="M31" s="1018"/>
      <c r="N31" s="1018"/>
      <c r="O31" s="1018"/>
      <c r="P31" s="1018"/>
      <c r="Q31" s="1018"/>
      <c r="R31" s="1018"/>
      <c r="S31" s="1018"/>
      <c r="T31" s="1020"/>
    </row>
    <row r="32" spans="1:20" ht="30" customHeight="1">
      <c r="A32" s="1020" t="str">
        <f>+Parametres!$B$1</f>
        <v>BMW Sherbrooke</v>
      </c>
      <c r="B32" s="1021" t="s">
        <v>2333</v>
      </c>
      <c r="C32" s="1022"/>
      <c r="D32" s="1017"/>
      <c r="E32" s="1019">
        <f t="shared" si="1"/>
        <v>0</v>
      </c>
      <c r="F32" s="1018"/>
      <c r="G32" s="1018">
        <f t="shared" si="2"/>
        <v>0</v>
      </c>
      <c r="H32" s="1019"/>
      <c r="I32" s="1018"/>
      <c r="J32" s="1018"/>
      <c r="K32" s="1018"/>
      <c r="L32" s="1018"/>
      <c r="M32" s="1018"/>
      <c r="N32" s="1018"/>
      <c r="O32" s="1018"/>
      <c r="P32" s="1018"/>
      <c r="Q32" s="1018"/>
      <c r="R32" s="1018"/>
      <c r="S32" s="1018"/>
      <c r="T32" s="1020"/>
    </row>
    <row r="33" spans="1:24" ht="30" customHeight="1">
      <c r="A33" s="1020" t="str">
        <f>+Parametres!$B$1</f>
        <v>BMW Sherbrooke</v>
      </c>
      <c r="B33" s="1021" t="s">
        <v>2333</v>
      </c>
      <c r="C33" s="1022"/>
      <c r="D33" s="1017"/>
      <c r="E33" s="1019">
        <f t="shared" si="1"/>
        <v>0</v>
      </c>
      <c r="F33" s="1018"/>
      <c r="G33" s="1018">
        <f t="shared" si="2"/>
        <v>0</v>
      </c>
      <c r="H33" s="1019"/>
      <c r="I33" s="1018"/>
      <c r="J33" s="1018"/>
      <c r="K33" s="1018"/>
      <c r="L33" s="1018"/>
      <c r="M33" s="1018"/>
      <c r="N33" s="1018"/>
      <c r="O33" s="1018"/>
      <c r="P33" s="1018"/>
      <c r="Q33" s="1018"/>
      <c r="R33" s="1018"/>
      <c r="S33" s="1018"/>
      <c r="T33" s="1020"/>
    </row>
    <row r="34" spans="1:24" ht="30" customHeight="1">
      <c r="A34" s="1020" t="str">
        <f>+Parametres!$B$1</f>
        <v>BMW Sherbrooke</v>
      </c>
      <c r="B34" s="1021" t="s">
        <v>2333</v>
      </c>
      <c r="C34" s="1022"/>
      <c r="D34" s="1017"/>
      <c r="E34" s="1019">
        <f t="shared" si="1"/>
        <v>0</v>
      </c>
      <c r="F34" s="1018"/>
      <c r="G34" s="1018">
        <f t="shared" si="2"/>
        <v>0</v>
      </c>
      <c r="H34" s="1019"/>
      <c r="I34" s="1018"/>
      <c r="J34" s="1018"/>
      <c r="K34" s="1018"/>
      <c r="L34" s="1018"/>
      <c r="M34" s="1018"/>
      <c r="N34" s="1018"/>
      <c r="O34" s="1018"/>
      <c r="P34" s="1018"/>
      <c r="Q34" s="1018"/>
      <c r="R34" s="1018"/>
      <c r="S34" s="1018"/>
      <c r="T34" s="1020"/>
    </row>
    <row r="35" spans="1:24" ht="30" customHeight="1">
      <c r="A35" s="1020" t="str">
        <f>+Parametres!$B$1</f>
        <v>BMW Sherbrooke</v>
      </c>
      <c r="B35" s="1021" t="s">
        <v>2333</v>
      </c>
      <c r="C35" s="1022"/>
      <c r="D35" s="1017"/>
      <c r="E35" s="1019">
        <f t="shared" si="1"/>
        <v>0</v>
      </c>
      <c r="F35" s="1018"/>
      <c r="G35" s="1018">
        <f t="shared" si="2"/>
        <v>0</v>
      </c>
      <c r="H35" s="1019"/>
      <c r="I35" s="1018"/>
      <c r="J35" s="1018"/>
      <c r="K35" s="1018"/>
      <c r="L35" s="1018"/>
      <c r="M35" s="1018"/>
      <c r="N35" s="1018"/>
      <c r="O35" s="1018"/>
      <c r="P35" s="1018"/>
      <c r="Q35" s="1018"/>
      <c r="R35" s="1018"/>
      <c r="S35" s="1018"/>
      <c r="T35" s="1020"/>
    </row>
    <row r="36" spans="1:24" ht="30" customHeight="1">
      <c r="A36" s="1020" t="str">
        <f>+Parametres!$B$1</f>
        <v>BMW Sherbrooke</v>
      </c>
      <c r="B36" s="1021" t="s">
        <v>2333</v>
      </c>
      <c r="C36" s="1022"/>
      <c r="D36" s="1017"/>
      <c r="E36" s="1019">
        <f t="shared" si="1"/>
        <v>0</v>
      </c>
      <c r="F36" s="1018"/>
      <c r="G36" s="1018">
        <f t="shared" si="2"/>
        <v>0</v>
      </c>
      <c r="H36" s="1019"/>
      <c r="I36" s="1018"/>
      <c r="J36" s="1018"/>
      <c r="K36" s="1018"/>
      <c r="L36" s="1018"/>
      <c r="M36" s="1018"/>
      <c r="N36" s="1018"/>
      <c r="O36" s="1018"/>
      <c r="P36" s="1018"/>
      <c r="Q36" s="1018"/>
      <c r="R36" s="1018"/>
      <c r="S36" s="1018"/>
      <c r="T36" s="1020"/>
      <c r="X36" s="998" t="s">
        <v>2156</v>
      </c>
    </row>
    <row r="37" spans="1:24" ht="30" customHeight="1">
      <c r="A37" s="1020" t="str">
        <f>+Parametres!$B$1</f>
        <v>BMW Sherbrooke</v>
      </c>
      <c r="B37" s="1021" t="s">
        <v>2333</v>
      </c>
      <c r="C37" s="1022"/>
      <c r="D37" s="1017"/>
      <c r="E37" s="1019">
        <f t="shared" si="1"/>
        <v>0</v>
      </c>
      <c r="F37" s="1018"/>
      <c r="G37" s="1018">
        <f t="shared" si="2"/>
        <v>0</v>
      </c>
      <c r="H37" s="1019"/>
      <c r="I37" s="1018"/>
      <c r="J37" s="1018"/>
      <c r="K37" s="1018"/>
      <c r="L37" s="1018"/>
      <c r="M37" s="1018"/>
      <c r="N37" s="1018"/>
      <c r="O37" s="1018"/>
      <c r="P37" s="1018"/>
      <c r="Q37" s="1018"/>
      <c r="R37" s="1018"/>
      <c r="S37" s="1018"/>
      <c r="T37" s="1020"/>
      <c r="X37" s="998" t="s">
        <v>2333</v>
      </c>
    </row>
    <row r="38" spans="1:24" ht="30" customHeight="1">
      <c r="A38" s="1020" t="str">
        <f>+Parametres!$B$1</f>
        <v>BMW Sherbrooke</v>
      </c>
      <c r="B38" s="1021" t="s">
        <v>2333</v>
      </c>
      <c r="C38" s="1022"/>
      <c r="D38" s="1017"/>
      <c r="E38" s="1019">
        <f t="shared" si="1"/>
        <v>0</v>
      </c>
      <c r="F38" s="1018"/>
      <c r="G38" s="1018">
        <f t="shared" si="2"/>
        <v>0</v>
      </c>
      <c r="H38" s="1019"/>
      <c r="I38" s="1018"/>
      <c r="J38" s="1018"/>
      <c r="K38" s="1018"/>
      <c r="L38" s="1018"/>
      <c r="M38" s="1018"/>
      <c r="N38" s="1018"/>
      <c r="O38" s="1018"/>
      <c r="P38" s="1018"/>
      <c r="Q38" s="1018"/>
      <c r="R38" s="1018"/>
      <c r="S38" s="1018"/>
      <c r="T38" s="1020"/>
    </row>
    <row r="39" spans="1:24" ht="30" customHeight="1">
      <c r="A39" s="1020" t="str">
        <f>+Parametres!$B$1</f>
        <v>BMW Sherbrooke</v>
      </c>
      <c r="B39" s="1021" t="s">
        <v>2333</v>
      </c>
      <c r="C39" s="1022"/>
      <c r="D39" s="1017"/>
      <c r="E39" s="1019">
        <f t="shared" si="1"/>
        <v>0</v>
      </c>
      <c r="F39" s="1018"/>
      <c r="G39" s="1018">
        <f t="shared" si="2"/>
        <v>0</v>
      </c>
      <c r="H39" s="1019"/>
      <c r="I39" s="1018"/>
      <c r="J39" s="1018"/>
      <c r="K39" s="1018"/>
      <c r="L39" s="1018"/>
      <c r="M39" s="1018"/>
      <c r="N39" s="1018"/>
      <c r="O39" s="1018"/>
      <c r="P39" s="1018"/>
      <c r="Q39" s="1018"/>
      <c r="R39" s="1018"/>
      <c r="S39" s="1018"/>
      <c r="T39" s="1020"/>
    </row>
    <row r="40" spans="1:24" ht="30" customHeight="1" thickBot="1">
      <c r="A40" s="1023" t="str">
        <f>+Parametres!$B$1</f>
        <v>BMW Sherbrooke</v>
      </c>
      <c r="B40" s="1024" t="s">
        <v>2333</v>
      </c>
      <c r="C40" s="1025"/>
      <c r="D40" s="1026"/>
      <c r="E40" s="1027">
        <f t="shared" si="1"/>
        <v>0</v>
      </c>
      <c r="F40" s="1028"/>
      <c r="G40" s="1028">
        <f t="shared" si="2"/>
        <v>0</v>
      </c>
      <c r="H40" s="1027"/>
      <c r="I40" s="1028"/>
      <c r="J40" s="1028"/>
      <c r="K40" s="1028"/>
      <c r="L40" s="1028"/>
      <c r="M40" s="1028"/>
      <c r="N40" s="1028"/>
      <c r="O40" s="1028"/>
      <c r="P40" s="1028"/>
      <c r="Q40" s="1028"/>
      <c r="R40" s="1028"/>
      <c r="S40" s="1028"/>
      <c r="T40" s="1023"/>
    </row>
    <row r="42" spans="1:24" ht="30" customHeight="1">
      <c r="C42" s="1029"/>
      <c r="D42" s="1029"/>
    </row>
    <row r="43" spans="1:24" ht="30" customHeight="1">
      <c r="C43" s="1001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90"/>
    <col min="4" max="4" width="15.75" style="790" bestFit="1" customWidth="1"/>
    <col min="5" max="5" width="11.25" style="791" customWidth="1"/>
    <col min="6" max="6" width="12.125" style="791" bestFit="1" customWidth="1"/>
    <col min="7" max="7" width="20" style="790" bestFit="1" customWidth="1"/>
    <col min="8" max="8" width="11.625" style="790" customWidth="1"/>
    <col min="9" max="11" width="11" style="784"/>
    <col min="12" max="12" width="12.375" style="784" bestFit="1" customWidth="1"/>
    <col min="13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2160</v>
      </c>
      <c r="E1" s="782" t="s">
        <v>2161</v>
      </c>
      <c r="F1" s="782" t="s">
        <v>2162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2566</v>
      </c>
      <c r="B2" s="786" t="s">
        <v>2567</v>
      </c>
      <c r="C2" s="786" t="s">
        <v>2568</v>
      </c>
      <c r="D2" s="786" t="s">
        <v>626</v>
      </c>
      <c r="E2" s="1096">
        <v>65121.87</v>
      </c>
      <c r="F2" s="1096">
        <v>-60905.25</v>
      </c>
      <c r="G2" s="786" t="s">
        <v>2569</v>
      </c>
      <c r="H2" s="787">
        <v>478</v>
      </c>
      <c r="K2" s="785" t="s">
        <v>2165</v>
      </c>
      <c r="L2" s="788">
        <f>+SUM(E2:E10000)</f>
        <v>3938633.3000000003</v>
      </c>
      <c r="M2" s="789">
        <f>+SUM(F2:F10000)</f>
        <v>-3910068.02</v>
      </c>
    </row>
    <row r="3" spans="1:13">
      <c r="A3" s="786" t="s">
        <v>2570</v>
      </c>
      <c r="B3" s="786" t="s">
        <v>2567</v>
      </c>
      <c r="C3" s="786" t="s">
        <v>2568</v>
      </c>
      <c r="D3" s="786" t="s">
        <v>626</v>
      </c>
      <c r="E3" s="1096">
        <v>63963.67</v>
      </c>
      <c r="F3" s="1096"/>
      <c r="G3" s="786" t="s">
        <v>2571</v>
      </c>
      <c r="H3" s="787">
        <v>465</v>
      </c>
      <c r="L3" s="788">
        <f>+COUNT(E2:E10000)</f>
        <v>45</v>
      </c>
    </row>
    <row r="4" spans="1:13">
      <c r="A4" s="786" t="s">
        <v>2572</v>
      </c>
      <c r="B4" s="786" t="s">
        <v>2567</v>
      </c>
      <c r="C4" s="786" t="s">
        <v>2568</v>
      </c>
      <c r="D4" s="786" t="s">
        <v>2573</v>
      </c>
      <c r="E4" s="1096">
        <v>75509.5</v>
      </c>
      <c r="F4" s="1096"/>
      <c r="G4" s="786" t="s">
        <v>2574</v>
      </c>
      <c r="H4" s="787">
        <v>411</v>
      </c>
    </row>
    <row r="5" spans="1:13">
      <c r="A5" s="786" t="s">
        <v>2575</v>
      </c>
      <c r="B5" s="786" t="s">
        <v>2567</v>
      </c>
      <c r="C5" s="786" t="s">
        <v>2576</v>
      </c>
      <c r="D5" s="786" t="s">
        <v>2577</v>
      </c>
      <c r="E5" s="1096">
        <v>84833.61</v>
      </c>
      <c r="F5" s="1096">
        <v>-88452</v>
      </c>
      <c r="G5" s="786" t="s">
        <v>2578</v>
      </c>
      <c r="H5" s="787">
        <v>146</v>
      </c>
    </row>
    <row r="6" spans="1:13">
      <c r="A6" s="786" t="s">
        <v>2579</v>
      </c>
      <c r="B6" s="786" t="s">
        <v>2567</v>
      </c>
      <c r="C6" s="786" t="s">
        <v>2568</v>
      </c>
      <c r="D6" s="786" t="s">
        <v>2580</v>
      </c>
      <c r="E6" s="1096">
        <v>66617.36</v>
      </c>
      <c r="F6" s="1096">
        <v>-69326.25</v>
      </c>
      <c r="G6" s="786" t="s">
        <v>2581</v>
      </c>
      <c r="H6" s="787">
        <v>151</v>
      </c>
    </row>
    <row r="7" spans="1:13">
      <c r="A7" s="786" t="s">
        <v>2582</v>
      </c>
      <c r="B7" s="786" t="s">
        <v>2567</v>
      </c>
      <c r="C7" s="786" t="s">
        <v>2576</v>
      </c>
      <c r="D7" s="786" t="s">
        <v>2577</v>
      </c>
      <c r="E7" s="1096">
        <v>73335.37</v>
      </c>
      <c r="F7" s="1096">
        <v>-69809.25</v>
      </c>
      <c r="G7" s="786" t="s">
        <v>2583</v>
      </c>
      <c r="H7" s="787">
        <v>143</v>
      </c>
    </row>
    <row r="8" spans="1:13">
      <c r="A8" s="786" t="s">
        <v>2584</v>
      </c>
      <c r="B8" s="786" t="s">
        <v>2567</v>
      </c>
      <c r="C8" s="786" t="s">
        <v>2576</v>
      </c>
      <c r="D8" s="786" t="s">
        <v>2585</v>
      </c>
      <c r="E8" s="1096">
        <v>50471.49</v>
      </c>
      <c r="F8" s="1096">
        <v>-50473.5</v>
      </c>
      <c r="G8" s="786" t="s">
        <v>2586</v>
      </c>
      <c r="H8" s="787">
        <v>67</v>
      </c>
    </row>
    <row r="9" spans="1:13">
      <c r="A9" s="786" t="s">
        <v>2587</v>
      </c>
      <c r="B9" s="786" t="s">
        <v>2567</v>
      </c>
      <c r="C9" s="786" t="s">
        <v>2576</v>
      </c>
      <c r="D9" s="786" t="s">
        <v>2585</v>
      </c>
      <c r="E9" s="1096">
        <v>50262.11</v>
      </c>
      <c r="F9" s="1096">
        <v>-52143</v>
      </c>
      <c r="G9" s="786" t="s">
        <v>2588</v>
      </c>
      <c r="H9" s="787">
        <v>58</v>
      </c>
    </row>
    <row r="10" spans="1:13">
      <c r="A10" s="786" t="s">
        <v>2589</v>
      </c>
      <c r="B10" s="786" t="s">
        <v>2590</v>
      </c>
      <c r="C10" s="786" t="s">
        <v>2576</v>
      </c>
      <c r="D10" s="786" t="s">
        <v>2591</v>
      </c>
      <c r="E10" s="1096">
        <v>95266.49</v>
      </c>
      <c r="F10" s="1096">
        <v>-95303.25</v>
      </c>
      <c r="G10" s="786" t="s">
        <v>2592</v>
      </c>
      <c r="H10" s="787">
        <v>158</v>
      </c>
    </row>
    <row r="11" spans="1:13">
      <c r="A11" s="786" t="s">
        <v>2593</v>
      </c>
      <c r="B11" s="786" t="s">
        <v>2590</v>
      </c>
      <c r="C11" s="786" t="s">
        <v>2576</v>
      </c>
      <c r="D11" s="786" t="s">
        <v>2594</v>
      </c>
      <c r="E11" s="1096">
        <v>126612.36</v>
      </c>
      <c r="F11" s="1096">
        <v>-131675.25</v>
      </c>
      <c r="G11" s="786" t="s">
        <v>2595</v>
      </c>
      <c r="H11" s="787">
        <v>149</v>
      </c>
    </row>
    <row r="12" spans="1:13">
      <c r="A12" s="786" t="s">
        <v>2596</v>
      </c>
      <c r="B12" s="786" t="s">
        <v>2590</v>
      </c>
      <c r="C12" s="786" t="s">
        <v>2597</v>
      </c>
      <c r="D12" s="786" t="s">
        <v>2598</v>
      </c>
      <c r="E12" s="1096">
        <v>97633.14</v>
      </c>
      <c r="F12" s="1096">
        <v>-97203.75</v>
      </c>
      <c r="G12" s="786" t="s">
        <v>2599</v>
      </c>
      <c r="H12" s="787">
        <v>152</v>
      </c>
    </row>
    <row r="13" spans="1:13">
      <c r="A13" s="786" t="s">
        <v>2600</v>
      </c>
      <c r="B13" s="786" t="s">
        <v>2590</v>
      </c>
      <c r="C13" s="786" t="s">
        <v>2576</v>
      </c>
      <c r="D13" s="786" t="s">
        <v>2601</v>
      </c>
      <c r="E13" s="1096">
        <v>103328.55</v>
      </c>
      <c r="F13" s="1096">
        <v>-107651.25</v>
      </c>
      <c r="G13" s="786" t="s">
        <v>2602</v>
      </c>
      <c r="H13" s="787">
        <v>144</v>
      </c>
    </row>
    <row r="14" spans="1:13">
      <c r="A14" s="786" t="s">
        <v>2603</v>
      </c>
      <c r="B14" s="786" t="s">
        <v>2590</v>
      </c>
      <c r="C14" s="786" t="s">
        <v>2568</v>
      </c>
      <c r="D14" s="786" t="s">
        <v>2604</v>
      </c>
      <c r="E14" s="1096">
        <v>66533.61</v>
      </c>
      <c r="F14" s="1096">
        <v>-69237</v>
      </c>
      <c r="G14" s="786" t="s">
        <v>2605</v>
      </c>
      <c r="H14" s="787">
        <v>144</v>
      </c>
    </row>
    <row r="15" spans="1:13">
      <c r="A15" s="786" t="s">
        <v>2606</v>
      </c>
      <c r="B15" s="786" t="s">
        <v>2590</v>
      </c>
      <c r="C15" s="786" t="s">
        <v>2597</v>
      </c>
      <c r="D15" s="786" t="s">
        <v>2607</v>
      </c>
      <c r="E15" s="1096">
        <v>159476.47</v>
      </c>
      <c r="F15" s="1096">
        <v>-173664.75</v>
      </c>
      <c r="G15" s="786" t="s">
        <v>2608</v>
      </c>
      <c r="H15" s="787">
        <v>142</v>
      </c>
    </row>
    <row r="16" spans="1:13">
      <c r="A16" s="786" t="s">
        <v>2609</v>
      </c>
      <c r="B16" s="786" t="s">
        <v>2590</v>
      </c>
      <c r="C16" s="786" t="s">
        <v>2568</v>
      </c>
      <c r="D16" s="786" t="s">
        <v>2610</v>
      </c>
      <c r="E16" s="1096">
        <v>62907.21</v>
      </c>
      <c r="F16" s="1096">
        <v>-60149.52</v>
      </c>
      <c r="G16" s="786" t="s">
        <v>2611</v>
      </c>
      <c r="H16" s="787">
        <v>117</v>
      </c>
    </row>
    <row r="17" spans="1:8">
      <c r="A17" s="786" t="s">
        <v>2612</v>
      </c>
      <c r="B17" s="786" t="s">
        <v>2590</v>
      </c>
      <c r="C17" s="786" t="s">
        <v>2568</v>
      </c>
      <c r="D17" s="786" t="s">
        <v>2610</v>
      </c>
      <c r="E17" s="1096">
        <v>68631.759999999995</v>
      </c>
      <c r="F17" s="1096">
        <v>-71326.5</v>
      </c>
      <c r="G17" s="786" t="s">
        <v>2613</v>
      </c>
      <c r="H17" s="787">
        <v>117</v>
      </c>
    </row>
    <row r="18" spans="1:8">
      <c r="A18" s="786" t="s">
        <v>2614</v>
      </c>
      <c r="B18" s="786" t="s">
        <v>2590</v>
      </c>
      <c r="C18" s="786" t="s">
        <v>2568</v>
      </c>
      <c r="D18" s="786" t="s">
        <v>2615</v>
      </c>
      <c r="E18" s="1096">
        <v>100033.61</v>
      </c>
      <c r="F18" s="1096">
        <v>-104328</v>
      </c>
      <c r="G18" s="786" t="s">
        <v>2616</v>
      </c>
      <c r="H18" s="787">
        <v>117</v>
      </c>
    </row>
    <row r="19" spans="1:8">
      <c r="A19" s="786" t="s">
        <v>2617</v>
      </c>
      <c r="B19" s="786" t="s">
        <v>2590</v>
      </c>
      <c r="C19" s="786" t="s">
        <v>2597</v>
      </c>
      <c r="D19" s="786" t="s">
        <v>2618</v>
      </c>
      <c r="E19" s="1096">
        <v>102873.63</v>
      </c>
      <c r="F19" s="1096">
        <v>-107409.75</v>
      </c>
      <c r="G19" s="786" t="s">
        <v>2619</v>
      </c>
      <c r="H19" s="787">
        <v>117</v>
      </c>
    </row>
    <row r="20" spans="1:8">
      <c r="A20" s="786" t="s">
        <v>2620</v>
      </c>
      <c r="B20" s="786" t="s">
        <v>2590</v>
      </c>
      <c r="C20" s="786" t="s">
        <v>2568</v>
      </c>
      <c r="D20" s="786" t="s">
        <v>2621</v>
      </c>
      <c r="E20" s="1096">
        <v>79327.11</v>
      </c>
      <c r="F20" s="1096">
        <v>-82661.25</v>
      </c>
      <c r="G20" s="786" t="s">
        <v>2622</v>
      </c>
      <c r="H20" s="787">
        <v>114</v>
      </c>
    </row>
    <row r="21" spans="1:8">
      <c r="A21" s="786" t="s">
        <v>2623</v>
      </c>
      <c r="B21" s="786" t="s">
        <v>2590</v>
      </c>
      <c r="C21" s="786" t="s">
        <v>2576</v>
      </c>
      <c r="D21" s="786" t="s">
        <v>2577</v>
      </c>
      <c r="E21" s="1096">
        <v>73721.05</v>
      </c>
      <c r="F21" s="1096">
        <v>-72786</v>
      </c>
      <c r="G21" s="786" t="s">
        <v>2624</v>
      </c>
      <c r="H21" s="787">
        <v>101</v>
      </c>
    </row>
    <row r="22" spans="1:8">
      <c r="A22" s="786" t="s">
        <v>2625</v>
      </c>
      <c r="B22" s="786" t="s">
        <v>2590</v>
      </c>
      <c r="C22" s="786" t="s">
        <v>2576</v>
      </c>
      <c r="D22" s="786" t="s">
        <v>2577</v>
      </c>
      <c r="E22" s="1096">
        <v>99958.61</v>
      </c>
      <c r="F22" s="1096">
        <v>-104333.25</v>
      </c>
      <c r="G22" s="786" t="s">
        <v>2626</v>
      </c>
      <c r="H22" s="787">
        <v>93</v>
      </c>
    </row>
    <row r="23" spans="1:8">
      <c r="A23" s="786" t="s">
        <v>2627</v>
      </c>
      <c r="B23" s="786" t="s">
        <v>2590</v>
      </c>
      <c r="C23" s="786" t="s">
        <v>2576</v>
      </c>
      <c r="D23" s="786" t="s">
        <v>2577</v>
      </c>
      <c r="E23" s="1096">
        <v>62153.61</v>
      </c>
      <c r="F23" s="1096">
        <v>-61905</v>
      </c>
      <c r="G23" s="786" t="s">
        <v>2628</v>
      </c>
      <c r="H23" s="787">
        <v>102</v>
      </c>
    </row>
    <row r="24" spans="1:8">
      <c r="A24" s="786" t="s">
        <v>2629</v>
      </c>
      <c r="B24" s="786" t="s">
        <v>2590</v>
      </c>
      <c r="C24" s="786" t="s">
        <v>2576</v>
      </c>
      <c r="D24" s="786" t="s">
        <v>2594</v>
      </c>
      <c r="E24" s="1096">
        <v>131769.5</v>
      </c>
      <c r="F24" s="1096">
        <v>-132239.5</v>
      </c>
      <c r="G24" s="786" t="s">
        <v>2630</v>
      </c>
      <c r="H24" s="787">
        <v>100</v>
      </c>
    </row>
    <row r="25" spans="1:8">
      <c r="A25" s="786" t="s">
        <v>2631</v>
      </c>
      <c r="B25" s="786" t="s">
        <v>2590</v>
      </c>
      <c r="C25" s="786" t="s">
        <v>2568</v>
      </c>
      <c r="D25" s="786" t="s">
        <v>2632</v>
      </c>
      <c r="E25" s="1096">
        <v>150512.10999999999</v>
      </c>
      <c r="F25" s="1096">
        <v>-157405.5</v>
      </c>
      <c r="G25" s="786" t="s">
        <v>2633</v>
      </c>
      <c r="H25" s="787">
        <v>81</v>
      </c>
    </row>
    <row r="26" spans="1:8">
      <c r="A26" s="786" t="s">
        <v>2634</v>
      </c>
      <c r="B26" s="786" t="s">
        <v>2590</v>
      </c>
      <c r="C26" s="786" t="s">
        <v>2568</v>
      </c>
      <c r="D26" s="786" t="s">
        <v>2580</v>
      </c>
      <c r="E26" s="1096">
        <v>59033.61</v>
      </c>
      <c r="F26" s="1096">
        <v>-61362</v>
      </c>
      <c r="G26" s="786" t="s">
        <v>2635</v>
      </c>
      <c r="H26" s="787">
        <v>69</v>
      </c>
    </row>
    <row r="27" spans="1:8">
      <c r="A27" s="786" t="s">
        <v>2636</v>
      </c>
      <c r="B27" s="786" t="s">
        <v>2590</v>
      </c>
      <c r="C27" s="786" t="s">
        <v>2568</v>
      </c>
      <c r="D27" s="786" t="s">
        <v>2610</v>
      </c>
      <c r="E27" s="1096">
        <v>68350.41</v>
      </c>
      <c r="F27" s="1096">
        <v>-68491.5</v>
      </c>
      <c r="G27" s="786" t="s">
        <v>2637</v>
      </c>
      <c r="H27" s="787">
        <v>76</v>
      </c>
    </row>
    <row r="28" spans="1:8">
      <c r="A28" s="786" t="s">
        <v>2638</v>
      </c>
      <c r="B28" s="786" t="s">
        <v>2590</v>
      </c>
      <c r="C28" s="786" t="s">
        <v>2568</v>
      </c>
      <c r="D28" s="786" t="s">
        <v>2610</v>
      </c>
      <c r="E28" s="1096">
        <v>64527.11</v>
      </c>
      <c r="F28" s="1096">
        <v>-67121.25</v>
      </c>
      <c r="G28" s="786" t="s">
        <v>2639</v>
      </c>
      <c r="H28" s="787">
        <v>54</v>
      </c>
    </row>
    <row r="29" spans="1:8">
      <c r="A29" s="786" t="s">
        <v>2640</v>
      </c>
      <c r="B29" s="786" t="s">
        <v>2590</v>
      </c>
      <c r="C29" s="786" t="s">
        <v>2576</v>
      </c>
      <c r="D29" s="786" t="s">
        <v>2594</v>
      </c>
      <c r="E29" s="1096">
        <v>124302.9</v>
      </c>
      <c r="F29" s="1096">
        <v>-129884.5</v>
      </c>
      <c r="G29" s="786" t="s">
        <v>2641</v>
      </c>
      <c r="H29" s="787">
        <v>75</v>
      </c>
    </row>
    <row r="30" spans="1:8">
      <c r="A30" s="786" t="s">
        <v>2642</v>
      </c>
      <c r="B30" s="786" t="s">
        <v>2590</v>
      </c>
      <c r="C30" s="786" t="s">
        <v>2568</v>
      </c>
      <c r="D30" s="786" t="s">
        <v>2604</v>
      </c>
      <c r="E30" s="1096">
        <v>88302.11</v>
      </c>
      <c r="F30" s="1096">
        <v>-92085</v>
      </c>
      <c r="G30" s="786" t="s">
        <v>2643</v>
      </c>
      <c r="H30" s="787">
        <v>62</v>
      </c>
    </row>
    <row r="31" spans="1:8">
      <c r="A31" s="786" t="s">
        <v>2644</v>
      </c>
      <c r="B31" s="786" t="s">
        <v>2590</v>
      </c>
      <c r="C31" s="786" t="s">
        <v>2576</v>
      </c>
      <c r="D31" s="786" t="s">
        <v>2577</v>
      </c>
      <c r="E31" s="1096">
        <v>66086.89</v>
      </c>
      <c r="F31" s="1096">
        <v>-65273.25</v>
      </c>
      <c r="G31" s="786" t="s">
        <v>2645</v>
      </c>
      <c r="H31" s="787">
        <v>44</v>
      </c>
    </row>
    <row r="32" spans="1:8">
      <c r="A32" s="786" t="s">
        <v>2646</v>
      </c>
      <c r="B32" s="786" t="s">
        <v>2590</v>
      </c>
      <c r="C32" s="786" t="s">
        <v>2568</v>
      </c>
      <c r="D32" s="786" t="s">
        <v>2632</v>
      </c>
      <c r="E32" s="1096">
        <v>152133.60999999999</v>
      </c>
      <c r="F32" s="1096">
        <v>-159117</v>
      </c>
      <c r="G32" s="786" t="s">
        <v>2647</v>
      </c>
      <c r="H32" s="787">
        <v>47</v>
      </c>
    </row>
    <row r="33" spans="1:8">
      <c r="A33" s="786" t="s">
        <v>2648</v>
      </c>
      <c r="B33" s="786" t="s">
        <v>2590</v>
      </c>
      <c r="C33" s="786" t="s">
        <v>2576</v>
      </c>
      <c r="D33" s="786" t="s">
        <v>2601</v>
      </c>
      <c r="E33" s="1096">
        <v>102062.11</v>
      </c>
      <c r="F33" s="1096">
        <v>-106533</v>
      </c>
      <c r="G33" s="786" t="s">
        <v>2649</v>
      </c>
      <c r="H33" s="787">
        <v>41</v>
      </c>
    </row>
    <row r="34" spans="1:8">
      <c r="A34" s="786" t="s">
        <v>2650</v>
      </c>
      <c r="B34" s="786" t="s">
        <v>2590</v>
      </c>
      <c r="C34" s="786" t="s">
        <v>2576</v>
      </c>
      <c r="D34" s="786" t="s">
        <v>2529</v>
      </c>
      <c r="E34" s="1096">
        <v>256374.68</v>
      </c>
      <c r="F34" s="1096">
        <v>-260331.75</v>
      </c>
      <c r="G34" s="786" t="s">
        <v>2651</v>
      </c>
      <c r="H34" s="787">
        <v>53</v>
      </c>
    </row>
    <row r="35" spans="1:8">
      <c r="A35" s="786" t="s">
        <v>2652</v>
      </c>
      <c r="B35" s="786" t="s">
        <v>2590</v>
      </c>
      <c r="C35" s="786" t="s">
        <v>2568</v>
      </c>
      <c r="D35" s="786" t="s">
        <v>2610</v>
      </c>
      <c r="E35" s="1096">
        <v>62523.61</v>
      </c>
      <c r="F35" s="1096">
        <v>-65026.5</v>
      </c>
      <c r="G35" s="786" t="s">
        <v>2653</v>
      </c>
      <c r="H35" s="787">
        <v>39</v>
      </c>
    </row>
    <row r="36" spans="1:8">
      <c r="A36" s="786" t="s">
        <v>2654</v>
      </c>
      <c r="B36" s="786" t="s">
        <v>2590</v>
      </c>
      <c r="C36" s="786" t="s">
        <v>2568</v>
      </c>
      <c r="D36" s="786" t="s">
        <v>2655</v>
      </c>
      <c r="E36" s="1096">
        <v>65907.61</v>
      </c>
      <c r="F36" s="1096">
        <v>-64921.5</v>
      </c>
      <c r="G36" s="786" t="s">
        <v>2656</v>
      </c>
      <c r="H36" s="787">
        <v>32</v>
      </c>
    </row>
    <row r="37" spans="1:8">
      <c r="A37" s="786" t="s">
        <v>2657</v>
      </c>
      <c r="B37" s="786" t="s">
        <v>2590</v>
      </c>
      <c r="C37" s="786" t="s">
        <v>2597</v>
      </c>
      <c r="D37" s="786" t="s">
        <v>2658</v>
      </c>
      <c r="E37" s="1096">
        <v>105460</v>
      </c>
      <c r="F37" s="1096">
        <v>-110733</v>
      </c>
      <c r="G37" s="786" t="s">
        <v>2659</v>
      </c>
      <c r="H37" s="787">
        <v>27</v>
      </c>
    </row>
    <row r="38" spans="1:8">
      <c r="A38" s="786" t="s">
        <v>2660</v>
      </c>
      <c r="B38" s="786" t="s">
        <v>2590</v>
      </c>
      <c r="C38" s="786" t="s">
        <v>2576</v>
      </c>
      <c r="D38" s="786" t="s">
        <v>2585</v>
      </c>
      <c r="E38" s="1096">
        <v>50652.37</v>
      </c>
      <c r="F38" s="1096">
        <v>-51161.25</v>
      </c>
      <c r="G38" s="786" t="s">
        <v>2661</v>
      </c>
      <c r="H38" s="787">
        <v>23</v>
      </c>
    </row>
    <row r="39" spans="1:8">
      <c r="A39" s="786" t="s">
        <v>2662</v>
      </c>
      <c r="B39" s="786" t="s">
        <v>2590</v>
      </c>
      <c r="C39" s="786" t="s">
        <v>2576</v>
      </c>
      <c r="D39" s="786" t="s">
        <v>2585</v>
      </c>
      <c r="E39" s="1096">
        <v>52861.87</v>
      </c>
      <c r="F39" s="1096">
        <v>-54873</v>
      </c>
      <c r="G39" s="786" t="s">
        <v>2663</v>
      </c>
      <c r="H39" s="787">
        <v>23</v>
      </c>
    </row>
    <row r="40" spans="1:8">
      <c r="A40" s="786" t="s">
        <v>2664</v>
      </c>
      <c r="B40" s="786" t="s">
        <v>2590</v>
      </c>
      <c r="C40" s="786" t="s">
        <v>2576</v>
      </c>
      <c r="D40" s="786" t="s">
        <v>2577</v>
      </c>
      <c r="E40" s="1096">
        <v>62766.87</v>
      </c>
      <c r="F40" s="1096">
        <v>-65273.25</v>
      </c>
      <c r="G40" s="786" t="s">
        <v>2665</v>
      </c>
      <c r="H40" s="787">
        <v>20</v>
      </c>
    </row>
    <row r="41" spans="1:8">
      <c r="A41" s="786" t="s">
        <v>2666</v>
      </c>
      <c r="B41" s="786" t="s">
        <v>2590</v>
      </c>
      <c r="C41" s="786" t="s">
        <v>2576</v>
      </c>
      <c r="D41" s="786" t="s">
        <v>2577</v>
      </c>
      <c r="E41" s="1096">
        <v>84801.87</v>
      </c>
      <c r="F41" s="1096">
        <v>-88410</v>
      </c>
      <c r="G41" s="786" t="s">
        <v>2667</v>
      </c>
      <c r="H41" s="787">
        <v>20</v>
      </c>
    </row>
    <row r="42" spans="1:8">
      <c r="A42" s="786" t="s">
        <v>2668</v>
      </c>
      <c r="B42" s="786" t="s">
        <v>2590</v>
      </c>
      <c r="C42" s="786" t="s">
        <v>2576</v>
      </c>
      <c r="D42" s="786" t="s">
        <v>2585</v>
      </c>
      <c r="E42" s="1096">
        <v>56811.87</v>
      </c>
      <c r="F42" s="1096">
        <v>-59020.5</v>
      </c>
      <c r="G42" s="786" t="s">
        <v>2669</v>
      </c>
      <c r="H42" s="787">
        <v>20</v>
      </c>
    </row>
    <row r="43" spans="1:8">
      <c r="A43" s="786" t="s">
        <v>2670</v>
      </c>
      <c r="B43" s="786" t="s">
        <v>2590</v>
      </c>
      <c r="C43" s="786" t="s">
        <v>2576</v>
      </c>
      <c r="D43" s="786" t="s">
        <v>2577</v>
      </c>
      <c r="E43" s="1096">
        <v>75685</v>
      </c>
      <c r="F43" s="1096">
        <v>-79469.25</v>
      </c>
      <c r="G43" s="786" t="s">
        <v>2671</v>
      </c>
      <c r="H43" s="787">
        <v>20</v>
      </c>
    </row>
    <row r="44" spans="1:8">
      <c r="A44" s="786" t="s">
        <v>2672</v>
      </c>
      <c r="B44" s="786" t="s">
        <v>2590</v>
      </c>
      <c r="C44" s="786" t="s">
        <v>2576</v>
      </c>
      <c r="D44" s="786" t="s">
        <v>2591</v>
      </c>
      <c r="E44" s="1096">
        <v>101600</v>
      </c>
      <c r="F44" s="1096">
        <v>-106680</v>
      </c>
      <c r="G44" s="786" t="s">
        <v>2673</v>
      </c>
      <c r="H44" s="787">
        <v>9</v>
      </c>
    </row>
    <row r="45" spans="1:8">
      <c r="A45" s="786" t="s">
        <v>2674</v>
      </c>
      <c r="B45" s="786" t="s">
        <v>2590</v>
      </c>
      <c r="C45" s="786" t="s">
        <v>2576</v>
      </c>
      <c r="D45" s="786" t="s">
        <v>2577</v>
      </c>
      <c r="E45" s="1096">
        <v>62165</v>
      </c>
      <c r="F45" s="1096">
        <v>-65273.25</v>
      </c>
      <c r="G45" s="786" t="s">
        <v>2675</v>
      </c>
      <c r="H45" s="787">
        <v>9</v>
      </c>
    </row>
    <row r="46" spans="1:8">
      <c r="A46" s="786" t="s">
        <v>2676</v>
      </c>
      <c r="B46" s="786" t="s">
        <v>2590</v>
      </c>
      <c r="C46" s="786" t="s">
        <v>2576</v>
      </c>
      <c r="D46" s="786" t="s">
        <v>2577</v>
      </c>
      <c r="E46" s="1096">
        <v>65370</v>
      </c>
      <c r="F46" s="1096">
        <v>-68638.5</v>
      </c>
      <c r="G46" s="786" t="s">
        <v>2677</v>
      </c>
      <c r="H46" s="787">
        <v>9</v>
      </c>
    </row>
    <row r="47" spans="1:8">
      <c r="A47" s="786"/>
      <c r="B47" s="786"/>
      <c r="C47" s="786"/>
      <c r="D47" s="786"/>
      <c r="E47" s="1096"/>
      <c r="F47" s="1096"/>
      <c r="G47" s="786"/>
      <c r="H47" s="787"/>
    </row>
    <row r="48" spans="1:8">
      <c r="A48" s="786"/>
      <c r="B48" s="786"/>
      <c r="C48" s="786"/>
      <c r="D48" s="786"/>
      <c r="E48" s="1096"/>
      <c r="F48" s="1096"/>
      <c r="G48" s="786"/>
      <c r="H48" s="787"/>
    </row>
    <row r="49" spans="1:8">
      <c r="A49" s="786"/>
      <c r="B49" s="786"/>
      <c r="C49" s="786"/>
      <c r="D49" s="786"/>
      <c r="E49" s="1096"/>
      <c r="F49" s="1096"/>
      <c r="G49" s="786"/>
      <c r="H49" s="787"/>
    </row>
    <row r="50" spans="1:8">
      <c r="A50" s="786"/>
      <c r="B50" s="786"/>
      <c r="C50" s="786"/>
      <c r="D50" s="786"/>
      <c r="E50" s="1096"/>
      <c r="F50" s="1096"/>
      <c r="G50" s="786"/>
      <c r="H50" s="787"/>
    </row>
    <row r="51" spans="1:8">
      <c r="A51" s="786"/>
      <c r="B51" s="786"/>
      <c r="C51" s="786"/>
      <c r="D51" s="786"/>
      <c r="E51" s="1096"/>
      <c r="F51" s="1096"/>
      <c r="G51" s="786"/>
      <c r="H51" s="787"/>
    </row>
    <row r="52" spans="1:8">
      <c r="A52" s="786"/>
      <c r="B52" s="786"/>
      <c r="C52" s="786"/>
      <c r="D52" s="786"/>
      <c r="E52" s="1096"/>
      <c r="F52" s="1096"/>
      <c r="G52" s="786"/>
      <c r="H52" s="787"/>
    </row>
    <row r="53" spans="1:8">
      <c r="A53" s="786"/>
      <c r="B53" s="786"/>
      <c r="C53" s="786"/>
      <c r="D53" s="786"/>
      <c r="E53" s="1096"/>
      <c r="F53" s="1096"/>
      <c r="G53" s="786"/>
      <c r="H53" s="787"/>
    </row>
    <row r="54" spans="1:8">
      <c r="A54" s="786"/>
      <c r="B54" s="786"/>
      <c r="C54" s="786"/>
      <c r="D54" s="786"/>
      <c r="E54" s="1096"/>
      <c r="F54" s="1096"/>
      <c r="G54" s="786"/>
      <c r="H54" s="787"/>
    </row>
    <row r="55" spans="1:8">
      <c r="A55" s="786"/>
      <c r="B55" s="786"/>
      <c r="C55" s="786"/>
      <c r="D55" s="786"/>
      <c r="E55" s="1096"/>
      <c r="F55" s="1096"/>
      <c r="G55" s="786"/>
      <c r="H55" s="787"/>
    </row>
    <row r="56" spans="1:8">
      <c r="A56" s="786"/>
      <c r="B56" s="786"/>
      <c r="C56" s="786"/>
      <c r="D56" s="786"/>
      <c r="E56" s="1096"/>
      <c r="F56" s="1096"/>
      <c r="G56" s="786"/>
      <c r="H56" s="787"/>
    </row>
    <row r="57" spans="1:8">
      <c r="A57" s="786"/>
      <c r="B57" s="786"/>
      <c r="C57" s="786"/>
      <c r="D57" s="786"/>
      <c r="E57" s="1096"/>
      <c r="F57" s="1096"/>
      <c r="G57" s="786"/>
      <c r="H57" s="787"/>
    </row>
    <row r="58" spans="1:8">
      <c r="A58" s="786"/>
      <c r="B58" s="786"/>
      <c r="C58" s="786"/>
      <c r="D58" s="786"/>
      <c r="E58" s="1096"/>
      <c r="F58" s="1096"/>
      <c r="G58" s="786"/>
      <c r="H58" s="787"/>
    </row>
    <row r="59" spans="1:8">
      <c r="A59" s="786"/>
      <c r="B59" s="786"/>
      <c r="C59" s="786"/>
      <c r="D59" s="786"/>
      <c r="E59" s="1096"/>
      <c r="F59" s="1096"/>
      <c r="G59" s="786"/>
      <c r="H59" s="787"/>
    </row>
    <row r="60" spans="1:8">
      <c r="A60" s="786"/>
      <c r="B60" s="786"/>
      <c r="C60" s="786"/>
      <c r="D60" s="786"/>
      <c r="E60" s="1096"/>
      <c r="F60" s="1096"/>
      <c r="G60" s="786"/>
      <c r="H60" s="787"/>
    </row>
    <row r="61" spans="1:8">
      <c r="A61" s="786"/>
      <c r="B61" s="786"/>
      <c r="C61" s="786"/>
      <c r="D61" s="786"/>
      <c r="E61" s="1096"/>
      <c r="F61" s="1096"/>
      <c r="G61" s="786"/>
      <c r="H61" s="787"/>
    </row>
    <row r="62" spans="1:8">
      <c r="A62" s="786"/>
      <c r="B62" s="786"/>
      <c r="C62" s="786"/>
      <c r="D62" s="786"/>
      <c r="E62" s="1096"/>
      <c r="F62" s="1096"/>
      <c r="G62" s="786"/>
      <c r="H62" s="787"/>
    </row>
    <row r="63" spans="1:8">
      <c r="A63" s="786"/>
      <c r="B63" s="786"/>
      <c r="C63" s="786"/>
      <c r="D63" s="786"/>
      <c r="E63" s="1096"/>
      <c r="F63" s="1096"/>
      <c r="G63" s="786"/>
      <c r="H63" s="787"/>
    </row>
    <row r="64" spans="1:8">
      <c r="A64" s="786"/>
      <c r="B64" s="786"/>
      <c r="C64" s="786"/>
      <c r="D64" s="786"/>
      <c r="E64" s="1096"/>
      <c r="F64" s="1096"/>
      <c r="G64" s="786"/>
      <c r="H64" s="787"/>
    </row>
    <row r="65" spans="1:8">
      <c r="A65" s="786"/>
      <c r="B65" s="786"/>
      <c r="C65" s="786"/>
      <c r="D65" s="786"/>
      <c r="E65" s="1096"/>
      <c r="F65" s="1096"/>
      <c r="G65" s="786"/>
      <c r="H65" s="78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90"/>
    <col min="4" max="4" width="23.5" style="790" bestFit="1" customWidth="1"/>
    <col min="5" max="5" width="11.125" style="791" bestFit="1" customWidth="1"/>
    <col min="6" max="6" width="8.875" style="791" customWidth="1"/>
    <col min="7" max="7" width="22.125" style="790" bestFit="1" customWidth="1"/>
    <col min="8" max="8" width="11" style="790"/>
    <col min="9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255</v>
      </c>
      <c r="E1" s="782" t="s">
        <v>2166</v>
      </c>
      <c r="F1" s="782" t="s">
        <v>2167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2678</v>
      </c>
      <c r="B2" s="790">
        <v>2004</v>
      </c>
      <c r="C2" s="786" t="s">
        <v>2679</v>
      </c>
      <c r="D2" s="786" t="s">
        <v>2680</v>
      </c>
      <c r="E2" s="1096">
        <v>3856.45</v>
      </c>
      <c r="F2" s="1096"/>
      <c r="G2" s="786" t="s">
        <v>2681</v>
      </c>
      <c r="H2" s="787">
        <v>1482</v>
      </c>
      <c r="K2" s="785" t="s">
        <v>2165</v>
      </c>
      <c r="L2" s="788">
        <f>+SUM(E2:E9999)</f>
        <v>1972155.4199999997</v>
      </c>
      <c r="M2" s="789">
        <f>+SUM(F2:F9999)</f>
        <v>-1357394.5799999996</v>
      </c>
    </row>
    <row r="3" spans="1:13">
      <c r="A3" s="786" t="s">
        <v>2682</v>
      </c>
      <c r="B3" s="790">
        <v>2022</v>
      </c>
      <c r="C3" s="786" t="s">
        <v>2568</v>
      </c>
      <c r="D3" s="786" t="s">
        <v>2683</v>
      </c>
      <c r="E3" s="1096">
        <v>75917.210000000006</v>
      </c>
      <c r="F3" s="1096">
        <v>-50220</v>
      </c>
      <c r="G3" s="786" t="s">
        <v>2684</v>
      </c>
      <c r="H3" s="787">
        <v>490</v>
      </c>
      <c r="L3" s="788">
        <f>+COUNT(E2:E10000)</f>
        <v>50</v>
      </c>
    </row>
    <row r="4" spans="1:13">
      <c r="A4" s="790" t="s">
        <v>2685</v>
      </c>
      <c r="B4" s="790">
        <v>2021</v>
      </c>
      <c r="C4" s="790" t="s">
        <v>2576</v>
      </c>
      <c r="D4" s="790" t="s">
        <v>2591</v>
      </c>
      <c r="E4" s="791">
        <v>75668.81</v>
      </c>
      <c r="F4" s="791">
        <v>-55025</v>
      </c>
      <c r="G4" s="790" t="s">
        <v>2686</v>
      </c>
      <c r="H4" s="790">
        <v>306</v>
      </c>
    </row>
    <row r="5" spans="1:13">
      <c r="A5" s="786" t="s">
        <v>2687</v>
      </c>
      <c r="B5" s="790">
        <v>2019</v>
      </c>
      <c r="C5" s="786" t="s">
        <v>2568</v>
      </c>
      <c r="D5" s="786" t="s">
        <v>2688</v>
      </c>
      <c r="E5" s="1096">
        <v>61477.55</v>
      </c>
      <c r="F5" s="1096">
        <v>-55037.5</v>
      </c>
      <c r="G5" s="786" t="s">
        <v>2689</v>
      </c>
      <c r="H5" s="787">
        <v>235</v>
      </c>
    </row>
    <row r="6" spans="1:13">
      <c r="A6" s="786" t="s">
        <v>2690</v>
      </c>
      <c r="B6" s="790">
        <v>2021</v>
      </c>
      <c r="C6" s="786" t="s">
        <v>2691</v>
      </c>
      <c r="D6" s="786" t="s">
        <v>2692</v>
      </c>
      <c r="E6" s="1096">
        <v>57247.58</v>
      </c>
      <c r="F6" s="1096">
        <v>-48210.15</v>
      </c>
      <c r="G6" s="786" t="s">
        <v>2693</v>
      </c>
      <c r="H6" s="787">
        <v>144</v>
      </c>
    </row>
    <row r="7" spans="1:13">
      <c r="A7" s="790" t="s">
        <v>2694</v>
      </c>
      <c r="B7" s="790">
        <v>2023</v>
      </c>
      <c r="C7" s="790" t="s">
        <v>2576</v>
      </c>
      <c r="D7" s="790" t="s">
        <v>2585</v>
      </c>
      <c r="E7" s="791">
        <v>51697.81</v>
      </c>
      <c r="F7" s="791">
        <v>-49599.39</v>
      </c>
      <c r="G7" s="790" t="s">
        <v>2695</v>
      </c>
      <c r="H7" s="790">
        <v>137</v>
      </c>
    </row>
    <row r="8" spans="1:13">
      <c r="A8" s="786" t="s">
        <v>2696</v>
      </c>
      <c r="B8" s="790">
        <v>2020</v>
      </c>
      <c r="C8" s="786" t="s">
        <v>2697</v>
      </c>
      <c r="D8" s="786" t="s">
        <v>2698</v>
      </c>
      <c r="E8" s="1096">
        <v>35295.85</v>
      </c>
      <c r="F8" s="1096">
        <v>-20589.759999999998</v>
      </c>
      <c r="G8" s="786" t="s">
        <v>2699</v>
      </c>
      <c r="H8" s="787">
        <v>125</v>
      </c>
    </row>
    <row r="9" spans="1:13">
      <c r="A9" s="786" t="s">
        <v>2700</v>
      </c>
      <c r="B9" s="790">
        <v>2019</v>
      </c>
      <c r="C9" s="786" t="s">
        <v>2568</v>
      </c>
      <c r="D9" s="786" t="s">
        <v>2701</v>
      </c>
      <c r="E9" s="1096">
        <v>31287.41</v>
      </c>
      <c r="F9" s="1096">
        <v>-23537.41</v>
      </c>
      <c r="G9" s="786" t="s">
        <v>2702</v>
      </c>
      <c r="H9" s="787">
        <v>111</v>
      </c>
    </row>
    <row r="10" spans="1:13">
      <c r="A10" s="790" t="s">
        <v>2703</v>
      </c>
      <c r="B10" s="790">
        <v>2022</v>
      </c>
      <c r="C10" s="790" t="s">
        <v>2704</v>
      </c>
      <c r="D10" s="790" t="s">
        <v>2705</v>
      </c>
      <c r="E10" s="791">
        <v>58424.95</v>
      </c>
      <c r="F10" s="791">
        <v>-80500</v>
      </c>
      <c r="G10" s="790" t="s">
        <v>2706</v>
      </c>
      <c r="H10" s="790">
        <v>108</v>
      </c>
    </row>
    <row r="11" spans="1:13">
      <c r="A11" s="786" t="s">
        <v>2707</v>
      </c>
      <c r="B11" s="790">
        <v>2020</v>
      </c>
      <c r="C11" s="786" t="s">
        <v>2576</v>
      </c>
      <c r="D11" s="786" t="s">
        <v>2577</v>
      </c>
      <c r="E11" s="1096">
        <v>30904.85</v>
      </c>
      <c r="F11" s="1096">
        <v>-21000</v>
      </c>
      <c r="G11" s="786" t="s">
        <v>2708</v>
      </c>
      <c r="H11" s="787">
        <v>103</v>
      </c>
    </row>
    <row r="12" spans="1:13">
      <c r="A12" s="790" t="s">
        <v>2709</v>
      </c>
      <c r="B12" s="790">
        <v>2023</v>
      </c>
      <c r="C12" s="790" t="s">
        <v>2710</v>
      </c>
      <c r="D12" s="790" t="s">
        <v>2711</v>
      </c>
      <c r="E12" s="791">
        <v>34707.449999999997</v>
      </c>
      <c r="F12" s="791">
        <v>-32060.23</v>
      </c>
      <c r="G12" s="790" t="s">
        <v>2712</v>
      </c>
      <c r="H12" s="790">
        <v>73</v>
      </c>
    </row>
    <row r="13" spans="1:13">
      <c r="A13" s="786" t="s">
        <v>2713</v>
      </c>
      <c r="B13" s="790">
        <v>2023</v>
      </c>
      <c r="C13" s="786" t="s">
        <v>2568</v>
      </c>
      <c r="D13" s="786" t="s">
        <v>2701</v>
      </c>
      <c r="E13" s="1096">
        <v>54482.17</v>
      </c>
      <c r="F13" s="1096">
        <v>-37837.25</v>
      </c>
      <c r="G13" s="786" t="s">
        <v>2714</v>
      </c>
      <c r="H13" s="787">
        <v>72</v>
      </c>
    </row>
    <row r="14" spans="1:13">
      <c r="A14" s="790" t="s">
        <v>2715</v>
      </c>
      <c r="B14" s="790">
        <v>2023</v>
      </c>
      <c r="C14" s="790" t="s">
        <v>2568</v>
      </c>
      <c r="D14" s="790" t="s">
        <v>2716</v>
      </c>
      <c r="E14" s="791">
        <v>65103.95</v>
      </c>
      <c r="F14" s="791">
        <v>-45150</v>
      </c>
      <c r="G14" s="790" t="s">
        <v>2717</v>
      </c>
      <c r="H14" s="790">
        <v>72</v>
      </c>
    </row>
    <row r="15" spans="1:13">
      <c r="A15" s="786" t="s">
        <v>2718</v>
      </c>
      <c r="B15" s="790">
        <v>2023</v>
      </c>
      <c r="C15" s="786" t="s">
        <v>2719</v>
      </c>
      <c r="D15" s="786" t="s">
        <v>2720</v>
      </c>
      <c r="E15" s="1096">
        <v>39059.949999999997</v>
      </c>
      <c r="F15" s="1096">
        <v>-35100</v>
      </c>
      <c r="G15" s="786" t="s">
        <v>2721</v>
      </c>
      <c r="H15" s="787">
        <v>67</v>
      </c>
    </row>
    <row r="16" spans="1:13">
      <c r="A16" s="786" t="s">
        <v>2722</v>
      </c>
      <c r="B16" s="790">
        <v>2020</v>
      </c>
      <c r="C16" s="786" t="s">
        <v>2568</v>
      </c>
      <c r="D16" s="786" t="s">
        <v>2723</v>
      </c>
      <c r="E16" s="1096">
        <v>31103.95</v>
      </c>
      <c r="F16" s="1096">
        <v>-18670.48</v>
      </c>
      <c r="G16" s="786" t="s">
        <v>2724</v>
      </c>
      <c r="H16" s="787">
        <v>62</v>
      </c>
    </row>
    <row r="17" spans="1:8">
      <c r="A17" s="786" t="s">
        <v>2725</v>
      </c>
      <c r="B17" s="790">
        <v>2021</v>
      </c>
      <c r="C17" s="786" t="s">
        <v>2576</v>
      </c>
      <c r="D17" s="786" t="s">
        <v>2577</v>
      </c>
      <c r="E17" s="1096">
        <v>48103.95</v>
      </c>
      <c r="F17" s="1096">
        <v>-32577.98</v>
      </c>
      <c r="G17" s="786" t="s">
        <v>2726</v>
      </c>
      <c r="H17" s="787">
        <v>62</v>
      </c>
    </row>
    <row r="18" spans="1:8">
      <c r="A18" s="786" t="s">
        <v>2727</v>
      </c>
      <c r="B18" s="790">
        <v>2021</v>
      </c>
      <c r="C18" s="786" t="s">
        <v>2568</v>
      </c>
      <c r="D18" s="786" t="s">
        <v>2728</v>
      </c>
      <c r="E18" s="1096">
        <v>37745.550000000003</v>
      </c>
      <c r="F18" s="1096">
        <v>-23564.68</v>
      </c>
      <c r="G18" s="786" t="s">
        <v>2729</v>
      </c>
      <c r="H18" s="787">
        <v>61</v>
      </c>
    </row>
    <row r="19" spans="1:8">
      <c r="A19" s="786" t="s">
        <v>2730</v>
      </c>
      <c r="B19" s="790">
        <v>2024</v>
      </c>
      <c r="C19" s="786" t="s">
        <v>2568</v>
      </c>
      <c r="D19" s="786" t="s">
        <v>2731</v>
      </c>
      <c r="E19" s="1096">
        <v>70066.3</v>
      </c>
      <c r="F19" s="1096">
        <v>-68000</v>
      </c>
      <c r="G19" s="786" t="s">
        <v>2732</v>
      </c>
      <c r="H19" s="787">
        <v>59</v>
      </c>
    </row>
    <row r="20" spans="1:8">
      <c r="A20" s="786" t="s">
        <v>2733</v>
      </c>
      <c r="B20" s="790">
        <v>2019</v>
      </c>
      <c r="C20" s="786" t="s">
        <v>2568</v>
      </c>
      <c r="D20" s="786" t="s">
        <v>2734</v>
      </c>
      <c r="E20" s="1096">
        <v>38003.4</v>
      </c>
      <c r="F20" s="1096">
        <v>-33300</v>
      </c>
      <c r="G20" s="786" t="s">
        <v>2735</v>
      </c>
      <c r="H20" s="787">
        <v>59</v>
      </c>
    </row>
    <row r="21" spans="1:8">
      <c r="A21" s="786" t="s">
        <v>2736</v>
      </c>
      <c r="B21" s="790">
        <v>2021</v>
      </c>
      <c r="C21" s="786" t="s">
        <v>2568</v>
      </c>
      <c r="D21" s="786" t="s">
        <v>2737</v>
      </c>
      <c r="E21" s="1096">
        <v>41692.78</v>
      </c>
      <c r="F21" s="1096">
        <v>-36900</v>
      </c>
      <c r="G21" s="786" t="s">
        <v>2738</v>
      </c>
      <c r="H21" s="787">
        <v>59</v>
      </c>
    </row>
    <row r="22" spans="1:8">
      <c r="A22" s="790" t="s">
        <v>2739</v>
      </c>
      <c r="B22" s="790">
        <v>2022</v>
      </c>
      <c r="C22" s="790" t="s">
        <v>2740</v>
      </c>
      <c r="D22" s="790" t="s">
        <v>2741</v>
      </c>
      <c r="E22" s="791">
        <v>31627.25</v>
      </c>
      <c r="F22" s="791">
        <v>-30500</v>
      </c>
      <c r="G22" s="790" t="s">
        <v>2742</v>
      </c>
      <c r="H22" s="790">
        <v>52</v>
      </c>
    </row>
    <row r="23" spans="1:8">
      <c r="A23" s="786" t="s">
        <v>2743</v>
      </c>
      <c r="B23" s="790">
        <v>2023</v>
      </c>
      <c r="C23" s="786" t="s">
        <v>2744</v>
      </c>
      <c r="D23" s="786" t="s">
        <v>2745</v>
      </c>
      <c r="E23" s="1096">
        <v>53380.08</v>
      </c>
      <c r="F23" s="1096">
        <v>-51800</v>
      </c>
      <c r="G23" s="786" t="s">
        <v>2746</v>
      </c>
      <c r="H23" s="787">
        <v>52</v>
      </c>
    </row>
    <row r="24" spans="1:8">
      <c r="A24" s="790" t="s">
        <v>2747</v>
      </c>
      <c r="B24" s="790">
        <v>2022</v>
      </c>
      <c r="C24" s="790" t="s">
        <v>2576</v>
      </c>
      <c r="D24" s="790" t="s">
        <v>2577</v>
      </c>
      <c r="E24" s="791">
        <v>62091.35</v>
      </c>
      <c r="F24" s="791">
        <v>-43050</v>
      </c>
      <c r="G24" s="790" t="s">
        <v>2748</v>
      </c>
      <c r="H24" s="790">
        <v>46</v>
      </c>
    </row>
    <row r="25" spans="1:8">
      <c r="A25" s="790" t="s">
        <v>2749</v>
      </c>
      <c r="B25" s="790">
        <v>2020</v>
      </c>
      <c r="C25" s="790" t="s">
        <v>2576</v>
      </c>
      <c r="D25" s="790" t="s">
        <v>2577</v>
      </c>
      <c r="E25" s="791">
        <v>36074.949999999997</v>
      </c>
      <c r="F25" s="791">
        <v>-24850</v>
      </c>
      <c r="G25" s="790" t="s">
        <v>2750</v>
      </c>
      <c r="H25" s="790">
        <v>39</v>
      </c>
    </row>
    <row r="26" spans="1:8">
      <c r="A26" s="786" t="s">
        <v>2751</v>
      </c>
      <c r="B26" s="790">
        <v>2020</v>
      </c>
      <c r="C26" s="786" t="s">
        <v>2568</v>
      </c>
      <c r="D26" s="786" t="s">
        <v>2731</v>
      </c>
      <c r="E26" s="1096">
        <v>32831.39</v>
      </c>
      <c r="F26" s="1096">
        <v>-18652.5</v>
      </c>
      <c r="G26" s="786" t="s">
        <v>2752</v>
      </c>
      <c r="H26" s="787">
        <v>39</v>
      </c>
    </row>
    <row r="27" spans="1:8">
      <c r="A27" s="786" t="s">
        <v>2753</v>
      </c>
      <c r="B27" s="790">
        <v>2018</v>
      </c>
      <c r="C27" s="786" t="s">
        <v>2576</v>
      </c>
      <c r="D27" s="786" t="s">
        <v>2577</v>
      </c>
      <c r="E27" s="1096">
        <v>23195</v>
      </c>
      <c r="F27" s="1096">
        <v>-19530</v>
      </c>
      <c r="G27" s="786" t="s">
        <v>2754</v>
      </c>
      <c r="H27" s="787">
        <v>38</v>
      </c>
    </row>
    <row r="28" spans="1:8">
      <c r="A28" s="786" t="s">
        <v>2755</v>
      </c>
      <c r="B28" s="790">
        <v>2021</v>
      </c>
      <c r="C28" s="786" t="s">
        <v>2719</v>
      </c>
      <c r="D28" s="786" t="s">
        <v>2756</v>
      </c>
      <c r="E28" s="1096">
        <v>39793.949999999997</v>
      </c>
      <c r="F28" s="1096">
        <v>-35550</v>
      </c>
      <c r="G28" s="786" t="s">
        <v>2757</v>
      </c>
      <c r="H28" s="787">
        <v>38</v>
      </c>
    </row>
    <row r="29" spans="1:8">
      <c r="A29" s="786" t="s">
        <v>2758</v>
      </c>
      <c r="B29" s="790">
        <v>2015</v>
      </c>
      <c r="C29" s="786" t="s">
        <v>2697</v>
      </c>
      <c r="D29" s="786" t="s">
        <v>2759</v>
      </c>
      <c r="E29" s="1096">
        <v>8000</v>
      </c>
      <c r="F29" s="1096"/>
      <c r="G29" s="786" t="s">
        <v>2760</v>
      </c>
      <c r="H29" s="787">
        <v>38</v>
      </c>
    </row>
    <row r="30" spans="1:8">
      <c r="A30" s="786" t="s">
        <v>2761</v>
      </c>
      <c r="B30" s="790">
        <v>2021</v>
      </c>
      <c r="C30" s="786" t="s">
        <v>2691</v>
      </c>
      <c r="D30" s="786" t="s">
        <v>2762</v>
      </c>
      <c r="E30" s="1096">
        <v>43899.95</v>
      </c>
      <c r="F30" s="1096">
        <v>-30450</v>
      </c>
      <c r="G30" s="786" t="s">
        <v>2763</v>
      </c>
      <c r="H30" s="787">
        <v>37</v>
      </c>
    </row>
    <row r="31" spans="1:8">
      <c r="A31" s="790" t="s">
        <v>2764</v>
      </c>
      <c r="B31" s="790">
        <v>2023</v>
      </c>
      <c r="C31" s="790" t="s">
        <v>2765</v>
      </c>
      <c r="D31" s="790" t="s">
        <v>2766</v>
      </c>
      <c r="E31" s="791">
        <v>47899.95</v>
      </c>
      <c r="F31" s="791">
        <v>-34300</v>
      </c>
      <c r="G31" s="790" t="s">
        <v>2767</v>
      </c>
      <c r="H31" s="790">
        <v>31</v>
      </c>
    </row>
    <row r="32" spans="1:8">
      <c r="A32" s="786" t="s">
        <v>2768</v>
      </c>
      <c r="B32" s="790">
        <v>2020</v>
      </c>
      <c r="C32" s="786" t="s">
        <v>2568</v>
      </c>
      <c r="D32" s="786" t="s">
        <v>2723</v>
      </c>
      <c r="E32" s="1096">
        <v>29024.85</v>
      </c>
      <c r="F32" s="1096">
        <v>-19599.509999999998</v>
      </c>
      <c r="G32" s="786" t="s">
        <v>2769</v>
      </c>
      <c r="H32" s="787">
        <v>26</v>
      </c>
    </row>
    <row r="33" spans="1:8">
      <c r="A33" s="790" t="s">
        <v>2770</v>
      </c>
      <c r="B33" s="790">
        <v>2014</v>
      </c>
      <c r="C33" s="790" t="s">
        <v>2568</v>
      </c>
      <c r="D33" s="790" t="s">
        <v>2771</v>
      </c>
      <c r="E33" s="791">
        <v>11164.86</v>
      </c>
      <c r="G33" s="790" t="s">
        <v>2772</v>
      </c>
      <c r="H33" s="790">
        <v>22</v>
      </c>
    </row>
    <row r="34" spans="1:8">
      <c r="A34" s="786" t="s">
        <v>2773</v>
      </c>
      <c r="B34" s="790">
        <v>2023</v>
      </c>
      <c r="C34" s="786" t="s">
        <v>2568</v>
      </c>
      <c r="D34" s="786" t="s">
        <v>2774</v>
      </c>
      <c r="E34" s="1096">
        <v>53250.2</v>
      </c>
      <c r="F34" s="1096">
        <v>-52796.25</v>
      </c>
      <c r="G34" s="786" t="s">
        <v>2775</v>
      </c>
      <c r="H34" s="787">
        <v>20</v>
      </c>
    </row>
    <row r="35" spans="1:8">
      <c r="A35" s="786" t="s">
        <v>2776</v>
      </c>
      <c r="B35" s="790">
        <v>2023</v>
      </c>
      <c r="C35" s="786" t="s">
        <v>2568</v>
      </c>
      <c r="D35" s="786" t="s">
        <v>2737</v>
      </c>
      <c r="E35" s="1096">
        <v>42103.5</v>
      </c>
      <c r="F35" s="1096">
        <v>-41658.65</v>
      </c>
      <c r="G35" s="786" t="s">
        <v>2777</v>
      </c>
      <c r="H35" s="787">
        <v>18</v>
      </c>
    </row>
    <row r="36" spans="1:8">
      <c r="A36" s="786" t="s">
        <v>2778</v>
      </c>
      <c r="B36" s="790">
        <v>2017</v>
      </c>
      <c r="C36" s="786" t="s">
        <v>2576</v>
      </c>
      <c r="D36" s="786" t="s">
        <v>2779</v>
      </c>
      <c r="E36" s="1096">
        <v>27407.01</v>
      </c>
      <c r="F36" s="1096">
        <v>-24300</v>
      </c>
      <c r="G36" s="786" t="s">
        <v>2780</v>
      </c>
      <c r="H36" s="787">
        <v>17</v>
      </c>
    </row>
    <row r="37" spans="1:8">
      <c r="A37" s="790" t="s">
        <v>2781</v>
      </c>
      <c r="B37" s="790">
        <v>2023</v>
      </c>
      <c r="C37" s="790" t="s">
        <v>2576</v>
      </c>
      <c r="D37" s="790" t="s">
        <v>2779</v>
      </c>
      <c r="E37" s="791">
        <v>58745</v>
      </c>
      <c r="F37" s="791">
        <v>-45726.94</v>
      </c>
      <c r="G37" s="790" t="s">
        <v>2782</v>
      </c>
      <c r="H37" s="790">
        <v>13</v>
      </c>
    </row>
    <row r="38" spans="1:8">
      <c r="A38" s="790" t="s">
        <v>2783</v>
      </c>
      <c r="B38" s="790">
        <v>2019</v>
      </c>
      <c r="C38" s="790" t="s">
        <v>2784</v>
      </c>
      <c r="D38" s="790" t="s">
        <v>2785</v>
      </c>
      <c r="E38" s="791">
        <v>11000</v>
      </c>
      <c r="F38" s="791">
        <v>-9900</v>
      </c>
      <c r="G38" s="790" t="s">
        <v>2786</v>
      </c>
      <c r="H38" s="790">
        <v>10</v>
      </c>
    </row>
    <row r="39" spans="1:8">
      <c r="A39" s="786" t="s">
        <v>2787</v>
      </c>
      <c r="B39" s="790">
        <v>2019</v>
      </c>
      <c r="C39" s="786" t="s">
        <v>2576</v>
      </c>
      <c r="D39" s="786" t="s">
        <v>2788</v>
      </c>
      <c r="E39" s="1096">
        <v>26995</v>
      </c>
      <c r="F39" s="1096">
        <v>-16020.18</v>
      </c>
      <c r="G39" s="786" t="s">
        <v>2789</v>
      </c>
      <c r="H39" s="787">
        <v>10</v>
      </c>
    </row>
    <row r="40" spans="1:8">
      <c r="A40" s="786" t="s">
        <v>2790</v>
      </c>
      <c r="B40" s="790">
        <v>2021</v>
      </c>
      <c r="C40" s="786" t="s">
        <v>2576</v>
      </c>
      <c r="D40" s="786" t="s">
        <v>2577</v>
      </c>
      <c r="E40" s="1096">
        <v>42500</v>
      </c>
      <c r="F40" s="1096">
        <v>-30072.18</v>
      </c>
      <c r="G40" s="786" t="s">
        <v>2791</v>
      </c>
      <c r="H40" s="787">
        <v>10</v>
      </c>
    </row>
    <row r="41" spans="1:8">
      <c r="A41" s="786" t="s">
        <v>2792</v>
      </c>
      <c r="B41" s="790">
        <v>2023</v>
      </c>
      <c r="C41" s="786" t="s">
        <v>2568</v>
      </c>
      <c r="D41" s="786" t="s">
        <v>2655</v>
      </c>
      <c r="E41" s="1096">
        <v>51776.06</v>
      </c>
      <c r="F41" s="1096">
        <v>-29211.39</v>
      </c>
      <c r="G41" s="786" t="s">
        <v>2793</v>
      </c>
      <c r="H41" s="787">
        <v>10</v>
      </c>
    </row>
    <row r="42" spans="1:8">
      <c r="A42" s="786" t="s">
        <v>2794</v>
      </c>
      <c r="B42" s="790">
        <v>2012</v>
      </c>
      <c r="C42" s="786" t="s">
        <v>2568</v>
      </c>
      <c r="D42" s="786" t="s">
        <v>2615</v>
      </c>
      <c r="E42" s="1096">
        <v>37500</v>
      </c>
      <c r="F42" s="1096"/>
      <c r="G42" s="786" t="s">
        <v>2795</v>
      </c>
      <c r="H42" s="787">
        <v>10</v>
      </c>
    </row>
    <row r="43" spans="1:8">
      <c r="A43" s="786" t="s">
        <v>2796</v>
      </c>
      <c r="B43" s="790">
        <v>2021</v>
      </c>
      <c r="C43" s="786" t="s">
        <v>2797</v>
      </c>
      <c r="D43" s="786" t="s">
        <v>2798</v>
      </c>
      <c r="E43" s="1096">
        <v>32547.15</v>
      </c>
      <c r="F43" s="1096">
        <v>-32547.15</v>
      </c>
      <c r="G43" s="786" t="s">
        <v>2799</v>
      </c>
      <c r="H43" s="787">
        <v>9</v>
      </c>
    </row>
    <row r="44" spans="1:8">
      <c r="A44" s="786" t="s">
        <v>2800</v>
      </c>
      <c r="B44" s="790">
        <v>2017</v>
      </c>
      <c r="C44" s="786" t="s">
        <v>2801</v>
      </c>
      <c r="D44" s="786" t="s">
        <v>2802</v>
      </c>
      <c r="E44" s="1096">
        <v>14000</v>
      </c>
      <c r="F44" s="1096"/>
      <c r="G44" s="786" t="s">
        <v>2803</v>
      </c>
      <c r="H44" s="787">
        <v>9</v>
      </c>
    </row>
    <row r="45" spans="1:8">
      <c r="A45" s="790" t="s">
        <v>2804</v>
      </c>
      <c r="B45" s="790">
        <v>2018</v>
      </c>
      <c r="C45" s="790" t="s">
        <v>2805</v>
      </c>
      <c r="D45" s="790" t="s">
        <v>2806</v>
      </c>
      <c r="E45" s="791">
        <v>18500</v>
      </c>
      <c r="G45" s="790" t="s">
        <v>2807</v>
      </c>
      <c r="H45" s="790">
        <v>3</v>
      </c>
    </row>
    <row r="46" spans="1:8">
      <c r="A46" s="790" t="s">
        <v>2808</v>
      </c>
      <c r="B46" s="790">
        <v>2017</v>
      </c>
      <c r="C46" s="790" t="s">
        <v>2568</v>
      </c>
      <c r="D46" s="790" t="s">
        <v>2723</v>
      </c>
      <c r="E46" s="791">
        <v>28000</v>
      </c>
      <c r="G46" s="790" t="s">
        <v>2809</v>
      </c>
      <c r="H46" s="790">
        <v>3</v>
      </c>
    </row>
    <row r="47" spans="1:8">
      <c r="A47" s="786" t="s">
        <v>2810</v>
      </c>
      <c r="B47" s="790">
        <v>2013</v>
      </c>
      <c r="C47" s="786" t="s">
        <v>2765</v>
      </c>
      <c r="D47" s="786" t="s">
        <v>2811</v>
      </c>
      <c r="E47" s="1096">
        <v>1500</v>
      </c>
      <c r="F47" s="1096"/>
      <c r="G47" s="786" t="s">
        <v>2812</v>
      </c>
      <c r="H47" s="787">
        <v>2</v>
      </c>
    </row>
    <row r="48" spans="1:8">
      <c r="A48" s="786" t="s">
        <v>2813</v>
      </c>
      <c r="B48" s="790">
        <v>2017</v>
      </c>
      <c r="C48" s="786" t="s">
        <v>2568</v>
      </c>
      <c r="D48" s="786" t="s">
        <v>2814</v>
      </c>
      <c r="E48" s="1096">
        <v>37000</v>
      </c>
      <c r="F48" s="1096"/>
      <c r="G48" s="786" t="s">
        <v>2815</v>
      </c>
      <c r="H48" s="787">
        <v>2</v>
      </c>
    </row>
    <row r="49" spans="1:8">
      <c r="A49" s="790" t="s">
        <v>2816</v>
      </c>
      <c r="B49" s="790">
        <v>2022</v>
      </c>
      <c r="C49" s="790" t="s">
        <v>2568</v>
      </c>
      <c r="D49" s="790" t="s">
        <v>2723</v>
      </c>
      <c r="E49" s="791">
        <v>37500</v>
      </c>
      <c r="G49" s="790" t="s">
        <v>2817</v>
      </c>
      <c r="H49" s="790">
        <v>2</v>
      </c>
    </row>
    <row r="50" spans="1:8">
      <c r="A50" s="790" t="s">
        <v>2818</v>
      </c>
      <c r="B50" s="790">
        <v>2021</v>
      </c>
      <c r="C50" s="790" t="s">
        <v>2576</v>
      </c>
      <c r="D50" s="790" t="s">
        <v>2591</v>
      </c>
      <c r="E50" s="791">
        <v>60000</v>
      </c>
      <c r="G50" s="790" t="s">
        <v>2819</v>
      </c>
      <c r="H50" s="790">
        <v>2</v>
      </c>
    </row>
    <row r="51" spans="1:8">
      <c r="A51" s="786" t="s">
        <v>2820</v>
      </c>
      <c r="B51" s="790">
        <v>2019</v>
      </c>
      <c r="C51" s="786" t="s">
        <v>2576</v>
      </c>
      <c r="D51" s="786" t="s">
        <v>2788</v>
      </c>
      <c r="E51" s="1096">
        <v>31000</v>
      </c>
      <c r="F51" s="1096"/>
      <c r="G51" s="786" t="s">
        <v>2821</v>
      </c>
      <c r="H51" s="787">
        <v>0</v>
      </c>
    </row>
    <row r="52" spans="1:8">
      <c r="A52" s="786"/>
      <c r="C52" s="786"/>
      <c r="D52" s="786"/>
      <c r="E52" s="1096"/>
      <c r="F52" s="1096"/>
      <c r="G52" s="786"/>
      <c r="H52" s="787"/>
    </row>
    <row r="54" spans="1:8">
      <c r="A54" s="786"/>
      <c r="C54" s="786"/>
      <c r="D54" s="786"/>
      <c r="E54" s="1096"/>
      <c r="F54" s="1096"/>
      <c r="G54" s="786"/>
      <c r="H54" s="787"/>
    </row>
    <row r="55" spans="1:8">
      <c r="A55" s="786"/>
      <c r="C55" s="786"/>
      <c r="D55" s="786"/>
      <c r="E55" s="1096"/>
      <c r="F55" s="1096"/>
      <c r="G55" s="786"/>
      <c r="H55" s="787"/>
    </row>
    <row r="56" spans="1:8">
      <c r="A56" s="786"/>
      <c r="C56" s="786"/>
      <c r="D56" s="786"/>
      <c r="E56" s="1096"/>
      <c r="F56" s="1096"/>
      <c r="G56" s="786"/>
      <c r="H56" s="787"/>
    </row>
    <row r="57" spans="1:8">
      <c r="A57" s="786"/>
      <c r="C57" s="786"/>
      <c r="D57" s="786"/>
      <c r="E57" s="1096"/>
      <c r="F57" s="1096"/>
      <c r="G57" s="786"/>
      <c r="H57" s="787"/>
    </row>
    <row r="58" spans="1:8">
      <c r="A58" s="786"/>
      <c r="C58" s="786"/>
      <c r="D58" s="786"/>
      <c r="E58" s="1096"/>
      <c r="F58" s="1096"/>
      <c r="G58" s="786"/>
      <c r="H58" s="787"/>
    </row>
    <row r="59" spans="1:8">
      <c r="A59" s="786"/>
      <c r="C59" s="786"/>
      <c r="D59" s="786"/>
      <c r="E59" s="1096"/>
      <c r="F59" s="1096"/>
      <c r="G59" s="786"/>
      <c r="H59" s="787"/>
    </row>
    <row r="61" spans="1:8">
      <c r="A61" s="786"/>
      <c r="C61" s="786"/>
      <c r="D61" s="786"/>
      <c r="E61" s="1096"/>
      <c r="F61" s="1096"/>
      <c r="G61" s="786"/>
      <c r="H61" s="787"/>
    </row>
    <row r="65" spans="1:8">
      <c r="A65" s="786"/>
      <c r="C65" s="786"/>
      <c r="D65" s="786"/>
      <c r="E65" s="1096"/>
      <c r="F65" s="1096"/>
      <c r="G65" s="786"/>
      <c r="H65" s="787"/>
    </row>
    <row r="66" spans="1:8">
      <c r="A66" s="786"/>
      <c r="C66" s="786"/>
      <c r="D66" s="786"/>
      <c r="E66" s="1096"/>
      <c r="F66" s="1096"/>
      <c r="G66" s="786"/>
      <c r="H66" s="787"/>
    </row>
    <row r="67" spans="1:8">
      <c r="A67" s="786"/>
      <c r="C67" s="786"/>
      <c r="D67" s="786"/>
      <c r="E67" s="1096"/>
      <c r="F67" s="1096"/>
      <c r="G67" s="786"/>
      <c r="H67" s="787"/>
    </row>
    <row r="68" spans="1:8">
      <c r="A68" s="786"/>
      <c r="C68" s="786"/>
      <c r="D68" s="786"/>
      <c r="E68" s="1096"/>
      <c r="F68" s="1096"/>
      <c r="G68" s="786"/>
      <c r="H68" s="787"/>
    </row>
    <row r="69" spans="1:8">
      <c r="A69" s="786"/>
      <c r="C69" s="786"/>
      <c r="D69" s="786"/>
      <c r="E69" s="1096"/>
      <c r="F69" s="1096"/>
      <c r="G69" s="786"/>
      <c r="H69" s="787"/>
    </row>
    <row r="70" spans="1:8">
      <c r="A70" s="786"/>
      <c r="C70" s="786"/>
      <c r="D70" s="786"/>
      <c r="E70" s="1096"/>
      <c r="F70" s="1096"/>
      <c r="G70" s="786"/>
      <c r="H70" s="787"/>
    </row>
    <row r="71" spans="1:8">
      <c r="A71" s="786"/>
      <c r="C71" s="786"/>
      <c r="D71" s="786"/>
      <c r="E71" s="1096"/>
      <c r="F71" s="1096"/>
      <c r="G71" s="786"/>
      <c r="H71" s="787"/>
    </row>
    <row r="72" spans="1:8">
      <c r="A72" s="786"/>
      <c r="C72" s="786"/>
      <c r="D72" s="786"/>
      <c r="E72" s="1096"/>
      <c r="F72" s="1096"/>
      <c r="G72" s="786"/>
      <c r="H72" s="787"/>
    </row>
    <row r="73" spans="1:8">
      <c r="A73" s="786"/>
      <c r="C73" s="786"/>
      <c r="D73" s="786"/>
      <c r="E73" s="1096"/>
      <c r="F73" s="1096"/>
      <c r="G73" s="786"/>
      <c r="H73" s="787"/>
    </row>
    <row r="74" spans="1:8">
      <c r="A74" s="786"/>
      <c r="C74" s="786"/>
      <c r="D74" s="786"/>
      <c r="E74" s="1096"/>
      <c r="F74" s="1096"/>
      <c r="G74" s="786"/>
      <c r="H74" s="787"/>
    </row>
    <row r="76" spans="1:8">
      <c r="A76" s="786"/>
      <c r="C76" s="786"/>
      <c r="D76" s="786"/>
      <c r="E76" s="1096"/>
      <c r="F76" s="1096"/>
      <c r="G76" s="786"/>
      <c r="H76" s="787"/>
    </row>
    <row r="77" spans="1:8">
      <c r="A77" s="786"/>
      <c r="C77" s="786"/>
      <c r="D77" s="786"/>
      <c r="E77" s="1096"/>
      <c r="F77" s="1096"/>
      <c r="G77" s="786"/>
      <c r="H77" s="787"/>
    </row>
    <row r="78" spans="1:8">
      <c r="A78" s="786"/>
      <c r="C78" s="786"/>
      <c r="D78" s="786"/>
      <c r="E78" s="1096"/>
      <c r="F78" s="1096"/>
      <c r="G78" s="786"/>
      <c r="H78" s="787"/>
    </row>
    <row r="79" spans="1:8">
      <c r="A79" s="786"/>
      <c r="C79" s="786"/>
      <c r="D79" s="786"/>
      <c r="E79" s="1096"/>
      <c r="F79" s="1096"/>
      <c r="G79" s="786"/>
      <c r="H79" s="787"/>
    </row>
    <row r="80" spans="1:8">
      <c r="A80" s="786"/>
      <c r="C80" s="786"/>
      <c r="D80" s="786"/>
      <c r="E80" s="1096"/>
      <c r="F80" s="1096"/>
      <c r="G80" s="786"/>
      <c r="H80" s="787"/>
    </row>
    <row r="81" spans="1:8">
      <c r="A81" s="786"/>
      <c r="C81" s="786"/>
      <c r="D81" s="786"/>
      <c r="E81" s="1096"/>
      <c r="F81" s="1096"/>
      <c r="G81" s="786"/>
      <c r="H81" s="787"/>
    </row>
    <row r="82" spans="1:8">
      <c r="A82" s="786"/>
      <c r="C82" s="786"/>
      <c r="D82" s="786"/>
      <c r="E82" s="1096"/>
      <c r="F82" s="1096"/>
      <c r="G82" s="786"/>
      <c r="H82" s="787"/>
    </row>
    <row r="83" spans="1:8">
      <c r="A83" s="786"/>
      <c r="C83" s="786"/>
      <c r="D83" s="786"/>
      <c r="E83" s="1096"/>
      <c r="F83" s="1096"/>
      <c r="G83" s="786"/>
      <c r="H83" s="787"/>
    </row>
    <row r="84" spans="1:8">
      <c r="A84" s="786"/>
      <c r="C84" s="786"/>
      <c r="D84" s="786"/>
      <c r="E84" s="1096"/>
      <c r="F84" s="1096"/>
      <c r="G84" s="786"/>
      <c r="H84" s="787"/>
    </row>
    <row r="85" spans="1:8">
      <c r="A85" s="786"/>
      <c r="C85" s="786"/>
      <c r="D85" s="786"/>
      <c r="E85" s="1096"/>
      <c r="F85" s="1096"/>
      <c r="G85" s="786"/>
      <c r="H85" s="787"/>
    </row>
    <row r="86" spans="1:8">
      <c r="A86" s="786"/>
      <c r="C86" s="786"/>
      <c r="D86" s="786"/>
      <c r="E86" s="1096"/>
      <c r="F86" s="1096"/>
      <c r="G86" s="786"/>
      <c r="H86" s="78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5"/>
  <sheetViews>
    <sheetView workbookViewId="0">
      <selection activeCell="H4" sqref="H4"/>
    </sheetView>
  </sheetViews>
  <sheetFormatPr baseColWidth="10" defaultColWidth="11" defaultRowHeight="15"/>
  <cols>
    <col min="1" max="1" width="2.5" style="1196" customWidth="1"/>
    <col min="2" max="2" width="11" style="1201"/>
    <col min="3" max="3" width="17.25" style="1202" bestFit="1" customWidth="1"/>
    <col min="4" max="6" width="11" style="1202"/>
    <col min="7" max="7" width="10.875" style="1203" bestFit="1" customWidth="1"/>
    <col min="8" max="8" width="12.125" style="1202" customWidth="1"/>
    <col min="9" max="9" width="16.875" style="1202" customWidth="1"/>
    <col min="10" max="10" width="25.5" style="1204" customWidth="1"/>
    <col min="11" max="16384" width="11" style="1196"/>
  </cols>
  <sheetData>
    <row r="1" spans="2:10" ht="21">
      <c r="B1" s="1227" t="s">
        <v>2876</v>
      </c>
      <c r="C1" s="1228"/>
      <c r="D1" s="1228"/>
      <c r="E1" s="1228"/>
      <c r="F1" s="1228"/>
      <c r="G1" s="1228"/>
      <c r="H1" s="1228"/>
      <c r="I1" s="1228"/>
      <c r="J1" s="1229"/>
    </row>
    <row r="2" spans="2:10">
      <c r="B2" s="1197" t="s">
        <v>2877</v>
      </c>
      <c r="C2" s="1198" t="s">
        <v>2163</v>
      </c>
      <c r="D2" s="1198" t="s">
        <v>5</v>
      </c>
      <c r="E2" s="1198" t="s">
        <v>2159</v>
      </c>
      <c r="F2" s="1198" t="s">
        <v>2160</v>
      </c>
      <c r="G2" s="1199" t="s">
        <v>2878</v>
      </c>
      <c r="H2" s="1198" t="s">
        <v>2879</v>
      </c>
      <c r="I2" s="1198" t="s">
        <v>2880</v>
      </c>
      <c r="J2" s="1200" t="s">
        <v>2881</v>
      </c>
    </row>
    <row r="3" spans="2:10">
      <c r="B3" s="1201">
        <v>24081</v>
      </c>
      <c r="C3" s="1202" t="s">
        <v>2641</v>
      </c>
      <c r="D3" s="1202">
        <v>2024</v>
      </c>
      <c r="E3" s="1217" t="s">
        <v>2568</v>
      </c>
      <c r="F3" s="1217" t="s">
        <v>2594</v>
      </c>
      <c r="G3" s="1203">
        <v>128665</v>
      </c>
      <c r="H3" s="1217" t="s">
        <v>2892</v>
      </c>
      <c r="I3" s="1217" t="s">
        <v>2893</v>
      </c>
      <c r="J3" s="1204" t="s">
        <v>2894</v>
      </c>
    </row>
    <row r="4" spans="2:10">
      <c r="B4" s="1201">
        <v>24183</v>
      </c>
      <c r="C4" s="1202" t="s">
        <v>2909</v>
      </c>
      <c r="D4" s="1202">
        <v>2024</v>
      </c>
      <c r="E4" s="1218" t="s">
        <v>2568</v>
      </c>
      <c r="F4" s="1220" t="s">
        <v>2688</v>
      </c>
      <c r="G4" s="1203">
        <v>75415</v>
      </c>
      <c r="H4" s="1218" t="s">
        <v>2895</v>
      </c>
      <c r="I4" s="1218" t="s">
        <v>2896</v>
      </c>
      <c r="J4" s="1219" t="s">
        <v>2897</v>
      </c>
    </row>
    <row r="5" spans="2:10">
      <c r="B5" s="1201">
        <v>24101</v>
      </c>
      <c r="C5" s="1202" t="s">
        <v>2649</v>
      </c>
      <c r="D5" s="1202">
        <v>2024</v>
      </c>
      <c r="E5" s="1218" t="s">
        <v>2568</v>
      </c>
      <c r="F5" s="1218" t="s">
        <v>2601</v>
      </c>
      <c r="G5" s="1203">
        <v>101460</v>
      </c>
      <c r="H5" s="1218" t="s">
        <v>2898</v>
      </c>
      <c r="I5" s="1218" t="s">
        <v>2899</v>
      </c>
      <c r="J5" s="1219" t="s">
        <v>2900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P31" sqref="P31"/>
    </sheetView>
  </sheetViews>
  <sheetFormatPr baseColWidth="10" defaultColWidth="11" defaultRowHeight="15"/>
  <cols>
    <col min="1" max="1" width="4.75" style="1124" customWidth="1"/>
    <col min="2" max="2" width="5.5" style="1124" customWidth="1"/>
    <col min="3" max="3" width="20" style="1124" customWidth="1"/>
    <col min="4" max="4" width="1.75" style="1124" customWidth="1"/>
    <col min="5" max="7" width="11.125" style="1127" customWidth="1"/>
    <col min="8" max="8" width="8" style="1127" customWidth="1"/>
    <col min="9" max="9" width="1.75" style="1127" customWidth="1"/>
    <col min="10" max="12" width="11.125" style="1127" customWidth="1"/>
    <col min="13" max="13" width="8" style="1127" customWidth="1"/>
    <col min="14" max="14" width="11" style="1124"/>
    <col min="15" max="15" width="10" style="1124" customWidth="1"/>
    <col min="16" max="16" width="11" style="1124"/>
    <col min="17" max="17" width="6.375" style="1124" customWidth="1"/>
    <col min="18" max="16384" width="11" style="1124"/>
  </cols>
  <sheetData>
    <row r="1" spans="1:17" ht="30.75" customHeight="1">
      <c r="C1" s="1232" t="str">
        <f>"Analyse Wholesale "&amp;Parametres!B1</f>
        <v>Analyse Wholesale BMW Sherbrooke</v>
      </c>
      <c r="D1" s="1232"/>
      <c r="E1" s="1232"/>
      <c r="F1" s="1232"/>
      <c r="G1" s="1232"/>
      <c r="H1" s="1232"/>
      <c r="I1" s="1232"/>
      <c r="J1" s="1232"/>
      <c r="K1" s="1232"/>
      <c r="L1" s="1125"/>
      <c r="M1" s="1125"/>
      <c r="N1" s="1126"/>
      <c r="O1" s="1126"/>
      <c r="P1" s="1126"/>
      <c r="Q1" s="1126"/>
    </row>
    <row r="2" spans="1:17" ht="14.25" hidden="1" customHeight="1">
      <c r="D2" s="1124" t="s">
        <v>286</v>
      </c>
      <c r="F2" s="1127" t="s">
        <v>271</v>
      </c>
      <c r="G2" s="1127" t="s">
        <v>307</v>
      </c>
      <c r="L2" s="1127" t="s">
        <v>286</v>
      </c>
      <c r="N2" s="1124" t="s">
        <v>271</v>
      </c>
      <c r="O2" s="1124" t="s">
        <v>307</v>
      </c>
    </row>
    <row r="4" spans="1:17" ht="15" customHeight="1">
      <c r="A4" s="1128"/>
      <c r="B4" s="1128"/>
      <c r="E4" s="1233" t="str">
        <f>CONCATENATE("Pièces Wholesale ",Parametres!B3," ",Parametres!B4)</f>
        <v>Pièces Wholesale Avril 2024</v>
      </c>
      <c r="F4" s="1234"/>
      <c r="G4" s="1234"/>
      <c r="H4" s="1235"/>
      <c r="J4" s="1236" t="str">
        <f>CONCATENATE("Pièces Wholesale AAD ",Parametres!B4)</f>
        <v>Pièces Wholesale AAD 2024</v>
      </c>
      <c r="K4" s="1237"/>
      <c r="L4" s="1237"/>
      <c r="M4" s="1238"/>
    </row>
    <row r="5" spans="1:17">
      <c r="A5" s="1128"/>
      <c r="B5" s="1128"/>
      <c r="C5" s="1131"/>
      <c r="D5" s="1132"/>
      <c r="E5" s="1129" t="s">
        <v>2832</v>
      </c>
      <c r="F5" s="1130" t="s">
        <v>2833</v>
      </c>
      <c r="G5" s="1129" t="s">
        <v>2834</v>
      </c>
      <c r="H5" s="1130" t="s">
        <v>2835</v>
      </c>
      <c r="J5" s="1129" t="s">
        <v>2832</v>
      </c>
      <c r="K5" s="1130" t="s">
        <v>2833</v>
      </c>
      <c r="L5" s="1129" t="s">
        <v>2834</v>
      </c>
      <c r="M5" s="1130" t="s">
        <v>2835</v>
      </c>
    </row>
    <row r="6" spans="1:17">
      <c r="A6" s="1128"/>
      <c r="B6" s="1128"/>
      <c r="C6" s="1133" t="s">
        <v>2836</v>
      </c>
      <c r="D6" s="1134"/>
      <c r="E6" s="1135">
        <f>SUMIF(A37:A48,"X",E37:E48)</f>
        <v>24</v>
      </c>
      <c r="F6" s="1136">
        <f>SUMIF(A37:A48,"X",F37:F48)</f>
        <v>30</v>
      </c>
      <c r="G6" s="1135">
        <f>E6-F6</f>
        <v>-6</v>
      </c>
      <c r="H6" s="1137">
        <f>G6/F6</f>
        <v>-0.2</v>
      </c>
      <c r="J6" s="1135">
        <f>SUMIF($B$37:$B$48,"X",$E$37:$E$48)</f>
        <v>83</v>
      </c>
      <c r="K6" s="1136">
        <f>SUMIF($B$37:$B$48,"X",$F$37:$F$48)</f>
        <v>120</v>
      </c>
      <c r="L6" s="1135">
        <f>J6-K6</f>
        <v>-37</v>
      </c>
      <c r="M6" s="1137">
        <f>L6/K6</f>
        <v>-0.30833333333333335</v>
      </c>
    </row>
    <row r="7" spans="1:17">
      <c r="A7" s="1138" t="str">
        <f>B7&amp;C7</f>
        <v>piècesVentes de Gros</v>
      </c>
      <c r="B7" s="1138" t="s">
        <v>1895</v>
      </c>
      <c r="C7" s="1139" t="s">
        <v>174</v>
      </c>
      <c r="D7" s="1140"/>
      <c r="E7" s="1141">
        <f>-SUMIFS(BV_Data_An_Cour!$O:$O,BV_Data_An_Cour!$X:$X,"Oui",BV_Data_An_Cour!$U:$U,$B7,BV_Data_An_Cour!$V:$V,$C7)</f>
        <v>50271.28</v>
      </c>
      <c r="F7" s="1142">
        <f>+INDEX('Budget original'!$A$2:$AO$501,MATCH($A7,'Budget original'!$A$2:$A$501,0),MATCH(F$2,'Budget original'!$A$2:$AO$2,0))</f>
        <v>49868.279633354228</v>
      </c>
      <c r="G7" s="1143">
        <f>E7-F7</f>
        <v>403.00036664577055</v>
      </c>
      <c r="H7" s="1144">
        <f>G7/F7</f>
        <v>8.0812967603603701E-3</v>
      </c>
      <c r="J7" s="1141">
        <f>-SUMIFS(BV_Data_An_Cour!$P:$P,BV_Data_An_Cour!$X:$X,"Oui",BV_Data_An_Cour!$U:$U,$B7,BV_Data_An_Cour!$V:$V,$C7)</f>
        <v>187847</v>
      </c>
      <c r="K7" s="1142" cm="1">
        <f t="array" ref="K7">+SUMPRODUCT(('Budget original'!$A$8:$A$501=$A7)*('Budget original'!$C$3:$AO$3=N$2),'Budget original'!$C$8:$AO$501)</f>
        <v>242326.34438970179</v>
      </c>
      <c r="L7" s="1145">
        <f t="shared" ref="L7:L10" si="0">J7-K7</f>
        <v>-54479.344389701786</v>
      </c>
      <c r="M7" s="1144">
        <f>L7/K7</f>
        <v>-0.22481808375770229</v>
      </c>
    </row>
    <row r="8" spans="1:17">
      <c r="A8" s="1138"/>
      <c r="B8" s="1138"/>
      <c r="C8" s="1146" t="s">
        <v>2837</v>
      </c>
      <c r="D8" s="1140"/>
      <c r="E8" s="1147">
        <f>E7-E9</f>
        <v>39207.11</v>
      </c>
      <c r="F8" s="1148">
        <f>F7-F9</f>
        <v>37052.136071449779</v>
      </c>
      <c r="G8" s="1141">
        <f t="shared" ref="G8:G15" si="1">E8-F8</f>
        <v>2154.9739285502219</v>
      </c>
      <c r="H8" s="1149">
        <f t="shared" ref="H8:H9" si="2">G8/F8</f>
        <v>5.8160585516437185E-2</v>
      </c>
      <c r="J8" s="1147">
        <f>J7-J9</f>
        <v>144354.22</v>
      </c>
      <c r="K8" s="1148">
        <f>K7-K9</f>
        <v>180048.48303469529</v>
      </c>
      <c r="L8" s="1141">
        <f t="shared" si="0"/>
        <v>-35694.263034695294</v>
      </c>
      <c r="M8" s="1149">
        <f t="shared" ref="M8:M9" si="3">L8/K8</f>
        <v>-0.1982480631498407</v>
      </c>
    </row>
    <row r="9" spans="1:17">
      <c r="C9" s="1150" t="s">
        <v>195</v>
      </c>
      <c r="D9" s="1140"/>
      <c r="E9" s="1151">
        <f>E12+E11</f>
        <v>11064.169999999998</v>
      </c>
      <c r="F9" s="1152">
        <f>F12+F11</f>
        <v>12816.14356190445</v>
      </c>
      <c r="G9" s="1151">
        <f t="shared" si="1"/>
        <v>-1751.9735619044513</v>
      </c>
      <c r="H9" s="1149">
        <f t="shared" si="2"/>
        <v>-0.13670052566453245</v>
      </c>
      <c r="J9" s="1151">
        <f>J12+J11</f>
        <v>43492.78</v>
      </c>
      <c r="K9" s="1152">
        <f>K12+K11</f>
        <v>62277.861355006484</v>
      </c>
      <c r="L9" s="1151">
        <f t="shared" si="0"/>
        <v>-18785.081355006485</v>
      </c>
      <c r="M9" s="1149">
        <f t="shared" si="3"/>
        <v>-0.30163337253867278</v>
      </c>
    </row>
    <row r="10" spans="1:17">
      <c r="A10" s="1138"/>
      <c r="B10" s="1138"/>
      <c r="C10" s="1146" t="s">
        <v>2838</v>
      </c>
      <c r="D10" s="1140"/>
      <c r="E10" s="1153">
        <f>E9/E7</f>
        <v>0.2200892835829921</v>
      </c>
      <c r="F10" s="1154">
        <f>F9/F7</f>
        <v>0.25699991369528646</v>
      </c>
      <c r="G10" s="1153">
        <f t="shared" si="1"/>
        <v>-3.6910630112294368E-2</v>
      </c>
      <c r="H10" s="1149"/>
      <c r="J10" s="1153">
        <f>J9/J7</f>
        <v>0.23153300292259124</v>
      </c>
      <c r="K10" s="1154">
        <f>K9/K7</f>
        <v>0.25699996222801569</v>
      </c>
      <c r="L10" s="1153">
        <f t="shared" si="0"/>
        <v>-2.5466959305424447E-2</v>
      </c>
      <c r="M10" s="1149"/>
    </row>
    <row r="11" spans="1:17">
      <c r="A11" s="1138"/>
      <c r="B11" s="1138"/>
      <c r="C11" s="1155" t="s">
        <v>2839</v>
      </c>
      <c r="D11" s="1140"/>
      <c r="E11" s="1145">
        <f>SUMIFS(BV_Data_An_Cour!$O:$O,BV_Data_An_Cour!$W:$W,$D$2,BV_Data_An_Cour!L:L,C31)</f>
        <v>981.18</v>
      </c>
      <c r="F11" s="1156">
        <f>SUMIF($A$37:$A$48,"X",$G$37:$G$48)</f>
        <v>2194.1999999999998</v>
      </c>
      <c r="G11" s="1145">
        <f t="shared" si="1"/>
        <v>-1213.02</v>
      </c>
      <c r="H11" s="1144">
        <f t="shared" ref="H11:H12" si="4">G11/F11</f>
        <v>-0.55283018867924527</v>
      </c>
      <c r="J11" s="1145">
        <f>SUMIFS(BV_Data_An_Cour!$P:$P,BV_Data_An_Cour!$W:$W,$L$2,BV_Data_An_Cour!T:T,C31)</f>
        <v>6680.53</v>
      </c>
      <c r="K11" s="1156">
        <f>SUMIF($B$37:$B$48,"X",$G$37:$G$48)</f>
        <v>10662.349999999999</v>
      </c>
      <c r="L11" s="1145">
        <f>J11-K11</f>
        <v>-3981.8199999999988</v>
      </c>
      <c r="M11" s="1144">
        <f t="shared" ref="M11:M12" si="5">L11/K11</f>
        <v>-0.37344675423335377</v>
      </c>
    </row>
    <row r="12" spans="1:17">
      <c r="A12" s="1157" t="s">
        <v>174</v>
      </c>
      <c r="B12" s="1138" t="s">
        <v>1895</v>
      </c>
      <c r="C12" s="1150" t="s">
        <v>2408</v>
      </c>
      <c r="D12" s="1140"/>
      <c r="E12" s="1151">
        <f>-SUMIFS(BV_Data_An_Cour!$O:$O,BV_Data_An_Cour!$U:$U,$B12,BV_Data_An_Cour!$V:$V,$A12,BV_Data_An_Cour!$W:$W,$D$2)</f>
        <v>10082.989999999998</v>
      </c>
      <c r="F12" s="1152">
        <f>+INDEX('Budget original'!$A$2:$AO$501,MATCH(B12&amp;$A12,'Budget original'!$A$2:$A$501,0),MATCH(G$2,'Budget original'!$A$2:$AO$2,0))</f>
        <v>10621.943561904451</v>
      </c>
      <c r="G12" s="1151">
        <f t="shared" si="1"/>
        <v>-538.95356190445273</v>
      </c>
      <c r="H12" s="1149">
        <f t="shared" si="4"/>
        <v>-5.0739637126053568E-2</v>
      </c>
      <c r="J12" s="1151">
        <f>-SUMIFS(BV_Data_An_Cour!$P:$P,BV_Data_An_Cour!$U:$U,$B12,BV_Data_An_Cour!$V:$V,$A12,BV_Data_An_Cour!$W:$W,$D$2)</f>
        <v>36812.25</v>
      </c>
      <c r="K12" s="1152" cm="1">
        <f t="array" ref="K12">+SUMPRODUCT(('Budget original'!$A$8:$A$501=B12&amp;$A12)*('Budget original'!$C$3:$AO$3=O$2),'Budget original'!$C$8:$AO$501)</f>
        <v>51615.511355006485</v>
      </c>
      <c r="L12" s="1151">
        <f t="shared" ref="L12:L16" si="6">J12-K12</f>
        <v>-14803.261355006485</v>
      </c>
      <c r="M12" s="1149">
        <f t="shared" si="5"/>
        <v>-0.28679869609720782</v>
      </c>
    </row>
    <row r="13" spans="1:17">
      <c r="A13" s="1128"/>
      <c r="B13" s="1128"/>
      <c r="C13" s="1146" t="s">
        <v>108</v>
      </c>
      <c r="D13" s="1140"/>
      <c r="E13" s="1153">
        <f>(E12)/E7</f>
        <v>0.20057157884183571</v>
      </c>
      <c r="F13" s="1154">
        <f>(F12)/F7</f>
        <v>0.21299999999999999</v>
      </c>
      <c r="G13" s="1158">
        <f t="shared" si="1"/>
        <v>-1.2428421158164282E-2</v>
      </c>
      <c r="H13" s="1159"/>
      <c r="J13" s="1153">
        <f>(J12)/J7</f>
        <v>0.19596932610049669</v>
      </c>
      <c r="K13" s="1154">
        <f>(K12)/K7</f>
        <v>0.21300000000000002</v>
      </c>
      <c r="L13" s="1158">
        <f t="shared" si="6"/>
        <v>-1.7030673899503329E-2</v>
      </c>
      <c r="M13" s="1159"/>
    </row>
    <row r="14" spans="1:17">
      <c r="A14" s="1128"/>
      <c r="B14" s="1128"/>
      <c r="C14" s="1155" t="s">
        <v>2840</v>
      </c>
      <c r="D14" s="1140"/>
      <c r="E14" s="1145">
        <f>SUMIFS(BV_Data_An_Cour!$O:$O,BV_Data_An_Cour!$W:$W,$D$2,BV_Data_An_Cour!L:L,C33)</f>
        <v>600</v>
      </c>
      <c r="F14" s="1160">
        <f>SUMIF(A37:A48,"X",F37:F48)*$G$33</f>
        <v>750</v>
      </c>
      <c r="G14" s="1141">
        <f>E14-F14</f>
        <v>-150</v>
      </c>
      <c r="H14" s="1149">
        <f t="shared" ref="H14:H15" si="7">G14/F14</f>
        <v>-0.2</v>
      </c>
      <c r="J14" s="1145">
        <f>SUMIFS(BV_Data_An_Cour!$P:$P,BV_Data_An_Cour!$W:$W,$L$2,BV_Data_An_Cour!T:T,C33)</f>
        <v>2075</v>
      </c>
      <c r="K14" s="1160">
        <f>SUMIF(B37:B48,"X",F37:F48)*$G$33</f>
        <v>3000</v>
      </c>
      <c r="L14" s="1141">
        <f t="shared" si="6"/>
        <v>-925</v>
      </c>
      <c r="M14" s="1149">
        <f t="shared" ref="M14:M15" si="8">L14/K14</f>
        <v>-0.30833333333333335</v>
      </c>
    </row>
    <row r="15" spans="1:17">
      <c r="C15" s="1150" t="s">
        <v>2841</v>
      </c>
      <c r="D15" s="1140"/>
      <c r="E15" s="1151">
        <f>E12-E14</f>
        <v>9482.989999999998</v>
      </c>
      <c r="F15" s="1152">
        <f t="shared" ref="F15" si="9">F12-F14</f>
        <v>9871.9435619044507</v>
      </c>
      <c r="G15" s="1151">
        <f t="shared" si="1"/>
        <v>-388.95356190445273</v>
      </c>
      <c r="H15" s="1149">
        <f t="shared" si="7"/>
        <v>-3.9399897240642003E-2</v>
      </c>
      <c r="J15" s="1151">
        <f t="shared" ref="J15:K15" si="10">J12-J14</f>
        <v>34737.25</v>
      </c>
      <c r="K15" s="1152">
        <f t="shared" si="10"/>
        <v>48615.511355006485</v>
      </c>
      <c r="L15" s="1151">
        <f t="shared" si="6"/>
        <v>-13878.261355006485</v>
      </c>
      <c r="M15" s="1149">
        <f t="shared" si="8"/>
        <v>-0.28546982163085455</v>
      </c>
    </row>
    <row r="16" spans="1:17">
      <c r="C16" s="1161" t="s">
        <v>2842</v>
      </c>
      <c r="D16" s="1162"/>
      <c r="E16" s="1158">
        <f>E15/E7</f>
        <v>0.1886363347024384</v>
      </c>
      <c r="F16" s="1163">
        <f>F15/F7</f>
        <v>0.19796037951350612</v>
      </c>
      <c r="G16" s="1158">
        <f>E16-F16</f>
        <v>-9.3240448110677165E-3</v>
      </c>
      <c r="H16" s="1163"/>
      <c r="J16" s="1158">
        <f>J15/J7</f>
        <v>0.18492310231198794</v>
      </c>
      <c r="K16" s="1163">
        <f>K15/K7</f>
        <v>0.20062000059236032</v>
      </c>
      <c r="L16" s="1158">
        <f t="shared" si="6"/>
        <v>-1.5696898280372379E-2</v>
      </c>
      <c r="M16" s="1164"/>
    </row>
    <row r="17" spans="3:13">
      <c r="C17" s="1165"/>
      <c r="G17" s="1166"/>
      <c r="K17" s="1166"/>
    </row>
    <row r="18" spans="3:13">
      <c r="E18" s="1233" t="str">
        <f>CONCATENATE("Pièces Wholesale $ / livraison ",Parametres!B3," ",Parametres!B4)</f>
        <v>Pièces Wholesale $ / livraison Avril 2024</v>
      </c>
      <c r="F18" s="1234"/>
      <c r="G18" s="1234"/>
      <c r="H18" s="1235"/>
      <c r="J18" s="1236" t="str">
        <f>CONCATENATE("Pièces Wholesale AAD $ / livraison ",Parametres!B4)</f>
        <v>Pièces Wholesale AAD $ / livraison 2024</v>
      </c>
      <c r="K18" s="1237"/>
      <c r="L18" s="1237"/>
      <c r="M18" s="1238"/>
    </row>
    <row r="19" spans="3:13">
      <c r="C19" s="1131"/>
      <c r="D19" s="1132"/>
      <c r="E19" s="1129" t="s">
        <v>2832</v>
      </c>
      <c r="F19" s="1130" t="s">
        <v>2833</v>
      </c>
      <c r="G19" s="1129" t="s">
        <v>2834</v>
      </c>
      <c r="H19" s="1130" t="s">
        <v>2835</v>
      </c>
      <c r="J19" s="1129" t="s">
        <v>2832</v>
      </c>
      <c r="K19" s="1130" t="s">
        <v>2833</v>
      </c>
      <c r="L19" s="1129" t="s">
        <v>2834</v>
      </c>
      <c r="M19" s="1130" t="s">
        <v>2835</v>
      </c>
    </row>
    <row r="20" spans="3:13">
      <c r="C20" s="1139" t="s">
        <v>174</v>
      </c>
      <c r="D20" s="1140"/>
      <c r="E20" s="1141">
        <f>E7/E$6</f>
        <v>2094.6366666666668</v>
      </c>
      <c r="F20" s="1142">
        <f>F7/F$6</f>
        <v>1662.2759877784742</v>
      </c>
      <c r="G20" s="1145">
        <f t="shared" ref="G20:G25" si="11">E20-F20</f>
        <v>432.36067888819252</v>
      </c>
      <c r="H20" s="1144">
        <f t="shared" ref="H20:H26" si="12">G20/F20</f>
        <v>0.26010162095045058</v>
      </c>
      <c r="J20" s="1141">
        <f>J7/J$6</f>
        <v>2263.2168674698796</v>
      </c>
      <c r="K20" s="1142">
        <f>K7/K$6</f>
        <v>2019.3862032475149</v>
      </c>
      <c r="L20" s="1145">
        <f t="shared" ref="L20:L25" si="13">J20-K20</f>
        <v>243.8306642223647</v>
      </c>
      <c r="M20" s="1144">
        <f t="shared" ref="M20:M26" si="14">L20/K20</f>
        <v>0.1207449391454907</v>
      </c>
    </row>
    <row r="21" spans="3:13">
      <c r="C21" s="1146" t="s">
        <v>2837</v>
      </c>
      <c r="D21" s="1140"/>
      <c r="E21" s="1147">
        <f t="shared" ref="E21:F22" si="15">E8/E$6</f>
        <v>1633.6295833333334</v>
      </c>
      <c r="F21" s="1148">
        <f>F8/F$6</f>
        <v>1235.0712023816593</v>
      </c>
      <c r="G21" s="1141">
        <f t="shared" si="11"/>
        <v>398.55838095167405</v>
      </c>
      <c r="H21" s="1149">
        <f t="shared" si="12"/>
        <v>0.32270073189554649</v>
      </c>
      <c r="J21" s="1147">
        <f t="shared" ref="J21:K22" si="16">J8/J$6</f>
        <v>1739.2074698795182</v>
      </c>
      <c r="K21" s="1148">
        <f t="shared" si="16"/>
        <v>1500.4040252891275</v>
      </c>
      <c r="L21" s="1141">
        <f t="shared" si="13"/>
        <v>238.80344459039065</v>
      </c>
      <c r="M21" s="1149">
        <f t="shared" si="14"/>
        <v>0.15915942677131467</v>
      </c>
    </row>
    <row r="22" spans="3:13">
      <c r="C22" s="1150" t="s">
        <v>195</v>
      </c>
      <c r="D22" s="1140"/>
      <c r="E22" s="1151">
        <f>E9/E$6</f>
        <v>461.00708333333324</v>
      </c>
      <c r="F22" s="1152">
        <f t="shared" si="15"/>
        <v>427.204785396815</v>
      </c>
      <c r="G22" s="1151">
        <f t="shared" si="11"/>
        <v>33.802297936518244</v>
      </c>
      <c r="H22" s="1149">
        <f t="shared" si="12"/>
        <v>7.9124342919334387E-2</v>
      </c>
      <c r="J22" s="1151">
        <f t="shared" si="16"/>
        <v>524.00939759036146</v>
      </c>
      <c r="K22" s="1152">
        <f t="shared" si="16"/>
        <v>518.98217795838741</v>
      </c>
      <c r="L22" s="1151">
        <f t="shared" si="13"/>
        <v>5.0272196319740488</v>
      </c>
      <c r="M22" s="1149">
        <f t="shared" si="14"/>
        <v>9.6866903055332614E-3</v>
      </c>
    </row>
    <row r="23" spans="3:13">
      <c r="C23" s="1155" t="s">
        <v>2839</v>
      </c>
      <c r="D23" s="1140"/>
      <c r="E23" s="1145">
        <f>E11/E$6</f>
        <v>40.8825</v>
      </c>
      <c r="F23" s="1156">
        <f>F11/F$6</f>
        <v>73.14</v>
      </c>
      <c r="G23" s="1145">
        <f t="shared" si="11"/>
        <v>-32.2575</v>
      </c>
      <c r="H23" s="1144">
        <f t="shared" si="12"/>
        <v>-0.44103773584905659</v>
      </c>
      <c r="J23" s="1145">
        <f t="shared" ref="J23:K23" si="17">J11/J$6</f>
        <v>80.488313253012052</v>
      </c>
      <c r="K23" s="1156">
        <f t="shared" si="17"/>
        <v>88.852916666666658</v>
      </c>
      <c r="L23" s="1145">
        <f t="shared" si="13"/>
        <v>-8.3646034136546064</v>
      </c>
      <c r="M23" s="1144">
        <f t="shared" si="14"/>
        <v>-9.4139885638583692E-2</v>
      </c>
    </row>
    <row r="24" spans="3:13">
      <c r="C24" s="1150" t="s">
        <v>2408</v>
      </c>
      <c r="D24" s="1140"/>
      <c r="E24" s="1151">
        <f>E12/E$6</f>
        <v>420.12458333333325</v>
      </c>
      <c r="F24" s="1152">
        <f>F12/F$6</f>
        <v>354.06478539681501</v>
      </c>
      <c r="G24" s="1167">
        <f t="shared" si="11"/>
        <v>66.059797936518237</v>
      </c>
      <c r="H24" s="1159">
        <f t="shared" si="12"/>
        <v>0.18657545359243308</v>
      </c>
      <c r="J24" s="1151">
        <f>J12/J$6</f>
        <v>443.52108433734941</v>
      </c>
      <c r="K24" s="1152">
        <f>K12/K$6</f>
        <v>430.1292612917207</v>
      </c>
      <c r="L24" s="1167">
        <f t="shared" si="13"/>
        <v>13.391823045628712</v>
      </c>
      <c r="M24" s="1159">
        <f t="shared" si="14"/>
        <v>3.1134415281145356E-2</v>
      </c>
    </row>
    <row r="25" spans="3:13">
      <c r="C25" s="1155" t="s">
        <v>2840</v>
      </c>
      <c r="D25" s="1140"/>
      <c r="E25" s="1168">
        <f>E14/E$6</f>
        <v>25</v>
      </c>
      <c r="F25" s="1160">
        <f>F14/F$6</f>
        <v>25</v>
      </c>
      <c r="G25" s="1141">
        <f t="shared" si="11"/>
        <v>0</v>
      </c>
      <c r="H25" s="1149">
        <f t="shared" si="12"/>
        <v>0</v>
      </c>
      <c r="J25" s="1145">
        <f t="shared" ref="J25:K25" si="18">J14/J$6</f>
        <v>25</v>
      </c>
      <c r="K25" s="1160">
        <f t="shared" si="18"/>
        <v>25</v>
      </c>
      <c r="L25" s="1141">
        <f t="shared" si="13"/>
        <v>0</v>
      </c>
      <c r="M25" s="1149">
        <f t="shared" si="14"/>
        <v>0</v>
      </c>
    </row>
    <row r="26" spans="3:13">
      <c r="C26" s="1169" t="s">
        <v>2841</v>
      </c>
      <c r="D26" s="1140"/>
      <c r="E26" s="1167">
        <f>E15/E$6</f>
        <v>395.12458333333325</v>
      </c>
      <c r="F26" s="1170">
        <f>F15/F$6</f>
        <v>329.06478539681501</v>
      </c>
      <c r="G26" s="1167">
        <f>E26-F26</f>
        <v>66.059797936518237</v>
      </c>
      <c r="H26" s="1159">
        <f t="shared" si="12"/>
        <v>0.20075012844919754</v>
      </c>
      <c r="J26" s="1167">
        <f>J15/J$6</f>
        <v>418.52108433734941</v>
      </c>
      <c r="K26" s="1170">
        <f>K15/K$6</f>
        <v>405.1292612917207</v>
      </c>
      <c r="L26" s="1167">
        <f>J26-K26</f>
        <v>13.391823045628712</v>
      </c>
      <c r="M26" s="1159">
        <f t="shared" si="14"/>
        <v>3.3055679569848909E-2</v>
      </c>
    </row>
    <row r="27" spans="3:13">
      <c r="C27" s="1165"/>
      <c r="G27" s="1166"/>
      <c r="K27" s="1166"/>
    </row>
    <row r="29" spans="3:13">
      <c r="C29" s="1171" t="s">
        <v>2843</v>
      </c>
    </row>
    <row r="30" spans="3:13">
      <c r="C30" s="1172" t="s">
        <v>2844</v>
      </c>
      <c r="E30" s="1173" t="s">
        <v>2845</v>
      </c>
      <c r="F30" s="1174"/>
      <c r="G30" s="1175">
        <f>SUMIF(A37:A48,"X",E37:E48)*$G$33-E14</f>
        <v>0</v>
      </c>
      <c r="H30" s="1176" t="s">
        <v>2846</v>
      </c>
    </row>
    <row r="31" spans="3:13">
      <c r="C31" s="1177" t="s">
        <v>2859</v>
      </c>
      <c r="E31" s="1173" t="s">
        <v>2847</v>
      </c>
      <c r="F31" s="1174"/>
      <c r="G31" s="1175">
        <f>SUMIF(B37:B48,"X",E37:E48)*$G$33-J14</f>
        <v>0</v>
      </c>
      <c r="H31" s="1176" t="s">
        <v>2846</v>
      </c>
    </row>
    <row r="32" spans="3:13">
      <c r="C32" s="1172" t="s">
        <v>2848</v>
      </c>
    </row>
    <row r="33" spans="1:41">
      <c r="C33" s="1177" t="s">
        <v>2860</v>
      </c>
      <c r="E33" s="1239" t="s">
        <v>2849</v>
      </c>
      <c r="F33" s="1239"/>
      <c r="G33" s="1178">
        <v>25</v>
      </c>
    </row>
    <row r="35" spans="1:41">
      <c r="E35" s="1230" t="s">
        <v>2850</v>
      </c>
      <c r="F35" s="1231"/>
    </row>
    <row r="36" spans="1:41" ht="46.5" customHeight="1">
      <c r="A36" s="1179" t="s">
        <v>294</v>
      </c>
      <c r="B36" s="1179" t="s">
        <v>305</v>
      </c>
      <c r="C36" s="1180" t="s">
        <v>294</v>
      </c>
      <c r="D36" s="1174"/>
      <c r="E36" s="1181" t="s">
        <v>2832</v>
      </c>
      <c r="F36" s="1181" t="s">
        <v>2851</v>
      </c>
      <c r="G36" s="1182" t="s">
        <v>2852</v>
      </c>
      <c r="H36" s="1124" t="str">
        <f>+IF(Parametres!$B$3=H$38,"X","")</f>
        <v/>
      </c>
      <c r="I36" s="1127" t="str">
        <f>+IF(Parametres!$B$3=I$38,"X","")</f>
        <v/>
      </c>
      <c r="J36" s="1127" t="str">
        <f>+IF(Parametres!$B$3=J$38,"X","")</f>
        <v/>
      </c>
      <c r="K36" s="1127" t="str">
        <f>+IF(Parametres!$B$3=K$38,"X","")</f>
        <v/>
      </c>
      <c r="L36" s="1127" t="str">
        <f>+IF(Parametres!$B$3=L$38,"X","")</f>
        <v/>
      </c>
      <c r="M36" s="1127" t="str">
        <f>+IF(Parametres!$B$3=M$38,"X","")</f>
        <v/>
      </c>
      <c r="N36" s="1127" t="str">
        <f>+IF(Parametres!$B$3=N$38,"X","")</f>
        <v/>
      </c>
      <c r="O36" s="1127" t="str">
        <f>+IF(Parametres!$B$3=O$38,"X","")</f>
        <v/>
      </c>
      <c r="P36" s="1127" t="str">
        <f>+IF(Parametres!$B$3=P$38,"X","")</f>
        <v/>
      </c>
      <c r="Q36" s="1127" t="str">
        <f>+IF(Parametres!$B$3=Q$38,"X","")</f>
        <v/>
      </c>
      <c r="R36" s="1124" t="str">
        <f>+IF(Parametres!$B$3=R$38,"X","")</f>
        <v/>
      </c>
      <c r="S36" s="1124" t="str">
        <f>+IF(Parametres!$B$3=S$38,"X","")</f>
        <v/>
      </c>
      <c r="U36" s="1124" t="str">
        <f>+IF(Parametres!$B$3=N$7,"X","")</f>
        <v/>
      </c>
      <c r="V36" s="1124" t="str">
        <f>+IF(Parametres!$B$3=N$7,"O","")</f>
        <v/>
      </c>
      <c r="W36" s="1124" t="str">
        <f>+IF(Parametres!$B$3=N$7,"U","")</f>
        <v/>
      </c>
      <c r="X36" s="1124" t="str">
        <f>+IF(Parametres!$B$3=Q$7,"X","")</f>
        <v/>
      </c>
      <c r="Y36" s="1124" t="str">
        <f>+IF(Parametres!$B$3=Q$7,"O","")</f>
        <v/>
      </c>
      <c r="Z36" s="1124" t="str">
        <f>+IF(Parametres!$B$3=Q$7,"U","")</f>
        <v/>
      </c>
      <c r="AA36" s="1124" t="str">
        <f>+IF(Parametres!$B$3=T$7,"X","")</f>
        <v/>
      </c>
      <c r="AB36" s="1124" t="str">
        <f>+IF(Parametres!$B$3=T$7,"O","")</f>
        <v/>
      </c>
      <c r="AC36" s="1124" t="str">
        <f>+IF(Parametres!$B$3=T$7,"U","")</f>
        <v/>
      </c>
      <c r="AD36" s="1124" t="str">
        <f>+IF(Parametres!$B$3=W$7,"X","")</f>
        <v/>
      </c>
      <c r="AE36" s="1124" t="str">
        <f>+IF(Parametres!$B$3=W$7,"O","")</f>
        <v/>
      </c>
      <c r="AF36" s="1124" t="str">
        <f>+IF(Parametres!$B$3=W$7,"U","")</f>
        <v/>
      </c>
      <c r="AG36" s="1124" t="str">
        <f>+IF(Parametres!$B$3=Z$7,"X","")</f>
        <v/>
      </c>
      <c r="AH36" s="1124" t="str">
        <f>+IF(Parametres!$B$3=Z$7,"O","")</f>
        <v/>
      </c>
      <c r="AI36" s="1124" t="str">
        <f>+IF(Parametres!$B$3=Z$7,"U","")</f>
        <v/>
      </c>
      <c r="AJ36" s="1124" t="str">
        <f>+IF(Parametres!$B$3=AC$7,"X","")</f>
        <v/>
      </c>
      <c r="AK36" s="1124" t="str">
        <f>+IF(Parametres!$B$3=AC$7,"O","")</f>
        <v/>
      </c>
      <c r="AL36" s="1124" t="str">
        <f>+IF(Parametres!$B$3=AC$7,"U","")</f>
        <v/>
      </c>
      <c r="AM36" s="1124" t="str">
        <f>+IF(Parametres!$B$3=AF$7,"X","")</f>
        <v/>
      </c>
      <c r="AN36" s="1124" t="str">
        <f>+IF(Parametres!$B$3=AF$7,"O","")</f>
        <v/>
      </c>
      <c r="AO36" s="1124" t="str">
        <f>+IF(Parametres!$B$3=AF$7,"U","")</f>
        <v/>
      </c>
    </row>
    <row r="37" spans="1:41">
      <c r="A37" s="1183" t="str">
        <f>+IF(Parametres!$B$3=$C37,"X","")</f>
        <v/>
      </c>
      <c r="B37" s="1183" t="str">
        <f>+IF(VLOOKUP($C37,Parametres!$K$3:$N$14,4,0)="X","X","")</f>
        <v>X</v>
      </c>
      <c r="C37" s="1184" t="s">
        <v>295</v>
      </c>
      <c r="E37" s="1185">
        <v>23</v>
      </c>
      <c r="F37" s="1185">
        <v>30</v>
      </c>
      <c r="G37" s="1185">
        <v>2662.04</v>
      </c>
      <c r="H37" s="1124"/>
      <c r="I37" s="1124"/>
      <c r="J37" s="1124"/>
      <c r="K37" s="1124"/>
      <c r="L37" s="1124"/>
      <c r="M37" s="1124"/>
    </row>
    <row r="38" spans="1:41">
      <c r="A38" s="1183" t="str">
        <f>+IF(Parametres!$B$3=$C38,"X","")</f>
        <v/>
      </c>
      <c r="B38" s="1183" t="str">
        <f>+IF(VLOOKUP($C38,Parametres!$K$3:$N$14,4,0)="X","X","")</f>
        <v>X</v>
      </c>
      <c r="C38" s="1186" t="s">
        <v>296</v>
      </c>
      <c r="E38" s="1185">
        <v>23</v>
      </c>
      <c r="F38" s="1185">
        <v>30</v>
      </c>
      <c r="G38" s="1185">
        <v>2686.35</v>
      </c>
      <c r="H38" s="1124"/>
      <c r="I38" s="1124"/>
      <c r="J38" s="1124"/>
      <c r="K38" s="1124"/>
      <c r="L38" s="1124"/>
      <c r="M38" s="1124"/>
    </row>
    <row r="39" spans="1:41">
      <c r="A39" s="1124" t="str">
        <f>+IF(Parametres!$B$3=$C39,"X","")</f>
        <v/>
      </c>
      <c r="B39" s="1124" t="str">
        <f>+IF(VLOOKUP($C39,Parametres!$K$3:$N$14,4,0)="X","X","")</f>
        <v>X</v>
      </c>
      <c r="C39" s="1186" t="s">
        <v>297</v>
      </c>
      <c r="E39" s="1185">
        <v>13</v>
      </c>
      <c r="F39" s="1185">
        <v>30</v>
      </c>
      <c r="G39" s="1185">
        <v>3119.76</v>
      </c>
      <c r="H39" s="1124"/>
      <c r="I39" s="1124"/>
      <c r="J39" s="1124"/>
      <c r="K39" s="1124"/>
      <c r="L39" s="1124"/>
      <c r="M39" s="1124"/>
    </row>
    <row r="40" spans="1:41">
      <c r="A40" s="1124" t="str">
        <f>+IF(Parametres!$B$3=$C40,"X","")</f>
        <v>X</v>
      </c>
      <c r="B40" s="1124" t="str">
        <f>+IF(VLOOKUP($C40,Parametres!$K$3:$N$14,4,0)="X","X","")</f>
        <v>X</v>
      </c>
      <c r="C40" s="1186" t="s">
        <v>298</v>
      </c>
      <c r="E40" s="1185">
        <v>24</v>
      </c>
      <c r="F40" s="1185">
        <v>30</v>
      </c>
      <c r="G40" s="1185">
        <v>2194.1999999999998</v>
      </c>
      <c r="H40" s="1124"/>
      <c r="I40" s="1124"/>
      <c r="J40" s="1124"/>
      <c r="K40" s="1124"/>
      <c r="L40" s="1124"/>
      <c r="M40" s="1124"/>
    </row>
    <row r="41" spans="1:41">
      <c r="A41" s="1124" t="str">
        <f>+IF(Parametres!$B$3=$C41,"X","")</f>
        <v/>
      </c>
      <c r="B41" s="1124" t="str">
        <f>+IF(VLOOKUP($C41,Parametres!$K$3:$N$14,4,0)="X","X","")</f>
        <v/>
      </c>
      <c r="C41" s="1186" t="s">
        <v>299</v>
      </c>
      <c r="E41" s="1185"/>
      <c r="F41" s="1185">
        <v>30</v>
      </c>
      <c r="G41" s="1185">
        <v>3569.08</v>
      </c>
      <c r="H41" s="1124"/>
      <c r="I41" s="1124"/>
      <c r="J41" s="1124"/>
      <c r="K41" s="1124"/>
      <c r="L41" s="1124"/>
      <c r="M41" s="1124"/>
    </row>
    <row r="42" spans="1:41">
      <c r="A42" s="1124" t="str">
        <f>+IF(Parametres!$B$3=$C42,"X","")</f>
        <v/>
      </c>
      <c r="B42" s="1124" t="str">
        <f>+IF(VLOOKUP($C42,Parametres!$K$3:$N$14,4,0)="X","X","")</f>
        <v/>
      </c>
      <c r="C42" s="1186" t="s">
        <v>285</v>
      </c>
      <c r="E42" s="1185"/>
      <c r="F42" s="1185">
        <v>30</v>
      </c>
      <c r="G42" s="1185">
        <v>2969.14</v>
      </c>
      <c r="N42" s="1127"/>
      <c r="O42" s="1127"/>
      <c r="P42" s="1127"/>
      <c r="Q42" s="1127"/>
      <c r="R42" s="1174"/>
      <c r="S42" s="1174"/>
    </row>
    <row r="43" spans="1:41">
      <c r="A43" s="1124" t="str">
        <f>+IF(Parametres!$B$3=$C43,"X","")</f>
        <v/>
      </c>
      <c r="B43" s="1124" t="str">
        <f>+IF(VLOOKUP($C43,Parametres!$K$3:$N$14,4,0)="X","X","")</f>
        <v/>
      </c>
      <c r="C43" s="1186" t="s">
        <v>300</v>
      </c>
      <c r="E43" s="1185"/>
      <c r="F43" s="1185">
        <v>30</v>
      </c>
      <c r="G43" s="1185">
        <v>2322.39</v>
      </c>
      <c r="N43" s="1127"/>
      <c r="O43" s="1127"/>
      <c r="P43" s="1127"/>
      <c r="Q43" s="1127"/>
      <c r="R43" s="1174"/>
      <c r="S43" s="1174"/>
    </row>
    <row r="44" spans="1:41">
      <c r="A44" s="1124" t="str">
        <f>+IF(Parametres!$B$3=$C44,"X","")</f>
        <v/>
      </c>
      <c r="B44" s="1124" t="str">
        <f>+IF(VLOOKUP($C44,Parametres!$K$3:$N$14,4,0)="X","X","")</f>
        <v/>
      </c>
      <c r="C44" s="1186" t="s">
        <v>301</v>
      </c>
      <c r="E44" s="1185"/>
      <c r="F44" s="1185">
        <v>30</v>
      </c>
      <c r="G44" s="1185">
        <v>2796.57</v>
      </c>
      <c r="H44" s="1174"/>
      <c r="I44" s="1175"/>
      <c r="N44" s="1127"/>
      <c r="O44" s="1127"/>
      <c r="P44" s="1127"/>
      <c r="Q44" s="1127"/>
      <c r="R44" s="1174"/>
      <c r="S44" s="1174"/>
    </row>
    <row r="45" spans="1:41">
      <c r="A45" s="1124" t="str">
        <f>+IF(Parametres!$B$3=$C45,"X","")</f>
        <v/>
      </c>
      <c r="B45" s="1124" t="str">
        <f>+IF(VLOOKUP($C45,Parametres!$K$3:$N$14,4,0)="X","X","")</f>
        <v/>
      </c>
      <c r="C45" s="1186" t="s">
        <v>3</v>
      </c>
      <c r="E45" s="1185"/>
      <c r="F45" s="1185">
        <v>30</v>
      </c>
      <c r="G45" s="1185">
        <v>3451.22</v>
      </c>
      <c r="H45" s="1174"/>
      <c r="I45" s="1175"/>
      <c r="N45" s="1127"/>
      <c r="O45" s="1127"/>
      <c r="P45" s="1127"/>
      <c r="Q45" s="1127"/>
      <c r="R45" s="1174"/>
      <c r="S45" s="1174"/>
    </row>
    <row r="46" spans="1:41" ht="18" customHeight="1">
      <c r="A46" s="1124" t="str">
        <f>+IF(Parametres!$B$3=$C46,"X","")</f>
        <v/>
      </c>
      <c r="B46" s="1124" t="str">
        <f>+IF(VLOOKUP($C46,Parametres!$K$3:$N$14,4,0)="X","X","")</f>
        <v/>
      </c>
      <c r="C46" s="1186" t="s">
        <v>302</v>
      </c>
      <c r="E46" s="1185"/>
      <c r="F46" s="1185">
        <v>30</v>
      </c>
      <c r="G46" s="1185">
        <v>2901.53</v>
      </c>
      <c r="H46" s="1174"/>
      <c r="I46" s="1175"/>
      <c r="N46" s="1127"/>
      <c r="O46" s="1127"/>
      <c r="P46" s="1127"/>
      <c r="Q46" s="1127"/>
      <c r="R46" s="1174"/>
      <c r="S46" s="1174"/>
    </row>
    <row r="47" spans="1:41">
      <c r="A47" s="1124" t="str">
        <f>+IF(Parametres!$B$3=$C47,"X","")</f>
        <v/>
      </c>
      <c r="B47" s="1124" t="str">
        <f>+IF(VLOOKUP($C47,Parametres!$K$3:$N$14,4,0)="X","X","")</f>
        <v/>
      </c>
      <c r="C47" s="1187" t="s">
        <v>303</v>
      </c>
      <c r="E47" s="1185"/>
      <c r="F47" s="1185">
        <v>30</v>
      </c>
      <c r="G47" s="1185">
        <v>2924.65</v>
      </c>
    </row>
    <row r="48" spans="1:41">
      <c r="A48" s="1124" t="str">
        <f>+IF(Parametres!$B$3=$C48,"X","")</f>
        <v/>
      </c>
      <c r="B48" s="1124" t="str">
        <f>+IF(VLOOKUP($C48,Parametres!$K$3:$N$14,4,0)="X","X","")</f>
        <v/>
      </c>
      <c r="C48" s="1188" t="s">
        <v>304</v>
      </c>
      <c r="E48" s="1189"/>
      <c r="F48" s="1189">
        <v>30</v>
      </c>
      <c r="G48" s="1189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N468" zoomScale="70" zoomScaleNormal="70" workbookViewId="0">
      <selection activeCell="K105" activeCellId="1" sqref="K97 K105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Avril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" thickTop="1">
      <c r="B3" s="24"/>
      <c r="C3" s="255"/>
      <c r="D3" s="1243" t="s">
        <v>77</v>
      </c>
      <c r="E3" s="1244"/>
      <c r="F3" s="1245"/>
      <c r="G3" s="1246"/>
      <c r="H3" s="1244"/>
      <c r="I3" s="1245"/>
      <c r="J3" s="1246" t="s">
        <v>78</v>
      </c>
      <c r="K3" s="1244"/>
      <c r="L3" s="1245"/>
      <c r="M3" s="1246" t="s">
        <v>2451</v>
      </c>
      <c r="N3" s="1245"/>
      <c r="O3" s="1243" t="s">
        <v>79</v>
      </c>
      <c r="P3" s="1244"/>
      <c r="Q3" s="1245"/>
      <c r="R3" s="1247" t="s">
        <v>2455</v>
      </c>
      <c r="S3" s="124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3032403.5950516532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2814437.6399999997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2399882.7000000002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10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51449.382716049382</v>
      </c>
      <c r="G6" s="187"/>
      <c r="H6" s="184"/>
      <c r="I6" s="184"/>
      <c r="J6" s="187">
        <f>-SUMIFS(BV_Data_An_Cour!$O:$O,BV_Data_An_Cour!$U:$U,$B6,BV_Data_An_Cour!$V:$V,$C6,BV_Data_An_Cour!$W:$W,J$2)</f>
        <v>13</v>
      </c>
      <c r="K6" s="184">
        <f>IF(J6=0,0,L6/J6)</f>
        <v>5336.7323076923158</v>
      </c>
      <c r="L6" s="478">
        <f>-SUMIFS(BV_Data_An_Cour!$O:$O,BV_Data_An_Cour!$U:$U,$B6,BV_Data_An_Cour!$V:$V,$C6,BV_Data_An_Cour!$W:$W,L$2)</f>
        <v>69377.520000000106</v>
      </c>
      <c r="M6" s="187">
        <f t="shared" ref="M6:M12" si="2">J6-D6</f>
        <v>3</v>
      </c>
      <c r="N6" s="185">
        <f t="shared" ref="N6:N12" si="3">L6-F6</f>
        <v>17928.137283950724</v>
      </c>
      <c r="O6" s="187">
        <f>+INDEX('Réel 2023'!$A$2:$AO$501,MATCH($A6,'Réel 2023'!$A$2:$A$501,0),MATCH(O$2,'Réel 2023'!$A$2:$AO$2,0))</f>
        <v>9</v>
      </c>
      <c r="P6" s="184">
        <f t="shared" ref="P6:P12" si="4">IF(O6=0,0,Q6/O6)</f>
        <v>6333.3722222222104</v>
      </c>
      <c r="Q6" s="478">
        <f t="array" ref="Q6">+INDEX('Réel 2023'!$A$2:$AO$501,MATCH($A6,'Réel 2023'!$A$2:$A$501,0),MATCH(Q$2,'Réel 2023'!$A$2:$AO$2,0))</f>
        <v>57000.349999999897</v>
      </c>
      <c r="R6" s="187">
        <f>J6-O6</f>
        <v>4</v>
      </c>
      <c r="S6" s="350">
        <f>L6-Q6</f>
        <v>12377.170000000209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19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102342.05298013244</v>
      </c>
      <c r="G7" s="187"/>
      <c r="H7" s="184"/>
      <c r="I7" s="184"/>
      <c r="J7" s="187">
        <f>-SUMIFS(BV_Data_An_Cour!$O:$O,BV_Data_An_Cour!$U:$U,$B7,BV_Data_An_Cour!$V:$V,$C7,BV_Data_An_Cour!$W:$W,J$2)</f>
        <v>12</v>
      </c>
      <c r="K7" s="184">
        <f t="shared" ref="K7:K12" si="6">IF(J7=0,0,L7/J7)</f>
        <v>4634.9200000000083</v>
      </c>
      <c r="L7" s="478">
        <f>-SUMIFS(BV_Data_An_Cour!$O:$O,BV_Data_An_Cour!$U:$U,$B7,BV_Data_An_Cour!$V:$V,$C7,BV_Data_An_Cour!$W:$W,L$2)</f>
        <v>55619.040000000095</v>
      </c>
      <c r="M7" s="187">
        <f t="shared" si="2"/>
        <v>-7</v>
      </c>
      <c r="N7" s="185">
        <f t="shared" si="3"/>
        <v>-46723.012980132349</v>
      </c>
      <c r="O7" s="187">
        <f t="array" ref="O7">+INDEX('Réel 2023'!$A$2:$AO$501,MATCH($A7,'Réel 2023'!$A$2:$A$501,0),MATCH(O$2,'Réel 2023'!$A$2:$AO$2,0))</f>
        <v>14</v>
      </c>
      <c r="P7" s="184">
        <f t="shared" si="4"/>
        <v>6103.6800000000076</v>
      </c>
      <c r="Q7" s="478">
        <f t="array" ref="Q7">+INDEX('Réel 2023'!$A$2:$AO$501,MATCH($A7,'Réel 2023'!$A$2:$A$501,0),MATCH(Q$2,'Réel 2023'!$A$2:$AO$2,0))</f>
        <v>85451.520000000106</v>
      </c>
      <c r="R7" s="187">
        <f t="shared" ref="R7:R12" si="7">J7-O7</f>
        <v>-2</v>
      </c>
      <c r="S7" s="350">
        <f t="shared" ref="S7:S12" si="8">L7-Q7</f>
        <v>-29832.48000000001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29</v>
      </c>
      <c r="E13" s="351">
        <f>IF(D13&lt;=0,0,F13/D13)</f>
        <v>5303.1529550407531</v>
      </c>
      <c r="F13" s="352">
        <f>+SUM(F6:F12)</f>
        <v>153791.43569618184</v>
      </c>
      <c r="G13" s="353"/>
      <c r="H13" s="351"/>
      <c r="I13" s="352"/>
      <c r="J13" s="353">
        <f>+SUM(J6:J12)</f>
        <v>25</v>
      </c>
      <c r="K13" s="351">
        <f>IF(J13&lt;=0,0,L13/J13)</f>
        <v>4999.8624000000082</v>
      </c>
      <c r="L13" s="352">
        <f>+SUM(L6:L12)</f>
        <v>124996.5600000002</v>
      </c>
      <c r="M13" s="353">
        <f>+SUM(M6:M12)</f>
        <v>-4</v>
      </c>
      <c r="N13" s="352">
        <f t="shared" ref="N13" si="9">+SUM(N6:N12)</f>
        <v>-28794.875696181625</v>
      </c>
      <c r="O13" s="353">
        <f>+SUM(O6:O12)</f>
        <v>23</v>
      </c>
      <c r="P13" s="351">
        <f>IF(O13&lt;=0,0,Q13/O13)</f>
        <v>6193.5595652173915</v>
      </c>
      <c r="Q13" s="352">
        <f t="shared" ref="Q13" si="10">+SUM(Q6:Q12)</f>
        <v>142451.87</v>
      </c>
      <c r="R13" s="353">
        <f>+SUM(R6:R12)</f>
        <v>2</v>
      </c>
      <c r="S13" s="354">
        <f>+SUM(S6:S12)</f>
        <v>-17455.309999999801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-0.13793103448275862</v>
      </c>
      <c r="N14" s="239">
        <f>IF(F13=0,0,N13/F13)</f>
        <v>-0.18723328490844249</v>
      </c>
      <c r="O14" s="228"/>
      <c r="P14" s="184"/>
      <c r="Q14" s="270"/>
      <c r="R14" s="240">
        <f>R13/O13</f>
        <v>8.6956521739130432E-2</v>
      </c>
      <c r="S14" s="267">
        <f>IF(Q13=0,0,(S13/Q13))</f>
        <v>-0.12253479017158428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3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7500</v>
      </c>
      <c r="G15" s="188"/>
      <c r="H15" s="357"/>
      <c r="I15" s="355"/>
      <c r="J15" s="471">
        <f>-SUMIFS(BV_Data_An_Cour!$O:$O,BV_Data_An_Cour!$U:$U,$B15,BV_Data_An_Cour!$V:$V,$C15,BV_Data_An_Cour!$W:$W,J$2)</f>
        <v>5</v>
      </c>
      <c r="K15" s="472">
        <f>IF(J15=0,0,L15/J15)</f>
        <v>3098.8780000000029</v>
      </c>
      <c r="L15" s="472">
        <f>-SUMIFS(BV_Data_An_Cour!$O:$O,BV_Data_An_Cour!$U:$U,$B15,BV_Data_An_Cour!$V:$V,$C15,BV_Data_An_Cour!$W:$W,L$2)</f>
        <v>15494.390000000014</v>
      </c>
      <c r="M15" s="356">
        <f>J15-D15</f>
        <v>2</v>
      </c>
      <c r="N15" s="355">
        <f>L15-F15</f>
        <v>7994.390000000014</v>
      </c>
      <c r="O15" s="471">
        <f t="array" ref="O15">+INDEX('Réel 2023'!$A$2:$AO$501,MATCH($A15,'Réel 2023'!$A$2:$A$501,0),MATCH(O$2,'Réel 2023'!$A$2:$AO$2,0))</f>
        <v>0</v>
      </c>
      <c r="P15" s="472">
        <f>IF(O15=0,0,Q15/O15)</f>
        <v>0</v>
      </c>
      <c r="Q15" s="472">
        <f t="array" ref="Q15">+INDEX('Réel 2023'!$A$2:$AO$501,MATCH($A15,'Réel 2023'!$A$2:$A$501,0),MATCH(Q$2,'Réel 2023'!$A$2:$AO$2,0))</f>
        <v>0</v>
      </c>
      <c r="R15" s="356">
        <f>J15-O15</f>
        <v>5</v>
      </c>
      <c r="S15" s="377">
        <f>L15-Q15</f>
        <v>15494.390000000014</v>
      </c>
      <c r="T15" s="25"/>
      <c r="U15" s="25"/>
      <c r="V15" s="24"/>
      <c r="W15" s="1100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1</v>
      </c>
      <c r="E17" s="184">
        <f>IF(D17=0,0,F17/D17)</f>
        <v>2500</v>
      </c>
      <c r="F17" s="184">
        <f>+INDEX('Budget original'!$A$2:$AO$501,MATCH($A17,'Budget original'!$A$2:$A$501,0),MATCH(F$2,'Budget original'!$A$2:$AO$2,0))</f>
        <v>2500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-1</v>
      </c>
      <c r="N17" s="185">
        <f>L17-F17</f>
        <v>-2500</v>
      </c>
      <c r="O17" s="356">
        <f t="array" ref="O17">+INDEX('Réel 2023'!$A$2:$AO$501,MATCH($A17,'Réel 2023'!$A$2:$A$501,0),MATCH(O$2,'Réel 2023'!$A$2:$AO$2,0))</f>
        <v>1</v>
      </c>
      <c r="P17" s="184">
        <f>IF(O17=0,0,Q17/O17)</f>
        <v>5638.25</v>
      </c>
      <c r="Q17" s="185">
        <f t="array" ref="Q17">+INDEX('Réel 2023'!$A$2:$AO$501,MATCH($A17,'Réel 2023'!$A$2:$A$501,0),MATCH(Q$2,'Réel 2023'!$A$2:$AO$2,0))</f>
        <v>5638.25</v>
      </c>
      <c r="R17" s="187">
        <f>J17-O17</f>
        <v>-1</v>
      </c>
      <c r="S17" s="350">
        <f>L17-Q17</f>
        <v>-5638.25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5546.8032115753886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3495.3899999999994</v>
      </c>
      <c r="M19" s="187"/>
      <c r="N19" s="185">
        <f>L19-F19</f>
        <v>-2051.4132115753891</v>
      </c>
      <c r="O19" s="188"/>
      <c r="P19" s="184"/>
      <c r="Q19" s="185">
        <f t="array" ref="Q19">+INDEX('Réel 2023'!$A$2:$AO$501,MATCH($A19,'Réel 2023'!$A$2:$A$501,0),MATCH(Q$2,'Réel 2023'!$A$2:$AO$2,0))</f>
        <v>8990.9200000000092</v>
      </c>
      <c r="R19" s="187">
        <f>O19-K19</f>
        <v>0</v>
      </c>
      <c r="S19" s="350">
        <f>L19-Q19</f>
        <v>-5495.5300000000097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2720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-2720</v>
      </c>
      <c r="O21" s="187"/>
      <c r="P21" s="184"/>
      <c r="Q21" s="185">
        <f t="array" ref="Q21">+INDEX('Réel 2023'!$A$2:$AO$501,MATCH($A21,'Réel 2023'!$A$2:$A$501,0),MATCH(Q$2,'Réel 2023'!$A$2:$AO$2,0))</f>
        <v>1100</v>
      </c>
      <c r="R21" s="187">
        <f>O21-K21</f>
        <v>0</v>
      </c>
      <c r="S21" s="350">
        <f>L21-Q21</f>
        <v>-1100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32640</v>
      </c>
      <c r="G22" s="228"/>
      <c r="H22" s="184"/>
      <c r="I22" s="184"/>
      <c r="J22" s="187"/>
      <c r="K22" s="184">
        <f>IF(J13=0,0,L22/(J13+J15))</f>
        <v>1293.3413333333335</v>
      </c>
      <c r="L22" s="185">
        <f>-SUMIFS(BV_Data_An_Cour!$O:$O,BV_Data_An_Cour!$U:$U,$B22,BV_Data_An_Cour!$V:$V,$C22,BV_Data_An_Cour!$W:$W,L$2)</f>
        <v>38800.240000000005</v>
      </c>
      <c r="M22" s="187"/>
      <c r="N22" s="185">
        <f>L22-F22</f>
        <v>6160.2400000000052</v>
      </c>
      <c r="O22" s="187"/>
      <c r="P22" s="184"/>
      <c r="Q22" s="185">
        <f t="array" ref="Q22">+INDEX('Réel 2023'!$A$2:$AO$501,MATCH($A22,'Réel 2023'!$A$2:$A$501,0),MATCH(Q$2,'Réel 2023'!$A$2:$AO$2,0))</f>
        <v>32302.3299999999</v>
      </c>
      <c r="R22" s="187">
        <f>O22-K22</f>
        <v>-1293.3413333333335</v>
      </c>
      <c r="S22" s="350">
        <f>L22-Q22</f>
        <v>6497.9100000001054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15840</v>
      </c>
      <c r="G23" s="228"/>
      <c r="H23" s="184"/>
      <c r="I23" s="184"/>
      <c r="J23" s="187"/>
      <c r="K23" s="184">
        <f>IF(J13=0,0,L23/(J13+J15))</f>
        <v>448.63466666666676</v>
      </c>
      <c r="L23" s="185">
        <f>-SUMIFS(BV_Data_An_Cour!$O:$O,BV_Data_An_Cour!$U:$U,$B23,BV_Data_An_Cour!$V:$V,$C23,BV_Data_An_Cour!$W:$W,L$2)</f>
        <v>13459.040000000003</v>
      </c>
      <c r="M23" s="356"/>
      <c r="N23" s="185">
        <f>L23-F23</f>
        <v>-2380.9599999999973</v>
      </c>
      <c r="O23" s="187"/>
      <c r="P23" s="184"/>
      <c r="Q23" s="185">
        <f t="array" ref="Q23">+INDEX('Réel 2023'!$A$2:$AO$501,MATCH($A23,'Réel 2023'!$A$2:$A$501,0),MATCH(Q$2,'Réel 2023'!$A$2:$AO$2,0))</f>
        <v>10404.949999999901</v>
      </c>
      <c r="R23" s="187">
        <f>O23-K23</f>
        <v>-448.63466666666676</v>
      </c>
      <c r="S23" s="350">
        <f>L23-Q23</f>
        <v>3054.090000000102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32</v>
      </c>
      <c r="E24" s="351">
        <f>IF(D24&lt;=0,0,F24/D24)</f>
        <v>1600</v>
      </c>
      <c r="F24" s="352">
        <f>F21+F22+F23</f>
        <v>51200</v>
      </c>
      <c r="G24" s="353"/>
      <c r="H24" s="351"/>
      <c r="I24" s="352"/>
      <c r="J24" s="353">
        <f>+J15+J13</f>
        <v>30</v>
      </c>
      <c r="K24" s="351">
        <f>IF(J24&lt;=0,0,L24/J24)</f>
        <v>1741.9760000000001</v>
      </c>
      <c r="L24" s="352">
        <f>L21+L22+L23</f>
        <v>52259.280000000006</v>
      </c>
      <c r="M24" s="381">
        <f>J24-D24</f>
        <v>-2</v>
      </c>
      <c r="N24" s="352">
        <f>L24-F24</f>
        <v>1059.2800000000061</v>
      </c>
      <c r="O24" s="353">
        <f>+O15+O13</f>
        <v>23</v>
      </c>
      <c r="P24" s="351">
        <f>IF(O24&lt;=0,0,Q24/O24)</f>
        <v>1904.6643478260783</v>
      </c>
      <c r="Q24" s="352">
        <f>Q21+Q22+Q23</f>
        <v>43807.279999999802</v>
      </c>
      <c r="R24" s="361"/>
      <c r="S24" s="354">
        <f>L24-Q24</f>
        <v>8452.0000000002037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2.0689062500000119E-2</v>
      </c>
      <c r="O25" s="228"/>
      <c r="P25" s="183"/>
      <c r="Q25" s="230"/>
      <c r="R25" s="229"/>
      <c r="S25" s="267">
        <f>IF(Q24=0,0,(S24/Q24))</f>
        <v>0.19293596863352944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33</v>
      </c>
      <c r="E27" s="27">
        <f>IF(D27&lt;=0,0,F27/D27)</f>
        <v>6682.9769365987031</v>
      </c>
      <c r="F27" s="28">
        <f>F13+F17+F24+F19+F15</f>
        <v>220538.23890775722</v>
      </c>
      <c r="G27" s="29"/>
      <c r="H27" s="30"/>
      <c r="I27" s="28"/>
      <c r="J27" s="29">
        <f>+J13+J15+J17</f>
        <v>30</v>
      </c>
      <c r="K27" s="30">
        <f>IF(J27&lt;=0,0,L27/J27)</f>
        <v>6541.5206666666745</v>
      </c>
      <c r="L27" s="28">
        <f>L13+L17+L24+L19+L15</f>
        <v>196245.62000000023</v>
      </c>
      <c r="M27" s="29">
        <f>J27-D27</f>
        <v>-3</v>
      </c>
      <c r="N27" s="28">
        <f>L27-F27</f>
        <v>-24292.618907756987</v>
      </c>
      <c r="O27" s="29">
        <f>+O13+O15+O17</f>
        <v>24</v>
      </c>
      <c r="P27" s="30">
        <f>IF(O27&lt;=0,0,Q27/O27)</f>
        <v>8370.3466666666591</v>
      </c>
      <c r="Q27" s="28">
        <f>Q13+Q17+Q24+Q19+Q15</f>
        <v>200888.3199999998</v>
      </c>
      <c r="R27" s="29">
        <f>J27-O27</f>
        <v>6</v>
      </c>
      <c r="S27" s="326">
        <f>L27-Q27</f>
        <v>-4642.6999999995751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-9.0909090909090912E-2</v>
      </c>
      <c r="N28" s="34">
        <f>N27/F27</f>
        <v>-0.110151504918463</v>
      </c>
      <c r="O28" s="31"/>
      <c r="P28" s="328"/>
      <c r="Q28" s="32"/>
      <c r="R28" s="33">
        <f>R27/O27</f>
        <v>0.25</v>
      </c>
      <c r="S28" s="264">
        <f>IF(Q27=0,0,S27/Q27)</f>
        <v>-2.3110850844885254E-2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0.29022397761408575</v>
      </c>
      <c r="E31" s="200">
        <f t="shared" ref="E31:E36" si="11">F31/D$24</f>
        <v>1462.8325632135134</v>
      </c>
      <c r="F31" s="184">
        <f>+INDEX('Budget original'!$A$2:$AO$501,MATCH($A31,'Budget original'!$A$2:$A$501,0),MATCH(F$2,'Budget original'!$A$2:$AO$2,0))</f>
        <v>46810.642022832428</v>
      </c>
      <c r="G31" s="298"/>
      <c r="H31" s="200"/>
      <c r="I31" s="184"/>
      <c r="J31" s="298">
        <f>L31/(L13+L15)</f>
        <v>0.26502027354786867</v>
      </c>
      <c r="K31" s="200">
        <f t="shared" ref="K31:K36" si="12">IF(L31=0,0,L31/J$24)</f>
        <v>1241.0983333333331</v>
      </c>
      <c r="L31" s="184">
        <f>SUMIFS(BV_Data_An_Cour!$O:$O,BV_Data_An_Cour!$U:$U,$B31,BV_Data_An_Cour!$V:$V,$C31,BV_Data_An_Cour!$W:$W,L$2)</f>
        <v>37232.949999999997</v>
      </c>
      <c r="M31" s="228"/>
      <c r="N31" s="230">
        <f t="shared" ref="N31:N53" si="13">L31-F31</f>
        <v>-9577.6920228324307</v>
      </c>
      <c r="O31" s="298">
        <f>Q31/(Q13+Q15+Q17)</f>
        <v>0.27882643352574771</v>
      </c>
      <c r="P31" s="200">
        <f t="shared" ref="P31:P40" si="14">Q31/O$24</f>
        <v>1795.2800000000002</v>
      </c>
      <c r="Q31" s="185">
        <f t="array" ref="Q31">+INDEX('Réel 2023'!$A$2:$AO$501,MATCH($A31,'Réel 2023'!$A$2:$A$501,0),MATCH(Q$2,'Réel 2023'!$A$2:$AO$2,0))</f>
        <v>41291.440000000002</v>
      </c>
      <c r="R31" s="228"/>
      <c r="S31" s="202">
        <f t="shared" ref="S31:S41" si="15">L31-Q31</f>
        <v>-4058.4900000000052</v>
      </c>
      <c r="T31" s="25"/>
      <c r="U31" s="25"/>
      <c r="V31" s="24" t="s">
        <v>2910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12800</v>
      </c>
      <c r="G32" s="325"/>
      <c r="H32" s="193"/>
      <c r="I32" s="182"/>
      <c r="J32" s="325">
        <f>L32/L24</f>
        <v>0.40734219836170721</v>
      </c>
      <c r="K32" s="363">
        <f t="shared" si="12"/>
        <v>709.58033333333333</v>
      </c>
      <c r="L32" s="182">
        <f>SUMIFS(BV_Data_An_Cour!$O:$O,BV_Data_An_Cour!$U:$U,$B32,BV_Data_An_Cour!$V:$V,$C32,BV_Data_An_Cour!$W:$W,L$2)</f>
        <v>21287.41</v>
      </c>
      <c r="M32" s="283"/>
      <c r="N32" s="284">
        <f t="shared" si="13"/>
        <v>8487.41</v>
      </c>
      <c r="O32" s="325">
        <f>Q32/Q24</f>
        <v>0.24755200505486871</v>
      </c>
      <c r="P32" s="363">
        <f t="shared" si="14"/>
        <v>471.50347826086954</v>
      </c>
      <c r="Q32" s="182">
        <f t="array" ref="Q32">+INDEX('Réel 2023'!$A$2:$AO$501,MATCH($A32,'Réel 2023'!$A$2:$A$501,0),MATCH(Q$2,'Réel 2023'!$A$2:$AO$2,0))</f>
        <v>10844.58</v>
      </c>
      <c r="R32" s="283"/>
      <c r="S32" s="205">
        <f t="shared" si="15"/>
        <v>10442.83</v>
      </c>
      <c r="T32" s="25"/>
      <c r="U32" s="25"/>
      <c r="V32" s="24" t="s">
        <v>2886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3200</v>
      </c>
      <c r="G33" s="274"/>
      <c r="H33" s="200"/>
      <c r="I33" s="184"/>
      <c r="J33" s="228"/>
      <c r="K33" s="200">
        <f t="shared" si="12"/>
        <v>73.194666666666677</v>
      </c>
      <c r="L33" s="184">
        <f>SUMIFS(BV_Data_An_Cour!$O:$O,BV_Data_An_Cour!$U:$U,$B33,BV_Data_An_Cour!$V:$V,$C33,BV_Data_An_Cour!$W:$W,L$2)</f>
        <v>2195.84</v>
      </c>
      <c r="M33" s="228"/>
      <c r="N33" s="230">
        <f t="shared" si="13"/>
        <v>-1004.1599999999999</v>
      </c>
      <c r="O33" s="228"/>
      <c r="P33" s="200">
        <f t="shared" si="14"/>
        <v>88.415217391304353</v>
      </c>
      <c r="Q33" s="185">
        <f t="array" ref="Q33">+INDEX('Réel 2023'!$A$2:$AO$501,MATCH($A33,'Réel 2023'!$A$2:$A$501,0),MATCH(Q$2,'Réel 2023'!$A$2:$AO$2,0))</f>
        <v>2033.55</v>
      </c>
      <c r="R33" s="228"/>
      <c r="S33" s="202">
        <f t="shared" si="15"/>
        <v>162.29000000000019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1440</v>
      </c>
      <c r="G34" s="274"/>
      <c r="H34" s="200"/>
      <c r="I34" s="184"/>
      <c r="J34" s="228"/>
      <c r="K34" s="200">
        <f t="shared" si="12"/>
        <v>26.899000000000001</v>
      </c>
      <c r="L34" s="184">
        <f>SUMIFS(BV_Data_An_Cour!$O:$O,BV_Data_An_Cour!$U:$U,$B34,BV_Data_An_Cour!$V:$V,$C34,BV_Data_An_Cour!$W:$W,L$2)</f>
        <v>806.97</v>
      </c>
      <c r="M34" s="228"/>
      <c r="N34" s="230">
        <f t="shared" si="13"/>
        <v>-633.03</v>
      </c>
      <c r="O34" s="228"/>
      <c r="P34" s="200">
        <f t="shared" si="14"/>
        <v>32.10478260869565</v>
      </c>
      <c r="Q34" s="185">
        <f t="array" ref="Q34">+INDEX('Réel 2023'!$A$2:$AO$501,MATCH($A34,'Réel 2023'!$A$2:$A$501,0),MATCH(Q$2,'Réel 2023'!$A$2:$AO$2,0))</f>
        <v>738.41</v>
      </c>
      <c r="R34" s="228"/>
      <c r="S34" s="202">
        <f t="shared" si="15"/>
        <v>68.560000000000059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44.6875</v>
      </c>
      <c r="F35" s="182">
        <f>+INDEX('Budget original'!$A$2:$AO$501,MATCH($A35,'Budget original'!$A$2:$A$501,0),MATCH(F$2,'Budget original'!$A$2:$AO$2,0))</f>
        <v>1430</v>
      </c>
      <c r="G35" s="282"/>
      <c r="H35" s="193"/>
      <c r="I35" s="182"/>
      <c r="J35" s="283"/>
      <c r="K35" s="363">
        <f t="shared" si="12"/>
        <v>62.396000000000001</v>
      </c>
      <c r="L35" s="182">
        <f>SUMIFS(BV_Data_An_Cour!$O:$O,BV_Data_An_Cour!$U:$U,$B35,BV_Data_An_Cour!$V:$V,$C35,BV_Data_An_Cour!$W:$W,L$2)</f>
        <v>1871.88</v>
      </c>
      <c r="M35" s="283"/>
      <c r="N35" s="284">
        <f t="shared" si="13"/>
        <v>441.88000000000011</v>
      </c>
      <c r="O35" s="283"/>
      <c r="P35" s="363">
        <f t="shared" si="14"/>
        <v>25.156521739130437</v>
      </c>
      <c r="Q35" s="185">
        <f t="array" ref="Q35">+INDEX('Réel 2023'!$A$2:$AO$501,MATCH($A35,'Réel 2023'!$A$2:$A$501,0),MATCH(Q$2,'Réel 2023'!$A$2:$AO$2,0))</f>
        <v>578.6</v>
      </c>
      <c r="R35" s="283"/>
      <c r="S35" s="205">
        <f t="shared" si="15"/>
        <v>1293.2800000000002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15891.5</v>
      </c>
      <c r="G36" s="274"/>
      <c r="H36" s="200"/>
      <c r="I36" s="184"/>
      <c r="J36" s="228"/>
      <c r="K36" s="200">
        <f t="shared" si="12"/>
        <v>512.11266666666666</v>
      </c>
      <c r="L36" s="553">
        <f>SUMIFS(BV_Data_An_Cour!$O:$O,BV_Data_An_Cour!$U:$U,$B36,BV_Data_An_Cour!$V:$V,$C36,BV_Data_An_Cour!$W:$W,L$2)</f>
        <v>15363.380000000001</v>
      </c>
      <c r="M36" s="183"/>
      <c r="N36" s="230">
        <f t="shared" si="13"/>
        <v>-528.11999999999898</v>
      </c>
      <c r="O36" s="228"/>
      <c r="P36" s="200">
        <f t="shared" si="14"/>
        <v>727.05478260869563</v>
      </c>
      <c r="Q36" s="379">
        <f t="array" ref="Q36">+INDEX('Réel 2023'!$A$2:$AO$501,MATCH($A36,'Réel 2023'!$A$2:$A$501,0),MATCH(Q$2,'Réel 2023'!$A$2:$AO$2,0))</f>
        <v>16722.259999999998</v>
      </c>
      <c r="R36" s="228"/>
      <c r="S36" s="202">
        <f t="shared" si="15"/>
        <v>-1358.8799999999974</v>
      </c>
      <c r="T36" s="25"/>
      <c r="U36" s="25"/>
      <c r="V36" s="24">
        <v>15363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960.50061051781245</v>
      </c>
      <c r="F37" s="184">
        <f>+INDEX('Budget original'!$A$2:$AO$501,MATCH($A37,'Budget original'!$A$2:$A$501,0),MATCH(F$2,'Budget original'!$A$2:$AO$2,0))</f>
        <v>30736.019536569998</v>
      </c>
      <c r="G37" s="274"/>
      <c r="H37" s="200"/>
      <c r="I37" s="184"/>
      <c r="J37" s="228"/>
      <c r="K37" s="200">
        <f>IF(L37=0,0,L37/J$24)</f>
        <v>1210.5003333333334</v>
      </c>
      <c r="L37" s="554">
        <f>SUMIFS(BV_Data_An_Cour!$O:$O,BV_Data_An_Cour!$U:$U,$B37,BV_Data_An_Cour!$V:$V,$C37,BV_Data_An_Cour!$W:$W,L$2)</f>
        <v>36315.01</v>
      </c>
      <c r="M37" s="183"/>
      <c r="N37" s="230">
        <f t="shared" si="13"/>
        <v>5578.9904634300037</v>
      </c>
      <c r="O37" s="228"/>
      <c r="P37" s="200">
        <f t="shared" si="14"/>
        <v>227.60826086956521</v>
      </c>
      <c r="Q37" s="185">
        <f t="array" ref="Q37">+INDEX('Réel 2023'!$A$2:$AO$501,MATCH($A37,'Réel 2023'!$A$2:$A$501,0),MATCH(Q$2,'Réel 2023'!$A$2:$AO$2,0))</f>
        <v>5234.99</v>
      </c>
      <c r="R37" s="228"/>
      <c r="S37" s="202">
        <f>L37-Q37</f>
        <v>31080.020000000004</v>
      </c>
      <c r="T37" s="25"/>
      <c r="U37" s="25"/>
      <c r="V37" s="1100">
        <v>36315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0.50924575309761433</v>
      </c>
      <c r="F41" s="41">
        <f>SUM(F31:F40)</f>
        <v>112308.16155940242</v>
      </c>
      <c r="G41" s="42"/>
      <c r="H41" s="40"/>
      <c r="I41" s="41"/>
      <c r="J41" s="42" t="s">
        <v>108</v>
      </c>
      <c r="K41" s="40">
        <f>L41/L$27</f>
        <v>0.58637456469092086</v>
      </c>
      <c r="L41" s="41">
        <f>SUM(L31:L40)</f>
        <v>115073.44</v>
      </c>
      <c r="M41" s="512"/>
      <c r="N41" s="41">
        <f t="shared" si="13"/>
        <v>2765.2784405975835</v>
      </c>
      <c r="O41" s="42" t="s">
        <v>108</v>
      </c>
      <c r="P41" s="40">
        <f>Q41/Q$27</f>
        <v>0.38550688263011057</v>
      </c>
      <c r="Q41" s="511">
        <f>SUM(Q31:Q40)</f>
        <v>77443.830000000016</v>
      </c>
      <c r="R41" s="44"/>
      <c r="S41" s="290">
        <f t="shared" si="15"/>
        <v>37629.609999999986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12551.695547073792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12302.2</v>
      </c>
      <c r="M42" s="228"/>
      <c r="N42" s="230">
        <f t="shared" si="13"/>
        <v>-249.49554707379139</v>
      </c>
      <c r="O42" s="228"/>
      <c r="P42" s="183"/>
      <c r="Q42" s="185">
        <f t="array" ref="Q42">+INDEX('Réel 2023'!$A$2:$AO$501,MATCH($A42,'Réel 2023'!$A$2:$A$501,0),MATCH(Q$2,'Réel 2023'!$A$2:$AO$2,0))</f>
        <v>13604.22</v>
      </c>
      <c r="R42" s="228"/>
      <c r="S42" s="202">
        <f t="shared" ref="S42:S53" si="16">L42-Q42</f>
        <v>-1302.0199999999986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8725.6839694656483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8037.27</v>
      </c>
      <c r="M43" s="228"/>
      <c r="N43" s="230">
        <f t="shared" si="13"/>
        <v>-688.41396946564782</v>
      </c>
      <c r="O43" s="228"/>
      <c r="P43" s="183"/>
      <c r="Q43" s="185">
        <f t="array" ref="Q43">+INDEX('Réel 2023'!$A$2:$AO$501,MATCH($A43,'Réel 2023'!$A$2:$A$501,0),MATCH(Q$2,'Réel 2023'!$A$2:$AO$2,0))</f>
        <v>6649.17</v>
      </c>
      <c r="R43" s="228"/>
      <c r="S43" s="202">
        <f t="shared" si="16"/>
        <v>1388.1000000000004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9076.1105071423463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4466.22</v>
      </c>
      <c r="M49" s="228"/>
      <c r="N49" s="230">
        <f t="shared" si="13"/>
        <v>-4609.890507142346</v>
      </c>
      <c r="O49" s="228"/>
      <c r="P49" s="183"/>
      <c r="Q49" s="182">
        <f t="array" ref="Q49">+INDEX('Réel 2023'!$A$2:$AO$501,MATCH($A49,'Réel 2023'!$A$2:$A$501,0),MATCH(Q$2,'Réel 2023'!$A$2:$AO$2,0))</f>
        <v>5562.25</v>
      </c>
      <c r="R49" s="228"/>
      <c r="S49" s="202">
        <f t="shared" si="16"/>
        <v>-1096.0299999999997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11970.580661415643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10796.69</v>
      </c>
      <c r="M50" s="278"/>
      <c r="N50" s="279">
        <f t="shared" si="13"/>
        <v>-1173.8906614156422</v>
      </c>
      <c r="O50" s="278"/>
      <c r="P50" s="276"/>
      <c r="Q50" s="185">
        <f t="array" ref="Q50">+INDEX('Réel 2023'!$A$2:$AO$501,MATCH($A50,'Réel 2023'!$A$2:$A$501,0),MATCH(Q$2,'Réel 2023'!$A$2:$AO$2,0))</f>
        <v>10343.44</v>
      </c>
      <c r="R50" s="278"/>
      <c r="S50" s="204">
        <f t="shared" si="16"/>
        <v>453.25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5457.1764779983077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4198.83</v>
      </c>
      <c r="M51" s="228"/>
      <c r="N51" s="230">
        <f t="shared" si="13"/>
        <v>-1258.3464779983078</v>
      </c>
      <c r="O51" s="228"/>
      <c r="P51" s="183"/>
      <c r="Q51" s="185">
        <f t="array" ref="Q51">+INDEX('Réel 2023'!$A$2:$AO$501,MATCH($A51,'Réel 2023'!$A$2:$A$501,0),MATCH(Q$2,'Réel 2023'!$A$2:$AO$2,0))</f>
        <v>3409.51</v>
      </c>
      <c r="R51" s="228"/>
      <c r="S51" s="202">
        <f t="shared" si="16"/>
        <v>789.31999999999971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1232.2656563221985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1249.8</v>
      </c>
      <c r="M52" s="228"/>
      <c r="N52" s="230">
        <f t="shared" si="13"/>
        <v>17.534343677801417</v>
      </c>
      <c r="O52" s="228"/>
      <c r="P52" s="183"/>
      <c r="Q52" s="185">
        <f t="array" ref="Q52">+INDEX('Réel 2023'!$A$2:$AO$501,MATCH($A52,'Réel 2023'!$A$2:$A$501,0),MATCH(Q$2,'Réel 2023'!$A$2:$AO$2,0))</f>
        <v>900.84</v>
      </c>
      <c r="R52" s="228"/>
      <c r="S52" s="202">
        <f t="shared" si="16"/>
        <v>348.95999999999992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0.22379571481053437</v>
      </c>
      <c r="F54" s="41">
        <f>+SUM(F42:F53)</f>
        <v>49355.512819417927</v>
      </c>
      <c r="G54" s="42"/>
      <c r="H54" s="40"/>
      <c r="I54" s="41"/>
      <c r="J54" s="42" t="s">
        <v>108</v>
      </c>
      <c r="K54" s="40">
        <f>L54/L$27</f>
        <v>0.21092450369083376</v>
      </c>
      <c r="L54" s="41">
        <f>+SUM(L42:L53)</f>
        <v>41393.010000000009</v>
      </c>
      <c r="M54" s="44"/>
      <c r="N54" s="41">
        <f>+SUM(N42:N53)</f>
        <v>-7962.502819417934</v>
      </c>
      <c r="O54" s="42" t="s">
        <v>108</v>
      </c>
      <c r="P54" s="40">
        <f>Q54/Q$27</f>
        <v>0.20315481756231543</v>
      </c>
      <c r="Q54" s="41">
        <f>+SUM(Q42:Q53)</f>
        <v>40811.43</v>
      </c>
      <c r="R54" s="44"/>
      <c r="S54" s="290">
        <f>+SUM(S42:S53)</f>
        <v>581.58000000000163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4993.4399999999996</v>
      </c>
      <c r="M57" s="283"/>
      <c r="N57" s="284">
        <f t="shared" si="17"/>
        <v>-86.64333333333434</v>
      </c>
      <c r="O57" s="283"/>
      <c r="P57" s="281"/>
      <c r="Q57" s="182">
        <f t="array" ref="Q57">+INDEX('Réel 2023'!$A$2:$AO$501,MATCH($A57,'Réel 2023'!$A$2:$A$501,0),MATCH(Q$2,'Réel 2023'!$A$2:$AO$2,0))</f>
        <v>3938.31</v>
      </c>
      <c r="R57" s="283"/>
      <c r="S57" s="205">
        <f t="shared" si="18"/>
        <v>1055.1299999999997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4537.54</v>
      </c>
      <c r="M58" s="228"/>
      <c r="N58" s="230">
        <f t="shared" si="17"/>
        <v>-455.51000000000022</v>
      </c>
      <c r="O58" s="228"/>
      <c r="P58" s="183"/>
      <c r="Q58" s="185">
        <f t="array" ref="Q58">+INDEX('Réel 2023'!$A$2:$AO$501,MATCH($A58,'Réel 2023'!$A$2:$A$501,0),MATCH(Q$2,'Réel 2023'!$A$2:$AO$2,0))</f>
        <v>4620.97</v>
      </c>
      <c r="R58" s="228"/>
      <c r="S58" s="202">
        <f t="shared" si="18"/>
        <v>-83.430000000000291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1481.23</v>
      </c>
      <c r="M59" s="228"/>
      <c r="N59" s="230">
        <f t="shared" si="17"/>
        <v>658.63</v>
      </c>
      <c r="O59" s="228"/>
      <c r="P59" s="183"/>
      <c r="Q59" s="185">
        <f t="array" ref="Q59">+INDEX('Réel 2023'!$A$2:$AO$501,MATCH($A59,'Réel 2023'!$A$2:$A$501,0),MATCH(Q$2,'Réel 2023'!$A$2:$AO$2,0))</f>
        <v>524.23</v>
      </c>
      <c r="R59" s="228"/>
      <c r="S59" s="202">
        <f t="shared" si="18"/>
        <v>957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3008.26</v>
      </c>
      <c r="M60" s="283"/>
      <c r="N60" s="284">
        <f t="shared" si="17"/>
        <v>253.80999999999995</v>
      </c>
      <c r="O60" s="283"/>
      <c r="P60" s="281"/>
      <c r="Q60" s="182">
        <f t="array" ref="Q60">+INDEX('Réel 2023'!$A$2:$AO$501,MATCH($A60,'Réel 2023'!$A$2:$A$501,0),MATCH(Q$2,'Réel 2023'!$A$2:$AO$2,0))</f>
        <v>3346.33</v>
      </c>
      <c r="R60" s="283"/>
      <c r="S60" s="205">
        <f t="shared" si="18"/>
        <v>-338.06999999999971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100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2.4900000000000002</v>
      </c>
      <c r="M61" s="228"/>
      <c r="N61" s="230">
        <f t="shared" si="17"/>
        <v>-97.51</v>
      </c>
      <c r="O61" s="228"/>
      <c r="P61" s="183"/>
      <c r="Q61" s="185">
        <f t="array" ref="Q61">+INDEX('Réel 2023'!$A$2:$AO$501,MATCH($A61,'Réel 2023'!$A$2:$A$501,0),MATCH(Q$2,'Réel 2023'!$A$2:$AO$2,0))</f>
        <v>20.69</v>
      </c>
      <c r="R61" s="228"/>
      <c r="S61" s="202">
        <f t="shared" si="18"/>
        <v>-18.200000000000003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83.14</v>
      </c>
      <c r="R62" s="228"/>
      <c r="S62" s="202">
        <f t="shared" si="18"/>
        <v>-83.14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431.9</v>
      </c>
      <c r="M63" s="228"/>
      <c r="N63" s="230">
        <f t="shared" si="17"/>
        <v>-355.6</v>
      </c>
      <c r="O63" s="228"/>
      <c r="P63" s="183"/>
      <c r="Q63" s="478">
        <f t="array" ref="Q63">+INDEX('Réel 2023'!$A$2:$AO$501,MATCH($A63,'Réel 2023'!$A$2:$A$501,0),MATCH(Q$2,'Réel 2023'!$A$2:$AO$2,0))</f>
        <v>578.44000000000005</v>
      </c>
      <c r="R63" s="228"/>
      <c r="S63" s="202">
        <f t="shared" si="18"/>
        <v>-146.54000000000008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235.92</v>
      </c>
      <c r="M64" s="228"/>
      <c r="N64" s="230">
        <f t="shared" si="17"/>
        <v>25.519999999999982</v>
      </c>
      <c r="O64" s="228"/>
      <c r="P64" s="183"/>
      <c r="Q64" s="185">
        <f t="array" ref="Q64">+INDEX('Réel 2023'!$A$2:$AO$501,MATCH($A64,'Réel 2023'!$A$2:$A$501,0),MATCH(Q$2,'Réel 2023'!$A$2:$AO$2,0))</f>
        <v>173.28</v>
      </c>
      <c r="R64" s="228"/>
      <c r="S64" s="202">
        <f t="shared" si="18"/>
        <v>62.639999999999986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258.2</v>
      </c>
      <c r="M65" s="228"/>
      <c r="N65" s="230">
        <f t="shared" si="17"/>
        <v>33.199999999999989</v>
      </c>
      <c r="O65" s="228"/>
      <c r="P65" s="183"/>
      <c r="Q65" s="185">
        <f t="array" ref="Q65">+INDEX('Réel 2023'!$A$2:$AO$501,MATCH($A65,'Réel 2023'!$A$2:$A$501,0),MATCH(Q$2,'Réel 2023'!$A$2:$AO$2,0))</f>
        <v>295.54000000000002</v>
      </c>
      <c r="R65" s="228"/>
      <c r="S65" s="202">
        <f t="shared" si="18"/>
        <v>-37.340000000000032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832.95</v>
      </c>
      <c r="M66" s="228"/>
      <c r="N66" s="230">
        <f t="shared" si="17"/>
        <v>-3.1499999999999773</v>
      </c>
      <c r="O66" s="228"/>
      <c r="P66" s="183"/>
      <c r="Q66" s="185">
        <f t="array" ref="Q66">+INDEX('Réel 2023'!$A$2:$AO$501,MATCH($A66,'Réel 2023'!$A$2:$A$501,0),MATCH(Q$2,'Réel 2023'!$A$2:$AO$2,0))</f>
        <v>858.09</v>
      </c>
      <c r="R66" s="228"/>
      <c r="S66" s="202">
        <f t="shared" si="18"/>
        <v>-25.139999999999986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518.23</v>
      </c>
      <c r="M67" s="228"/>
      <c r="N67" s="230">
        <f t="shared" si="17"/>
        <v>36.066186666666852</v>
      </c>
      <c r="O67" s="228"/>
      <c r="P67" s="183"/>
      <c r="Q67" s="185">
        <f t="array" ref="Q67">+INDEX('Réel 2023'!$A$2:$AO$501,MATCH($A67,'Réel 2023'!$A$2:$A$501,0),MATCH(Q$2,'Réel 2023'!$A$2:$AO$2,0))</f>
        <v>260.10000000000002</v>
      </c>
      <c r="R67" s="228"/>
      <c r="S67" s="202">
        <f>L67-Q67</f>
        <v>258.13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3524.264134770599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4388.05</v>
      </c>
      <c r="M68" s="228"/>
      <c r="N68" s="230">
        <f t="shared" si="17"/>
        <v>863.78586522940122</v>
      </c>
      <c r="O68" s="228"/>
      <c r="P68" s="183"/>
      <c r="Q68" s="185">
        <f t="array" ref="Q68">+INDEX('Réel 2023'!$A$2:$AO$501,MATCH($A68,'Réel 2023'!$A$2:$A$501,0),MATCH(Q$2,'Réel 2023'!$A$2:$AO$2,0))</f>
        <v>3314.97</v>
      </c>
      <c r="R68" s="228"/>
      <c r="S68" s="202">
        <f>L68-Q68</f>
        <v>1073.0800000000004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8.9919151343779716E-2</v>
      </c>
      <c r="F72" s="41">
        <f>+SUM(F55:F71)</f>
        <v>19830.611281437268</v>
      </c>
      <c r="G72" s="42"/>
      <c r="H72" s="40"/>
      <c r="I72" s="41"/>
      <c r="J72" s="42" t="s">
        <v>108</v>
      </c>
      <c r="K72" s="40">
        <f>L72/L$27</f>
        <v>0.10541998338612589</v>
      </c>
      <c r="L72" s="41">
        <f>+SUM(L55:L71)</f>
        <v>20688.21</v>
      </c>
      <c r="M72" s="44"/>
      <c r="N72" s="41">
        <f>+SUM(N55:N71)</f>
        <v>857.59871856273344</v>
      </c>
      <c r="O72" s="42" t="s">
        <v>108</v>
      </c>
      <c r="P72" s="40">
        <f>Q72/Q$27</f>
        <v>8.9672162124707008E-2</v>
      </c>
      <c r="Q72" s="41">
        <f>+SUM(Q55:Q71)</f>
        <v>18014.090000000004</v>
      </c>
      <c r="R72" s="44"/>
      <c r="S72" s="290">
        <f>+SUM(S55:S71)</f>
        <v>2674.12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0.82296061925192843</v>
      </c>
      <c r="F74" s="41">
        <f>F41+F54+F72</f>
        <v>181494.28566025762</v>
      </c>
      <c r="G74" s="42"/>
      <c r="H74" s="40"/>
      <c r="I74" s="41"/>
      <c r="J74" s="42" t="s">
        <v>108</v>
      </c>
      <c r="K74" s="40">
        <f>L74/L$27</f>
        <v>0.90271905176788048</v>
      </c>
      <c r="L74" s="41">
        <f>L41+L54+L72</f>
        <v>177154.66</v>
      </c>
      <c r="M74" s="44"/>
      <c r="N74" s="46">
        <f t="shared" ref="N74:N82" si="19">L74-F74</f>
        <v>-4339.6256602576177</v>
      </c>
      <c r="O74" s="42" t="s">
        <v>108</v>
      </c>
      <c r="P74" s="40">
        <f>Q74/Q$27</f>
        <v>0.67833386231713289</v>
      </c>
      <c r="Q74" s="41">
        <f>Q41+Q54+Q72</f>
        <v>136269.35</v>
      </c>
      <c r="R74" s="44"/>
      <c r="S74" s="286">
        <f>L74-Q74</f>
        <v>40885.31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48049.457076923092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56342.42</v>
      </c>
      <c r="M75" s="228"/>
      <c r="N75" s="230">
        <f t="shared" si="19"/>
        <v>8292.962923076906</v>
      </c>
      <c r="O75" s="228"/>
      <c r="P75" s="183"/>
      <c r="Q75" s="478">
        <f>+INDEX('Réel 2023'!$A$2:$AO$501,MATCH($A75,'Réel 2023'!$A$2:$A$501,0),MATCH(Q$2,'Réel 2023'!$A$2:$AO$2,0))</f>
        <v>44091.88</v>
      </c>
      <c r="R75" s="228"/>
      <c r="S75" s="202">
        <f>L75-Q75</f>
        <v>12250.54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54913.665230769249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47079</v>
      </c>
      <c r="M78" s="228"/>
      <c r="N78" s="230">
        <f t="shared" si="19"/>
        <v>-7834.6652307692493</v>
      </c>
      <c r="O78" s="228"/>
      <c r="P78" s="183"/>
      <c r="Q78" s="478">
        <f t="array" ref="Q78">+INDEX('Réel 2023'!$A$2:$AO$501,MATCH($A78,'Réel 2023'!$A$2:$A$501,0),MATCH(Q$2,'Réel 2023'!$A$2:$AO$2,0))</f>
        <v>48030.400000000001</v>
      </c>
      <c r="R78" s="228"/>
      <c r="S78" s="202">
        <f t="shared" si="20"/>
        <v>-951.40000000000146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18849.599999999999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17850</v>
      </c>
      <c r="M82" s="228"/>
      <c r="N82" s="230">
        <f t="shared" si="19"/>
        <v>-999.59999999999854</v>
      </c>
      <c r="O82" s="228"/>
      <c r="P82" s="183"/>
      <c r="Q82" s="478">
        <f t="array" ref="Q82">+INDEX('Réel 2023'!$A$2:$AO$501,MATCH($A82,'Réel 2023'!$A$2:$A$501,0),MATCH(Q$2,'Réel 2023'!$A$2:$AO$2,0))</f>
        <v>13685</v>
      </c>
      <c r="R82" s="228"/>
      <c r="S82" s="202">
        <f t="shared" si="20"/>
        <v>4165</v>
      </c>
      <c r="T82" s="25"/>
      <c r="U82" s="2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121812.72230769234</v>
      </c>
      <c r="G83" s="42"/>
      <c r="H83" s="40"/>
      <c r="I83" s="41"/>
      <c r="J83" s="42"/>
      <c r="K83" s="40"/>
      <c r="L83" s="41">
        <f>+SUM(L75:L82)</f>
        <v>121271.42</v>
      </c>
      <c r="M83" s="44"/>
      <c r="N83" s="41">
        <f>+SUM(N75:N82)</f>
        <v>-541.30230769234186</v>
      </c>
      <c r="O83" s="42"/>
      <c r="P83" s="40"/>
      <c r="Q83" s="41">
        <f>+SUM(Q75:Q82)</f>
        <v>105807.28</v>
      </c>
      <c r="R83" s="44"/>
      <c r="S83" s="290">
        <f>+SUM(S75:S82)</f>
        <v>15464.14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160856.67555519193</v>
      </c>
      <c r="G85" s="384"/>
      <c r="H85" s="314"/>
      <c r="I85" s="311"/>
      <c r="J85" s="384"/>
      <c r="K85" s="310"/>
      <c r="L85" s="311">
        <f>L27-L74+L83</f>
        <v>140362.38000000024</v>
      </c>
      <c r="M85" s="384"/>
      <c r="N85" s="311">
        <f>N27-N41-N54-N72+N83</f>
        <v>-20494.295555191715</v>
      </c>
      <c r="O85" s="384"/>
      <c r="P85" s="310"/>
      <c r="Q85" s="311">
        <f>Q27-Q74+Q83</f>
        <v>170426.2499999998</v>
      </c>
      <c r="R85" s="384"/>
      <c r="S85" s="315">
        <f>S27-S41-S54-S72+S83</f>
        <v>-30063.869999999566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Avril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43" t="s">
        <v>77</v>
      </c>
      <c r="E91" s="1244"/>
      <c r="F91" s="1245"/>
      <c r="G91" s="1246"/>
      <c r="H91" s="1244"/>
      <c r="I91" s="1245"/>
      <c r="J91" s="1246" t="s">
        <v>78</v>
      </c>
      <c r="K91" s="1244"/>
      <c r="L91" s="1245"/>
      <c r="M91" s="1246" t="s">
        <v>2451</v>
      </c>
      <c r="N91" s="1245"/>
      <c r="O91" s="1243" t="s">
        <v>79</v>
      </c>
      <c r="P91" s="1244"/>
      <c r="Q91" s="1245"/>
      <c r="R91" s="1247" t="s">
        <v>2455</v>
      </c>
      <c r="S91" s="124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1661741.3793103448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1837134.1600000001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1647548.1299999901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7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21000</v>
      </c>
      <c r="G94" s="187"/>
      <c r="H94" s="184"/>
      <c r="I94" s="184"/>
      <c r="J94" s="187">
        <f>-SUMIFS(BV_Data_An_Cour!$O:$O,BV_Data_An_Cour!$U:$U,$B94,BV_Data_An_Cour!$V:$V,$C94,BV_Data_An_Cour!$W:$W,J$2)</f>
        <v>7</v>
      </c>
      <c r="K94" s="184">
        <f>IF(J94=0,0,L94/J94)</f>
        <v>1622.3442857142848</v>
      </c>
      <c r="L94" s="185">
        <f>-SUMIFS(BV_Data_An_Cour!$O:$O,BV_Data_An_Cour!$U:$U,$B94,BV_Data_An_Cour!$V:$V,$C94,BV_Data_An_Cour!$W:$W,$L2)</f>
        <v>11356.409999999993</v>
      </c>
      <c r="M94" s="187">
        <f>J94-D94</f>
        <v>0</v>
      </c>
      <c r="N94" s="185">
        <f>L94-F94</f>
        <v>-9643.5900000000074</v>
      </c>
      <c r="O94" s="187">
        <f t="array" ref="O94">+INDEX('Réel 2023'!$A$2:$AO$501,MATCH($A94,'Réel 2023'!$A$2:$A$501,0),MATCH(O$2,'Réel 2023'!$A$2:$AO$2,0))</f>
        <v>3</v>
      </c>
      <c r="P94" s="184">
        <f t="shared" ref="P94:P96" si="22">IF(O94=0,0,Q94/O94)</f>
        <v>2381.7333333333368</v>
      </c>
      <c r="Q94" s="185">
        <f t="array" ref="Q94">+INDEX('Réel 2023'!$A$2:$AO$501,MATCH($A94,'Réel 2023'!$A$2:$A$501,0),MATCH(Q$2,'Réel 2023'!$A$2:$AO$2,0))</f>
        <v>7145.2000000000098</v>
      </c>
      <c r="R94" s="187">
        <f>J94-O94</f>
        <v>4</v>
      </c>
      <c r="S94" s="350">
        <f>L94-Q94</f>
        <v>4211.2099999999828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5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11000</v>
      </c>
      <c r="G95" s="187"/>
      <c r="H95" s="184"/>
      <c r="I95" s="184"/>
      <c r="J95" s="187">
        <f>-SUMIFS(BV_Data_An_Cour!$O:$O,BV_Data_An_Cour!$U:$U,$B95,BV_Data_An_Cour!$V:$V,$C95,BV_Data_An_Cour!$W:$W,J$2)</f>
        <v>9</v>
      </c>
      <c r="K95" s="184">
        <f>IF(J95=0,0,L95/J95)</f>
        <v>1875.2299999999975</v>
      </c>
      <c r="L95" s="478">
        <f>-SUMIFS(BV_Data_An_Cour!$O:$O,BV_Data_An_Cour!$U:$U,$B95,BV_Data_An_Cour!$V:$V,$C95,BV_Data_An_Cour!$W:$W,$L2)</f>
        <v>16877.069999999978</v>
      </c>
      <c r="M95" s="187">
        <f>J95-D95</f>
        <v>4</v>
      </c>
      <c r="N95" s="185">
        <f>L95-F95</f>
        <v>5877.0699999999779</v>
      </c>
      <c r="O95" s="187">
        <f t="array" ref="O95">+INDEX('Réel 2023'!$A$2:$AO$501,MATCH($A95,'Réel 2023'!$A$2:$A$501,0),MATCH(O$2,'Réel 2023'!$A$2:$AO$2,0))</f>
        <v>14</v>
      </c>
      <c r="P95" s="184">
        <f t="shared" si="22"/>
        <v>2545.8421428571282</v>
      </c>
      <c r="Q95" s="478">
        <f t="array" ref="Q95">+INDEX('Réel 2023'!$A$2:$AO$501,MATCH($A95,'Réel 2023'!$A$2:$A$501,0),MATCH(Q$2,'Réel 2023'!$A$2:$AO$2,0))</f>
        <v>35641.789999999797</v>
      </c>
      <c r="R95" s="187">
        <f>J95-O95</f>
        <v>-5</v>
      </c>
      <c r="S95" s="350">
        <f>L95-Q95</f>
        <v>-18764.719999999819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2822</v>
      </c>
      <c r="D96" s="184">
        <f>+INDEX('Budget original'!$A$2:$AO$501,MATCH($A96,'Budget original'!$A$2:$A$501,0),MATCH(D$2,'Budget original'!$A$2:$AO$2,0))</f>
        <v>9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16650</v>
      </c>
      <c r="G96" s="187"/>
      <c r="H96" s="184"/>
      <c r="I96" s="184"/>
      <c r="J96" s="187">
        <f>-SUMIFS(BV_Data_An_Cour!$O:$O,BV_Data_An_Cour!$U:$U,$B96,BV_Data_An_Cour!$V:$V,$C96,BV_Data_An_Cour!$W:$W,J$2)</f>
        <v>12</v>
      </c>
      <c r="K96" s="184">
        <f>IF(J96=0,0,L96/J96)</f>
        <v>862.97166666666851</v>
      </c>
      <c r="L96" s="478">
        <f>-SUMIFS(BV_Data_An_Cour!$O:$O,BV_Data_An_Cour!$U:$U,$B96,BV_Data_An_Cour!$V:$V,$C96,BV_Data_An_Cour!$W:$W,$L2)</f>
        <v>10355.660000000022</v>
      </c>
      <c r="M96" s="187">
        <f>J96-D96</f>
        <v>3</v>
      </c>
      <c r="N96" s="185">
        <f>L96-F96</f>
        <v>-6294.3399999999783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12</v>
      </c>
      <c r="S96" s="350">
        <f>L96-Q96</f>
        <v>10355.660000000022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21</v>
      </c>
      <c r="E97" s="184">
        <f t="shared" si="23"/>
        <v>2316.6666666666665</v>
      </c>
      <c r="F97" s="352">
        <f>+F94+F95+F96</f>
        <v>48650</v>
      </c>
      <c r="G97" s="353"/>
      <c r="H97" s="351"/>
      <c r="I97" s="352"/>
      <c r="J97" s="353">
        <f>+J94+J95+J96</f>
        <v>28</v>
      </c>
      <c r="K97" s="351">
        <f>IF(J97&lt;=0,0,L97/J97)</f>
        <v>1378.1835714285712</v>
      </c>
      <c r="L97" s="352">
        <f>+L94+L95+L96</f>
        <v>38589.139999999992</v>
      </c>
      <c r="M97" s="353">
        <f>J97-D97</f>
        <v>7</v>
      </c>
      <c r="N97" s="352">
        <f>L97-F97</f>
        <v>-10060.860000000008</v>
      </c>
      <c r="O97" s="353">
        <f>+O95+O94+O96</f>
        <v>17</v>
      </c>
      <c r="P97" s="351">
        <f>IF(O97=0,0,Q97/O97)</f>
        <v>2516.8817647058713</v>
      </c>
      <c r="Q97" s="352">
        <f>+Q94+Q95+Q96</f>
        <v>42786.989999999809</v>
      </c>
      <c r="R97" s="353">
        <f>R94+R95</f>
        <v>-1</v>
      </c>
      <c r="S97" s="354">
        <f>S94+S95</f>
        <v>-14553.509999999837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0.33333333333333331</v>
      </c>
      <c r="N98" s="239">
        <f>N97/F97</f>
        <v>-0.2068008221993835</v>
      </c>
      <c r="O98" s="228"/>
      <c r="P98" s="183"/>
      <c r="Q98" s="270"/>
      <c r="R98" s="240">
        <f>R97/O97</f>
        <v>-5.8823529411764705E-2</v>
      </c>
      <c r="S98" s="267">
        <f>IF(Q97=0,0,(S97/Q97))</f>
        <v>-0.34013867299382128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23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8625</v>
      </c>
      <c r="G100" s="187"/>
      <c r="H100" s="184"/>
      <c r="I100" s="184"/>
      <c r="J100" s="187">
        <f>-SUMIFS(BV_Data_An_Cour!$O:$O,BV_Data_An_Cour!$U:$U,$B100,BV_Data_An_Cour!$V:$V,$C100,BV_Data_An_Cour!$W:$W,J$2)</f>
        <v>16</v>
      </c>
      <c r="K100" s="184">
        <f>IF(J100=0,0,L100/J100)</f>
        <v>462.19374999999854</v>
      </c>
      <c r="L100" s="185">
        <f>-SUMIFS(BV_Data_An_Cour!$O:$O,BV_Data_An_Cour!$U:$U,$B100,BV_Data_An_Cour!$V:$V,$C100,BV_Data_An_Cour!$W:$W,L$2)</f>
        <v>7395.0999999999767</v>
      </c>
      <c r="M100" s="187">
        <f>J100-D100</f>
        <v>-7</v>
      </c>
      <c r="N100" s="185">
        <f>L100-F100</f>
        <v>-1229.9000000000233</v>
      </c>
      <c r="O100" s="187">
        <f t="array" ref="O100">+INDEX('Réel 2023'!$A$2:$AO$501,MATCH($A100,'Réel 2023'!$A$2:$A$501,0),MATCH(O$2,'Réel 2023'!$A$2:$AO$2,0))</f>
        <v>21</v>
      </c>
      <c r="P100" s="184">
        <f>IF(O100=0,0,Q100/O100)</f>
        <v>470.61238095238002</v>
      </c>
      <c r="Q100" s="185">
        <f t="array" ref="Q100">+INDEX('Réel 2023'!$A$2:$AO$501,MATCH($A100,'Réel 2023'!$A$2:$A$501,0),MATCH(Q$2,'Réel 2023'!$A$2:$AO$2,0))</f>
        <v>9882.8599999999806</v>
      </c>
      <c r="R100" s="187">
        <f>J100-O100</f>
        <v>-5</v>
      </c>
      <c r="S100" s="350">
        <f>L100-Q100</f>
        <v>-2487.7600000000039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12600</v>
      </c>
      <c r="G102" s="187"/>
      <c r="H102" s="184"/>
      <c r="I102" s="184"/>
      <c r="J102" s="187"/>
      <c r="K102" s="184">
        <f>IF(J97=0,0,L102/J97)</f>
        <v>469.70678571428573</v>
      </c>
      <c r="L102" s="185">
        <f>-SUMIFS(BV_Data_An_Cour!$O:$O,BV_Data_An_Cour!$U:$U,$B102,BV_Data_An_Cour!$V:$V,$C102,BV_Data_An_Cour!$W:$W,$L2)</f>
        <v>13151.79</v>
      </c>
      <c r="M102" s="187"/>
      <c r="N102" s="185">
        <f>L102-F102</f>
        <v>551.79000000000087</v>
      </c>
      <c r="O102" s="187"/>
      <c r="P102" s="184"/>
      <c r="Q102" s="185">
        <f t="array" ref="Q102">+INDEX('Réel 2023'!$A$2:$AO$501,MATCH($A102,'Réel 2023'!$A$2:$A$501,0),MATCH(Q$2,'Réel 2023'!$A$2:$AO$2,0))</f>
        <v>13597.2</v>
      </c>
      <c r="R102" s="187">
        <f>O102-K102</f>
        <v>-469.70678571428573</v>
      </c>
      <c r="S102" s="350">
        <f>L102-Q102</f>
        <v>-445.40999999999985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18480</v>
      </c>
      <c r="G103" s="187"/>
      <c r="H103" s="184"/>
      <c r="I103" s="184"/>
      <c r="J103" s="187"/>
      <c r="K103" s="184">
        <f>IF(J97=0,0,L103/J97)</f>
        <v>654.39285714285711</v>
      </c>
      <c r="L103" s="185">
        <f>-SUMIFS(BV_Data_An_Cour!$O:$O,BV_Data_An_Cour!$U:$U,$B103,BV_Data_An_Cour!$V:$V,$C103,BV_Data_An_Cour!$W:$W,$L2)</f>
        <v>18323</v>
      </c>
      <c r="M103" s="187"/>
      <c r="N103" s="185">
        <f>L103-F103</f>
        <v>-157</v>
      </c>
      <c r="O103" s="187"/>
      <c r="P103" s="184"/>
      <c r="Q103" s="185">
        <f t="array" ref="Q103">+INDEX('Réel 2023'!$A$2:$AO$501,MATCH($A103,'Réel 2023'!$A$2:$A$501,0),MATCH(Q$2,'Réel 2023'!$A$2:$AO$2,0))</f>
        <v>12765.89</v>
      </c>
      <c r="R103" s="187">
        <f>O103-K103</f>
        <v>-654.39285714285711</v>
      </c>
      <c r="S103" s="350">
        <f>L103-Q103</f>
        <v>5557.1100000000006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3570</v>
      </c>
      <c r="G104" s="187"/>
      <c r="H104" s="357"/>
      <c r="I104" s="184"/>
      <c r="J104" s="187"/>
      <c r="K104" s="357">
        <f>IF(J97=0,0,L104/J97)</f>
        <v>152.21428571428572</v>
      </c>
      <c r="L104" s="185">
        <f>-SUMIFS(BV_Data_An_Cour!$O:$O,BV_Data_An_Cour!$U:$U,$B104,BV_Data_An_Cour!$V:$V,$C104,BV_Data_An_Cour!$W:$W,$L$2)</f>
        <v>4262</v>
      </c>
      <c r="M104" s="356"/>
      <c r="N104" s="185">
        <f>L104-F104</f>
        <v>692</v>
      </c>
      <c r="O104" s="187"/>
      <c r="P104" s="357"/>
      <c r="Q104" s="185">
        <f t="array" ref="Q104">+INDEX('Réel 2023'!$A$2:$AO$501,MATCH($A104,'Réel 2023'!$A$2:$A$501,0),MATCH(Q$2,'Réel 2023'!$A$2:$AO$2,0))</f>
        <v>2900.99</v>
      </c>
      <c r="R104" s="187">
        <f>O104-K104</f>
        <v>-152.21428571428572</v>
      </c>
      <c r="S104" s="350">
        <f>L104-Q104</f>
        <v>1361.0100000000002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21</v>
      </c>
      <c r="E105" s="184">
        <f t="shared" si="23"/>
        <v>1650</v>
      </c>
      <c r="F105" s="352">
        <f>F102+F103+F104</f>
        <v>34650</v>
      </c>
      <c r="G105" s="353"/>
      <c r="H105" s="351"/>
      <c r="I105" s="352"/>
      <c r="J105" s="353">
        <f>J97</f>
        <v>28</v>
      </c>
      <c r="K105" s="351">
        <f>IF(J105&lt;=0,0,L105/J105)</f>
        <v>1276.3139285714285</v>
      </c>
      <c r="L105" s="352">
        <f>L102+L103+L104</f>
        <v>35736.79</v>
      </c>
      <c r="M105" s="187">
        <f>J105-D105</f>
        <v>7</v>
      </c>
      <c r="N105" s="352">
        <f>L105-F105</f>
        <v>1086.7900000000009</v>
      </c>
      <c r="O105" s="353">
        <f>O97</f>
        <v>17</v>
      </c>
      <c r="P105" s="351">
        <f t="shared" ref="P105" si="25">IF(O105=0,0,Q105/O105)</f>
        <v>1721.4164705882354</v>
      </c>
      <c r="Q105" s="352">
        <f>Q102+Q103+Q104</f>
        <v>29264.080000000002</v>
      </c>
      <c r="R105" s="361"/>
      <c r="S105" s="354">
        <f>L105-Q105</f>
        <v>6472.7099999999991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3.136479076479079E-2</v>
      </c>
      <c r="O106" s="228"/>
      <c r="P106" s="183"/>
      <c r="Q106" s="230"/>
      <c r="R106" s="229"/>
      <c r="S106" s="267">
        <f>IF(Q105=0,0,(S105/Q105))</f>
        <v>0.22118276057200495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44</v>
      </c>
      <c r="E108" s="30">
        <f>IF(D108&lt;=0,0,F108/D108)</f>
        <v>2089.2045454545455</v>
      </c>
      <c r="F108" s="28">
        <f>F97+F105+F100</f>
        <v>91925</v>
      </c>
      <c r="G108" s="29"/>
      <c r="H108" s="30"/>
      <c r="I108" s="28"/>
      <c r="J108" s="29">
        <f>J97+J100</f>
        <v>44</v>
      </c>
      <c r="K108" s="30">
        <f>IF(J108&lt;=0,0,L108/J108)</f>
        <v>1857.2961363636357</v>
      </c>
      <c r="L108" s="28">
        <f>L97+L105+L100</f>
        <v>81721.02999999997</v>
      </c>
      <c r="M108" s="29">
        <f>J108-D108</f>
        <v>0</v>
      </c>
      <c r="N108" s="28">
        <f>L108-F108</f>
        <v>-10203.97000000003</v>
      </c>
      <c r="O108" s="29">
        <f>O97+O100</f>
        <v>38</v>
      </c>
      <c r="P108" s="30">
        <f>IF(O108&lt;=0,0,Q108/O108)</f>
        <v>2156.1560526315734</v>
      </c>
      <c r="Q108" s="28">
        <f>Q97+Q105+Q100</f>
        <v>81933.929999999789</v>
      </c>
      <c r="R108" s="29">
        <f>J108-O108</f>
        <v>6</v>
      </c>
      <c r="S108" s="326">
        <f>L108-Q108</f>
        <v>-212.89999999981956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</v>
      </c>
      <c r="N109" s="34">
        <f>N108/F108</f>
        <v>-0.11100320913788447</v>
      </c>
      <c r="O109" s="31"/>
      <c r="P109" s="328"/>
      <c r="Q109" s="32"/>
      <c r="R109" s="33">
        <f>O108/R108</f>
        <v>6.333333333333333</v>
      </c>
      <c r="S109" s="362">
        <f>IF(Q108=0,0,(S108/Q108))</f>
        <v>-2.5984351049659171E-3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0.1935563538392456</v>
      </c>
      <c r="E112" s="200">
        <f t="shared" ref="E112:E121" si="26">F112/D$97</f>
        <v>767.77353689567428</v>
      </c>
      <c r="F112" s="184">
        <f>+INDEX('Budget original'!$A$2:$AO$501,MATCH($A112,'Budget original'!$A$2:$A$501,0),MATCH(F$2,'Budget original'!$A$2:$AO$2,0))</f>
        <v>16123.24427480916</v>
      </c>
      <c r="G112" s="298"/>
      <c r="H112" s="200"/>
      <c r="I112" s="184"/>
      <c r="J112" s="298">
        <f>L112/L97</f>
        <v>0.4991642726425104</v>
      </c>
      <c r="K112" s="200">
        <f>IF($J$97=0,0,L112/(J$94+J$95+J96))</f>
        <v>687.93999999999994</v>
      </c>
      <c r="L112" s="185">
        <f>SUMIFS(BV_Data_An_Cour!$O:$O,BV_Data_An_Cour!$U:$U,$B112,BV_Data_An_Cour!$V:$V,$C112,BV_Data_An_Cour!$W:$W,$L$2)</f>
        <v>19262.32</v>
      </c>
      <c r="M112" s="228"/>
      <c r="N112" s="230">
        <f t="shared" ref="N112:N153" si="27">L112-F112</f>
        <v>3139.0757251908399</v>
      </c>
      <c r="O112" s="298">
        <f>Q112/Q97</f>
        <v>0.2818043522108018</v>
      </c>
      <c r="P112" s="200">
        <f t="shared" ref="P112:P121" si="28">Q112/O$97</f>
        <v>709.26823529411763</v>
      </c>
      <c r="Q112" s="185">
        <f t="array" ref="Q112">+INDEX('Réel 2023'!$A$2:$AO$501,MATCH($A112,'Réel 2023'!$A$2:$A$501,0),MATCH(Q$2,'Réel 2023'!$A$2:$AO$2,0))</f>
        <v>12057.56</v>
      </c>
      <c r="R112" s="228"/>
      <c r="S112" s="202">
        <f t="shared" ref="S112:S122" si="29">L112-Q112</f>
        <v>7204.76</v>
      </c>
      <c r="T112" s="25"/>
      <c r="U112" s="25"/>
      <c r="V112" s="24" t="s">
        <v>2912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0.21550221181532858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8662.5</v>
      </c>
      <c r="G113" s="325"/>
      <c r="H113" s="363"/>
      <c r="I113" s="182"/>
      <c r="J113" s="325">
        <f>L113/L105</f>
        <v>0.28886869805598098</v>
      </c>
      <c r="K113" s="363">
        <f>IF($J$97=0,0,L113/(J$94+J$95+J96))</f>
        <v>368.68714285714287</v>
      </c>
      <c r="L113" s="185">
        <f>SUMIFS(BV_Data_An_Cour!$O:$O,BV_Data_An_Cour!$U:$U,$B113,BV_Data_An_Cour!$V:$V,$C113,BV_Data_An_Cour!$W:$W,$L$2)</f>
        <v>10323.24</v>
      </c>
      <c r="M113" s="283"/>
      <c r="N113" s="284">
        <f t="shared" si="27"/>
        <v>1660.7399999999998</v>
      </c>
      <c r="O113" s="325">
        <f>Q113/(Q105+Q19)</f>
        <v>0.1837806822637563</v>
      </c>
      <c r="P113" s="363">
        <f t="shared" si="28"/>
        <v>413.56058823529412</v>
      </c>
      <c r="Q113" s="185">
        <f t="array" ref="Q113">+INDEX('Réel 2023'!$A$2:$AO$501,MATCH($A113,'Réel 2023'!$A$2:$A$501,0),MATCH(Q$2,'Réel 2023'!$A$2:$AO$2,0))</f>
        <v>7030.53</v>
      </c>
      <c r="R113" s="283"/>
      <c r="S113" s="205">
        <f t="shared" si="29"/>
        <v>3292.71</v>
      </c>
      <c r="T113" s="25"/>
      <c r="U113" s="25"/>
      <c r="V113" s="24" t="s">
        <v>2911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2310</v>
      </c>
      <c r="G114" s="274"/>
      <c r="H114" s="200"/>
      <c r="I114" s="184"/>
      <c r="J114" s="228"/>
      <c r="K114" s="200">
        <f>IF($J$97=0,0,L114/(J$94+J$95+J96))</f>
        <v>65.156785714285718</v>
      </c>
      <c r="L114" s="186">
        <f>SUMIFS(BV_Data_An_Cour!$O:$O,BV_Data_An_Cour!$U:$U,$B114,BV_Data_An_Cour!$V:$V,$C114,BV_Data_An_Cour!$W:$W,$L$2)</f>
        <v>1824.39</v>
      </c>
      <c r="M114" s="228"/>
      <c r="N114" s="230">
        <f t="shared" si="27"/>
        <v>-485.6099999999999</v>
      </c>
      <c r="O114" s="228"/>
      <c r="P114" s="200">
        <f t="shared" si="28"/>
        <v>127.70882352941177</v>
      </c>
      <c r="Q114" s="186">
        <f t="array" ref="Q114">+INDEX('Réel 2023'!$A$2:$AO$501,MATCH($A114,'Réel 2023'!$A$2:$A$501,0),MATCH(Q$2,'Réel 2023'!$A$2:$AO$2,0))</f>
        <v>2171.0500000000002</v>
      </c>
      <c r="R114" s="228"/>
      <c r="S114" s="202">
        <f t="shared" si="29"/>
        <v>-346.66000000000008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1890</v>
      </c>
      <c r="G115" s="274"/>
      <c r="H115" s="200"/>
      <c r="I115" s="184"/>
      <c r="J115" s="228"/>
      <c r="K115" s="200">
        <f>IF($J$97=0,0,L115/(J$94+J$95+J96))</f>
        <v>19.081785714285711</v>
      </c>
      <c r="L115" s="185">
        <f>SUMIFS(BV_Data_An_Cour!$O:$O,BV_Data_An_Cour!$U:$U,$B115,BV_Data_An_Cour!$V:$V,$C115,BV_Data_An_Cour!$W:$W,$L$2)</f>
        <v>534.29</v>
      </c>
      <c r="M115" s="228"/>
      <c r="N115" s="230">
        <f t="shared" si="27"/>
        <v>-1355.71</v>
      </c>
      <c r="O115" s="228"/>
      <c r="P115" s="200">
        <f t="shared" si="28"/>
        <v>67.367647058823536</v>
      </c>
      <c r="Q115" s="185">
        <f t="array" ref="Q115">+INDEX('Réel 2023'!$A$2:$AO$501,MATCH($A115,'Réel 2023'!$A$2:$A$501,0),MATCH(Q$2,'Réel 2023'!$A$2:$AO$2,0))</f>
        <v>1145.25</v>
      </c>
      <c r="R115" s="228"/>
      <c r="S115" s="202">
        <f t="shared" si="29"/>
        <v>-610.96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101.19047619047619</v>
      </c>
      <c r="F116" s="182">
        <f>+INDEX('Budget original'!$A$2:$AO$501,MATCH($A116,'Budget original'!$A$2:$A$501,0),MATCH(F$2,'Budget original'!$A$2:$AO$2,0))</f>
        <v>2125</v>
      </c>
      <c r="G116" s="282"/>
      <c r="H116" s="363"/>
      <c r="I116" s="182"/>
      <c r="J116" s="283"/>
      <c r="K116" s="363">
        <f>IF($J$97=0,0,L116/(J$94+J$95+J96))</f>
        <v>64.977499999999992</v>
      </c>
      <c r="L116" s="355">
        <f>SUMIFS(BV_Data_An_Cour!$O:$O,BV_Data_An_Cour!$U:$U,$B116,BV_Data_An_Cour!$V:$V,$C116,BV_Data_An_Cour!$W:$W,$L$2)</f>
        <v>1819.37</v>
      </c>
      <c r="M116" s="283"/>
      <c r="N116" s="284">
        <f t="shared" si="27"/>
        <v>-305.63000000000011</v>
      </c>
      <c r="O116" s="283"/>
      <c r="P116" s="363">
        <f t="shared" si="28"/>
        <v>135.79117647058823</v>
      </c>
      <c r="Q116" s="355">
        <f t="array" ref="Q116">+INDEX('Réel 2023'!$A$2:$AO$501,MATCH($A116,'Réel 2023'!$A$2:$A$501,0),MATCH(Q$2,'Réel 2023'!$A$2:$AO$2,0))</f>
        <v>2308.4499999999998</v>
      </c>
      <c r="R116" s="283"/>
      <c r="S116" s="205">
        <f t="shared" si="29"/>
        <v>-489.07999999999993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301.71825396825398</v>
      </c>
      <c r="F117" s="184">
        <f>+INDEX('Budget original'!$A$2:$AO$501,MATCH($A117,'Budget original'!$A$2:$A$501,0),MATCH(F$2,'Budget original'!$A$2:$AO$2,0))</f>
        <v>6336.0833333333339</v>
      </c>
      <c r="G117" s="274"/>
      <c r="H117" s="200"/>
      <c r="I117" s="184"/>
      <c r="J117" s="228"/>
      <c r="K117" s="200">
        <f>IF($J$97=0,0,L117/(J$94+J$95+J96))</f>
        <v>210.97571428571428</v>
      </c>
      <c r="L117" s="185">
        <f>SUMIFS(BV_Data_An_Cour!$O:$O,BV_Data_An_Cour!$U:$U,$B117,BV_Data_An_Cour!$V:$V,$C117,BV_Data_An_Cour!$W:$W,$L$2)</f>
        <v>5907.32</v>
      </c>
      <c r="M117" s="228"/>
      <c r="N117" s="230">
        <f t="shared" si="27"/>
        <v>-428.76333333333423</v>
      </c>
      <c r="O117" s="228"/>
      <c r="P117" s="200">
        <f t="shared" si="28"/>
        <v>407.39058823529354</v>
      </c>
      <c r="Q117" s="185">
        <f t="array" ref="Q117">+INDEX('Réel 2023'!$A$2:$AO$501,MATCH($A117,'Réel 2023'!$A$2:$A$501,0),MATCH(Q$2,'Réel 2023'!$A$2:$AO$2,0))</f>
        <v>6925.6399999999903</v>
      </c>
      <c r="R117" s="228"/>
      <c r="S117" s="202">
        <f t="shared" si="29"/>
        <v>-1018.3199999999906</v>
      </c>
      <c r="T117" s="25"/>
      <c r="U117" s="25"/>
      <c r="V117" s="25">
        <f>3476+50-2336+1517+4200-1000</f>
        <v>5907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414.04408416372019</v>
      </c>
      <c r="F118" s="184">
        <f>+INDEX('Budget original'!$A$2:$AO$501,MATCH($A118,'Budget original'!$A$2:$A$501,0),MATCH(F$2,'Budget original'!$A$2:$AO$2,0))</f>
        <v>8694.9257674381242</v>
      </c>
      <c r="G118" s="274"/>
      <c r="H118" s="200"/>
      <c r="I118" s="184"/>
      <c r="J118" s="228"/>
      <c r="K118" s="200">
        <f>IF($J$97=0,0,L118/(J$94+J$95+J96))</f>
        <v>296.82071428571425</v>
      </c>
      <c r="L118" s="185">
        <f>SUMIFS(BV_Data_An_Cour!$O:$O,BV_Data_An_Cour!$U:$U,$B118,BV_Data_An_Cour!$V:$V,$C118,BV_Data_An_Cour!$W:$W,$L$2)</f>
        <v>8310.98</v>
      </c>
      <c r="M118" s="228"/>
      <c r="N118" s="230">
        <f t="shared" si="27"/>
        <v>-383.94576743812468</v>
      </c>
      <c r="O118" s="228"/>
      <c r="P118" s="200">
        <f t="shared" si="28"/>
        <v>377.58588235294116</v>
      </c>
      <c r="Q118" s="185">
        <f t="array" ref="Q118">+INDEX('Réel 2023'!$A$2:$AO$501,MATCH($A118,'Réel 2023'!$A$2:$A$501,0),MATCH(Q$2,'Réel 2023'!$A$2:$AO$2,0))</f>
        <v>6418.96</v>
      </c>
      <c r="R118" s="228"/>
      <c r="S118" s="202">
        <f>L118-Q118</f>
        <v>1892.0199999999995</v>
      </c>
      <c r="T118" s="25"/>
      <c r="U118" s="25"/>
      <c r="V118" s="25">
        <v>8311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0.50194999592690359</v>
      </c>
      <c r="F122" s="41">
        <f>SUM(F112:F121)</f>
        <v>46141.753375580614</v>
      </c>
      <c r="G122" s="42"/>
      <c r="H122" s="40"/>
      <c r="I122" s="41"/>
      <c r="J122" s="42" t="s">
        <v>108</v>
      </c>
      <c r="K122" s="40">
        <f>L122/L$108</f>
        <v>0.58714274648765463</v>
      </c>
      <c r="L122" s="41">
        <f>SUM(L112:L121)</f>
        <v>47981.91</v>
      </c>
      <c r="M122" s="44"/>
      <c r="N122" s="41">
        <f t="shared" si="27"/>
        <v>1840.1566244193891</v>
      </c>
      <c r="O122" s="42" t="s">
        <v>108</v>
      </c>
      <c r="P122" s="40">
        <f>Q122/Q$108</f>
        <v>0.46448937576898952</v>
      </c>
      <c r="Q122" s="41">
        <f>SUM(Q112:Q121)</f>
        <v>38057.439999999988</v>
      </c>
      <c r="R122" s="44"/>
      <c r="S122" s="290">
        <f t="shared" si="29"/>
        <v>9924.4700000000157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5026.5783715012722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4165.3100000000004</v>
      </c>
      <c r="M123" s="228"/>
      <c r="N123" s="230">
        <f t="shared" si="27"/>
        <v>-861.26837150127176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2748.2100000000005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2725.1480916030532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2612.09</v>
      </c>
      <c r="M124" s="228"/>
      <c r="N124" s="230">
        <f t="shared" si="27"/>
        <v>-113.05809160305307</v>
      </c>
      <c r="O124" s="228"/>
      <c r="P124" s="183"/>
      <c r="Q124" s="182">
        <f t="array" ref="Q124">+INDEX('Réel 2023'!$A$2:$AO$501,MATCH($A124,'Réel 2023'!$A$2:$A$501,0),MATCH(Q$2,'Réel 2023'!$A$2:$AO$2,0))</f>
        <v>6021.82</v>
      </c>
      <c r="R124" s="228"/>
      <c r="S124" s="202">
        <f t="shared" si="31"/>
        <v>-3409.7299999999996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3800.3306124461737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2091.5100000000002</v>
      </c>
      <c r="M130" s="228"/>
      <c r="N130" s="230">
        <f t="shared" si="27"/>
        <v>-1708.8206124461735</v>
      </c>
      <c r="O130" s="228"/>
      <c r="P130" s="183"/>
      <c r="Q130" s="185">
        <f t="array" ref="Q130">+INDEX('Réel 2023'!$A$2:$AO$501,MATCH($A130,'Réel 2023'!$A$2:$A$501,0),MATCH(Q$2,'Réel 2023'!$A$2:$AO$2,0))</f>
        <v>3924.92</v>
      </c>
      <c r="R130" s="228"/>
      <c r="S130" s="202">
        <f>L130-Q130</f>
        <v>-1833.4099999999999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5012.2972941475828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4566.9399999999996</v>
      </c>
      <c r="M131" s="278"/>
      <c r="N131" s="279">
        <f t="shared" si="27"/>
        <v>-445.35729414758316</v>
      </c>
      <c r="O131" s="278"/>
      <c r="P131" s="276"/>
      <c r="Q131" s="379">
        <f t="array" ref="Q131">+INDEX('Réel 2023'!$A$2:$AO$501,MATCH($A131,'Réel 2023'!$A$2:$A$501,0),MATCH(Q$2,'Réel 2023'!$A$2:$AO$2,0))</f>
        <v>6790.19</v>
      </c>
      <c r="R131" s="278"/>
      <c r="S131" s="204">
        <f t="shared" si="31"/>
        <v>-2223.25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2285.0178840966919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1987.58</v>
      </c>
      <c r="M132" s="228"/>
      <c r="N132" s="230">
        <f t="shared" si="27"/>
        <v>-297.43788409669196</v>
      </c>
      <c r="O132" s="228"/>
      <c r="P132" s="183"/>
      <c r="Q132" s="185">
        <f t="array" ref="Q132">+INDEX('Réel 2023'!$A$2:$AO$501,MATCH($A132,'Réel 2023'!$A$2:$A$501,0),MATCH(Q$2,'Réel 2023'!$A$2:$AO$2,0))</f>
        <v>2055.31</v>
      </c>
      <c r="R132" s="228"/>
      <c r="S132" s="202">
        <f t="shared" si="31"/>
        <v>-67.730000000000018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515.97178027989821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590.58000000000004</v>
      </c>
      <c r="M133" s="228"/>
      <c r="N133" s="230">
        <f t="shared" si="27"/>
        <v>74.608219720101829</v>
      </c>
      <c r="O133" s="228"/>
      <c r="P133" s="183"/>
      <c r="Q133" s="185">
        <f t="array" ref="Q133">+INDEX('Réel 2023'!$A$2:$AO$501,MATCH($A133,'Réel 2023'!$A$2:$A$501,0),MATCH(Q$2,'Réel 2023'!$A$2:$AO$2,0))</f>
        <v>776.85</v>
      </c>
      <c r="R133" s="228"/>
      <c r="S133" s="202">
        <f t="shared" si="31"/>
        <v>-186.26999999999998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0.24122212710442939</v>
      </c>
      <c r="F135" s="41">
        <f>+SUM(F123:F134)</f>
        <v>22174.344034074671</v>
      </c>
      <c r="G135" s="42"/>
      <c r="H135" s="40"/>
      <c r="I135" s="41"/>
      <c r="J135" s="42" t="s">
        <v>108</v>
      </c>
      <c r="K135" s="40">
        <f>L135/L$108</f>
        <v>0.2303325104933211</v>
      </c>
      <c r="L135" s="41">
        <f>SUM(L123:L134)</f>
        <v>18823.010000000002</v>
      </c>
      <c r="M135" s="1103"/>
      <c r="N135" s="1104">
        <f t="shared" si="27"/>
        <v>-3351.334034074669</v>
      </c>
      <c r="O135" s="42" t="s">
        <v>108</v>
      </c>
      <c r="P135" s="40">
        <f>Q135/Q$108</f>
        <v>0.29041924389566154</v>
      </c>
      <c r="Q135" s="41">
        <f>+SUM(Q123:Q134)</f>
        <v>23795.19</v>
      </c>
      <c r="R135" s="43"/>
      <c r="S135" s="286">
        <f t="shared" ref="S135:S148" si="32">L135-Q135</f>
        <v>-4972.1799999999967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1083.7</v>
      </c>
      <c r="M138" s="283"/>
      <c r="N138" s="284">
        <f t="shared" si="27"/>
        <v>225.86666666666679</v>
      </c>
      <c r="O138" s="283"/>
      <c r="P138" s="281"/>
      <c r="Q138" s="182">
        <f t="array" ref="Q138">+INDEX('Réel 2023'!$A$2:$AO$501,MATCH($A138,'Réel 2023'!$A$2:$A$501,0),MATCH(Q$2,'Réel 2023'!$A$2:$AO$2,0))</f>
        <v>712.29</v>
      </c>
      <c r="R138" s="283"/>
      <c r="S138" s="205">
        <f t="shared" si="32"/>
        <v>371.41000000000008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1295.0999999999999</v>
      </c>
      <c r="M139" s="228"/>
      <c r="N139" s="230">
        <f t="shared" si="27"/>
        <v>-124.80000000000018</v>
      </c>
      <c r="O139" s="228"/>
      <c r="P139" s="183"/>
      <c r="Q139" s="185">
        <f t="array" ref="Q139">+INDEX('Réel 2023'!$A$2:$AO$501,MATCH($A139,'Réel 2023'!$A$2:$A$501,0),MATCH(Q$2,'Réel 2023'!$A$2:$AO$2,0))</f>
        <v>1294.67</v>
      </c>
      <c r="R139" s="228"/>
      <c r="S139" s="202">
        <f t="shared" si="32"/>
        <v>0.42999999999983629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394.46</v>
      </c>
      <c r="M140" s="228"/>
      <c r="N140" s="230">
        <f t="shared" si="27"/>
        <v>211.65999999999997</v>
      </c>
      <c r="O140" s="228"/>
      <c r="P140" s="183"/>
      <c r="Q140" s="185">
        <f t="array" ref="Q140">+INDEX('Réel 2023'!$A$2:$AO$501,MATCH($A140,'Réel 2023'!$A$2:$A$501,0),MATCH(Q$2,'Réel 2023'!$A$2:$AO$2,0))</f>
        <v>152.80000000000001</v>
      </c>
      <c r="R140" s="228"/>
      <c r="S140" s="202">
        <f t="shared" si="32"/>
        <v>241.65999999999997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758.85</v>
      </c>
      <c r="M141" s="283"/>
      <c r="N141" s="284">
        <f t="shared" si="27"/>
        <v>146.75</v>
      </c>
      <c r="O141" s="283"/>
      <c r="P141" s="281"/>
      <c r="Q141" s="182">
        <f t="array" ref="Q141">+INDEX('Réel 2023'!$A$2:$AO$501,MATCH($A141,'Réel 2023'!$A$2:$A$501,0),MATCH(Q$2,'Réel 2023'!$A$2:$AO$2,0))</f>
        <v>772.97</v>
      </c>
      <c r="R141" s="283"/>
      <c r="S141" s="205">
        <f t="shared" si="32"/>
        <v>-14.120000000000005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46.32352941176471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-46.32352941176471</v>
      </c>
      <c r="O142" s="228"/>
      <c r="P142" s="183"/>
      <c r="Q142" s="185">
        <f t="array" ref="Q142">+INDEX('Réel 2023'!$A$2:$AO$501,MATCH($A142,'Réel 2023'!$A$2:$A$501,0),MATCH(Q$2,'Réel 2023'!$A$2:$AO$2,0))</f>
        <v>8.14</v>
      </c>
      <c r="R142" s="228"/>
      <c r="S142" s="202">
        <f t="shared" si="32"/>
        <v>-8.14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18.48</v>
      </c>
      <c r="R143" s="228"/>
      <c r="S143" s="202">
        <f t="shared" si="32"/>
        <v>-18.48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104.08</v>
      </c>
      <c r="M144" s="228"/>
      <c r="N144" s="230">
        <f t="shared" si="27"/>
        <v>-70.92</v>
      </c>
      <c r="O144" s="228"/>
      <c r="P144" s="183"/>
      <c r="Q144" s="478">
        <f t="array" ref="Q144">+INDEX('Réel 2023'!$A$2:$AO$501,MATCH($A144,'Réel 2023'!$A$2:$A$501,0),MATCH(Q$2,'Réel 2023'!$A$2:$AO$2,0))</f>
        <v>276.89</v>
      </c>
      <c r="R144" s="228"/>
      <c r="S144" s="202">
        <f t="shared" si="32"/>
        <v>-172.81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81.98</v>
      </c>
      <c r="M145" s="228"/>
      <c r="N145" s="230">
        <f t="shared" si="27"/>
        <v>18.78</v>
      </c>
      <c r="O145" s="228"/>
      <c r="P145" s="183"/>
      <c r="Q145" s="185">
        <f t="array" ref="Q145">+INDEX('Réel 2023'!$A$2:$AO$501,MATCH($A145,'Réel 2023'!$A$2:$A$501,0),MATCH(Q$2,'Réel 2023'!$A$2:$AO$2,0))</f>
        <v>38.51</v>
      </c>
      <c r="R145" s="228"/>
      <c r="S145" s="202">
        <f t="shared" si="32"/>
        <v>43.470000000000006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96.34</v>
      </c>
      <c r="M146" s="228"/>
      <c r="N146" s="230">
        <f t="shared" si="27"/>
        <v>46.34</v>
      </c>
      <c r="O146" s="228"/>
      <c r="P146" s="183"/>
      <c r="Q146" s="185">
        <f t="array" ref="Q146">+INDEX('Réel 2023'!$A$2:$AO$501,MATCH($A146,'Réel 2023'!$A$2:$A$501,0),MATCH(Q$2,'Réel 2023'!$A$2:$AO$2,0))</f>
        <v>57.21</v>
      </c>
      <c r="R146" s="228"/>
      <c r="S146" s="202">
        <f t="shared" si="32"/>
        <v>39.130000000000003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185.1</v>
      </c>
      <c r="M147" s="228"/>
      <c r="N147" s="230">
        <f t="shared" si="27"/>
        <v>-0.70000000000001705</v>
      </c>
      <c r="O147" s="228"/>
      <c r="P147" s="183"/>
      <c r="Q147" s="185">
        <f t="array" ref="Q147">+INDEX('Réel 2023'!$A$2:$AO$501,MATCH($A147,'Réel 2023'!$A$2:$A$501,0),MATCH(Q$2,'Réel 2023'!$A$2:$AO$2,0))</f>
        <v>179.57</v>
      </c>
      <c r="R147" s="228"/>
      <c r="S147" s="202">
        <f t="shared" si="32"/>
        <v>5.5300000000000011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65.39</v>
      </c>
      <c r="M148" s="228"/>
      <c r="N148" s="230">
        <f t="shared" si="27"/>
        <v>-71.850106666666633</v>
      </c>
      <c r="O148" s="228"/>
      <c r="P148" s="183"/>
      <c r="Q148" s="185">
        <f t="array" ref="Q148">+INDEX('Réel 2023'!$A$2:$AO$501,MATCH($A148,'Réel 2023'!$A$2:$A$501,0),MATCH(Q$2,'Réel 2023'!$A$2:$AO$2,0))</f>
        <v>57.8</v>
      </c>
      <c r="R148" s="228"/>
      <c r="S148" s="202">
        <f t="shared" si="32"/>
        <v>7.5900000000000034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783.16980772679972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975.13</v>
      </c>
      <c r="M149" s="228"/>
      <c r="N149" s="230">
        <f t="shared" si="27"/>
        <v>191.96019227320028</v>
      </c>
      <c r="O149" s="228"/>
      <c r="P149" s="183"/>
      <c r="Q149" s="185">
        <f t="array" ref="Q149">+INDEX('Réel 2023'!$A$2:$AO$501,MATCH($A149,'Réel 2023'!$A$2:$A$501,0),MATCH(Q$2,'Réel 2023'!$A$2:$AO$2,0))</f>
        <v>736.66</v>
      </c>
      <c r="R149" s="228"/>
      <c r="S149" s="202">
        <f>L149-Q149</f>
        <v>238.47000000000003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4.915275253890198E-2</v>
      </c>
      <c r="F153" s="41">
        <f>+SUM(F136:F152)</f>
        <v>4518.3667771385644</v>
      </c>
      <c r="G153" s="42"/>
      <c r="H153" s="40"/>
      <c r="I153" s="41"/>
      <c r="J153" s="42" t="s">
        <v>108</v>
      </c>
      <c r="K153" s="40">
        <f>L153/L$108</f>
        <v>6.1674822258114E-2</v>
      </c>
      <c r="L153" s="41">
        <f>+SUM(L136:L152)</f>
        <v>5040.13</v>
      </c>
      <c r="M153" s="44"/>
      <c r="N153" s="41">
        <f t="shared" si="27"/>
        <v>521.76322286143568</v>
      </c>
      <c r="O153" s="42" t="s">
        <v>108</v>
      </c>
      <c r="P153" s="40">
        <f>Q153/Q$108</f>
        <v>5.2554417931618948E-2</v>
      </c>
      <c r="Q153" s="41">
        <f>+SUM(Q136:Q152)</f>
        <v>4305.9900000000007</v>
      </c>
      <c r="R153" s="44"/>
      <c r="S153" s="290">
        <f>L153-Q153</f>
        <v>734.13999999999942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0.7923248755702349</v>
      </c>
      <c r="F155" s="41">
        <f>F122+F135+F153</f>
        <v>72834.464186793848</v>
      </c>
      <c r="G155" s="42"/>
      <c r="H155" s="40"/>
      <c r="I155" s="41"/>
      <c r="J155" s="42" t="s">
        <v>108</v>
      </c>
      <c r="K155" s="40">
        <f>L155/L$108</f>
        <v>0.87915007923908994</v>
      </c>
      <c r="L155" s="41">
        <f>L122+L135+L153</f>
        <v>71845.050000000017</v>
      </c>
      <c r="M155" s="44"/>
      <c r="N155" s="46">
        <f t="shared" ref="N155:N162" si="33">L155-F155</f>
        <v>-989.41418679383059</v>
      </c>
      <c r="O155" s="42" t="s">
        <v>108</v>
      </c>
      <c r="P155" s="40">
        <f>Q155/Q$108</f>
        <v>0.80746303759627014</v>
      </c>
      <c r="Q155" s="41">
        <f>Q122+Q135+Q153</f>
        <v>66158.62</v>
      </c>
      <c r="R155" s="44"/>
      <c r="S155" s="286">
        <f t="shared" ref="S155:S162" si="34">L155-Q155</f>
        <v>5686.4300000000221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2625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2625</v>
      </c>
      <c r="M156" s="228"/>
      <c r="N156" s="230">
        <f t="shared" si="33"/>
        <v>0</v>
      </c>
      <c r="O156" s="366"/>
      <c r="P156" s="365"/>
      <c r="Q156" s="185">
        <f t="array" ref="Q156">+INDEX('Réel 2023'!$A$2:$AO$501,MATCH($A156,'Réel 2023'!$A$2:$A$501,0),MATCH(Q$2,'Réel 2023'!$A$2:$AO$2,0))</f>
        <v>1500</v>
      </c>
      <c r="R156" s="228"/>
      <c r="S156" s="202">
        <f t="shared" si="34"/>
        <v>1125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1822.0588235294119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-1822.0588235294119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10620.75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13090</v>
      </c>
      <c r="M159" s="228"/>
      <c r="N159" s="230">
        <f t="shared" si="33"/>
        <v>2469.25</v>
      </c>
      <c r="O159" s="228"/>
      <c r="P159" s="183"/>
      <c r="Q159" s="185">
        <f t="array" ref="Q159">+INDEX('Réel 2023'!$A$2:$AO$501,MATCH($A159,'Réel 2023'!$A$2:$A$501,0),MATCH(Q$2,'Réel 2023'!$A$2:$AO$2,0))</f>
        <v>7735</v>
      </c>
      <c r="R159" s="228"/>
      <c r="S159" s="202">
        <f t="shared" si="34"/>
        <v>5355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15067.808823529413</v>
      </c>
      <c r="G163" s="42"/>
      <c r="H163" s="40"/>
      <c r="I163" s="41"/>
      <c r="J163" s="42"/>
      <c r="K163" s="40"/>
      <c r="L163" s="41">
        <f>+SUM(L156:L162)</f>
        <v>15715</v>
      </c>
      <c r="M163" s="44"/>
      <c r="N163" s="41">
        <f>SUM(N156:N159)</f>
        <v>647.19117647058806</v>
      </c>
      <c r="O163" s="42"/>
      <c r="P163" s="40"/>
      <c r="Q163" s="41">
        <f>+SUM(Q156:Q162)</f>
        <v>9235</v>
      </c>
      <c r="R163" s="44"/>
      <c r="S163" s="290">
        <f>+SUM(S156:S162)</f>
        <v>6480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34158.344636735565</v>
      </c>
      <c r="G165" s="312"/>
      <c r="H165" s="310"/>
      <c r="I165" s="311"/>
      <c r="J165" s="313"/>
      <c r="K165" s="314"/>
      <c r="L165" s="311">
        <f>L108-L155+L163</f>
        <v>25590.979999999952</v>
      </c>
      <c r="M165" s="313"/>
      <c r="N165" s="311">
        <f>L165-F165</f>
        <v>-8567.3646367356123</v>
      </c>
      <c r="O165" s="313"/>
      <c r="P165" s="314"/>
      <c r="Q165" s="311">
        <f>Q108-Q155+Q163</f>
        <v>25010.309999999794</v>
      </c>
      <c r="R165" s="313"/>
      <c r="S165" s="315">
        <f>L165-Q165</f>
        <v>580.67000000015832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Avril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43" t="s">
        <v>77</v>
      </c>
      <c r="E170" s="1244"/>
      <c r="F170" s="1245"/>
      <c r="G170" s="1246"/>
      <c r="H170" s="1244"/>
      <c r="I170" s="1245"/>
      <c r="J170" s="1246" t="s">
        <v>78</v>
      </c>
      <c r="K170" s="1244"/>
      <c r="L170" s="1245"/>
      <c r="M170" s="1246" t="s">
        <v>2451</v>
      </c>
      <c r="N170" s="1245"/>
      <c r="O170" s="1243" t="s">
        <v>79</v>
      </c>
      <c r="P170" s="1244"/>
      <c r="Q170" s="1245"/>
      <c r="R170" s="1247" t="s">
        <v>2455</v>
      </c>
      <c r="S170" s="1248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91459.310732889295</v>
      </c>
      <c r="F172" s="200">
        <f>+INDEX('Budget original'!$A$2:$AO$501,MATCH($A172,'Budget original'!$A$2:$A$501,0),MATCH(F$2,'Budget original'!$A$2:$AO$2,0))</f>
        <v>72801.611343379889</v>
      </c>
      <c r="G172" s="316"/>
      <c r="H172" s="200"/>
      <c r="I172" s="200"/>
      <c r="J172" s="229">
        <f>-SUMIFS(BV_Data_An_Cour!$O:$O,BV_Data_An_Cour!$U:$U,$B172,BV_Data_An_Cour!$V:$V,$C172,BV_Data_An_Cour!$W:$W,J$2)</f>
        <v>296</v>
      </c>
      <c r="K172" s="184">
        <f>-SUMIFS(BV_Data_An_Cour!$O:$O,BV_Data_An_Cour!$X:$X,"Oui",BV_Data_An_Cour!$U:$U,$B172,BV_Data_An_Cour!$V:$V,$C172)</f>
        <v>84593.209999999992</v>
      </c>
      <c r="L172" s="185">
        <f>-SUMIFS(BV_Data_An_Cour!$O:$O,BV_Data_An_Cour!$U:$U,$B172,BV_Data_An_Cour!$V:$V,$C172,BV_Data_An_Cour!$W:$W,$L$2)</f>
        <v>66593.14</v>
      </c>
      <c r="M172" s="298">
        <f>(K172-E172)/E172</f>
        <v>-7.5072736475590054E-2</v>
      </c>
      <c r="N172" s="230">
        <f>L172-F172</f>
        <v>-6208.4713433798897</v>
      </c>
      <c r="O172" s="229">
        <f t="array" ref="O172">+INDEX('Réel 2023'!$A$2:$AO$501,MATCH($A172,'Réel 2023'!$A$2:$A$501,0),MATCH(O$2,'Réel 2023'!$A$2:$AO$2,0))</f>
        <v>323</v>
      </c>
      <c r="P172" s="184">
        <f t="array" ref="P172">+INDEX('Réel 2023'!$A$2:$AO$501,MATCH($A172,'Réel 2023'!$A$2:$A$501,0),MATCH(P$2,'Réel 2023'!$A$2:$AO$2,0))</f>
        <v>83273.84</v>
      </c>
      <c r="Q172" s="185">
        <f t="array" ref="Q172">+INDEX('Réel 2023'!$A$2:$AO$501,MATCH($A172,'Réel 2023'!$A$2:$A$501,0),MATCH(Q$2,'Réel 2023'!$A$2:$AO$2,0))</f>
        <v>66604.429999999993</v>
      </c>
      <c r="R172" s="298">
        <f>IF(O172=0,0,J172/O172)</f>
        <v>0.91640866873065019</v>
      </c>
      <c r="S172" s="202">
        <f>L172-Q172</f>
        <v>-11.289999999993597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0.79600000000000015</v>
      </c>
      <c r="G173" s="228"/>
      <c r="H173" s="231"/>
      <c r="I173" s="232"/>
      <c r="J173" s="229"/>
      <c r="K173" s="183"/>
      <c r="L173" s="232">
        <f>IF(L172=0,0,L172/K172)</f>
        <v>0.78721613708712557</v>
      </c>
      <c r="M173" s="298"/>
      <c r="N173" s="230"/>
      <c r="O173" s="229"/>
      <c r="P173" s="183"/>
      <c r="Q173" s="232">
        <f>Q172/P172</f>
        <v>0.79982417047178311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285.7878716216216</v>
      </c>
      <c r="L174" s="323"/>
      <c r="M174" s="325"/>
      <c r="N174" s="284"/>
      <c r="O174" s="307"/>
      <c r="P174" s="502">
        <f>IFERROR(P172/O172,0)</f>
        <v>257.81374613003095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27921.832539270315</v>
      </c>
      <c r="F175" s="200">
        <f>+INDEX('Budget original'!$A$2:$AO$501,MATCH($A175,'Budget original'!$A$2:$A$501,0),MATCH(F$2,'Budget original'!$A$2:$AO$2,0))</f>
        <v>20131.641260813896</v>
      </c>
      <c r="G175" s="319"/>
      <c r="H175" s="200"/>
      <c r="I175" s="200"/>
      <c r="J175" s="319">
        <f>-SUMIFS(BV_Data_An_Cour!$O:$O,BV_Data_An_Cour!$U:$U,$B175,BV_Data_An_Cour!$V:$V,$C175,BV_Data_An_Cour!$W:$W,J$2)</f>
        <v>151</v>
      </c>
      <c r="K175" s="191">
        <f>-SUMIFS(BV_Data_An_Cour!$O:$O,BV_Data_An_Cour!$X:$X,"Oui",BV_Data_An_Cour!$U:$U,$B175,BV_Data_An_Cour!$V:$V,$C175)</f>
        <v>19987.38</v>
      </c>
      <c r="L175" s="185">
        <f>-SUMIFS(BV_Data_An_Cour!$O:$O,BV_Data_An_Cour!$U:$U,$B175,BV_Data_An_Cour!$V:$V,$C175,BV_Data_An_Cour!$W:$W,$L$2)</f>
        <v>12979.78</v>
      </c>
      <c r="M175" s="298">
        <f>(K175-E175)/E175</f>
        <v>-0.28416661148980826</v>
      </c>
      <c r="N175" s="279">
        <f>L175-F175</f>
        <v>-7151.8612608138956</v>
      </c>
      <c r="O175" s="319">
        <f t="array" ref="O175">+INDEX('Réel 2023'!$A$2:$AO$501,MATCH($A175,'Réel 2023'!$A$2:$A$501,0),MATCH(O$2,'Réel 2023'!$A$2:$AO$2,0))</f>
        <v>180</v>
      </c>
      <c r="P175" s="191">
        <f t="array" ref="P175">+INDEX('Réel 2023'!$A$2:$AO$501,MATCH($A175,'Réel 2023'!$A$2:$A$501,0),MATCH(P$2,'Réel 2023'!$A$2:$AO$2,0))</f>
        <v>24617.9899999999</v>
      </c>
      <c r="Q175" s="185">
        <f t="array" ref="Q175">+INDEX('Réel 2023'!$A$2:$AO$501,MATCH($A175,'Réel 2023'!$A$2:$A$501,0),MATCH(Q$2,'Réel 2023'!$A$2:$AO$2,0))</f>
        <v>17286.63</v>
      </c>
      <c r="R175" s="298">
        <f>IF(O175=0,0,J175/O175)</f>
        <v>0.83888888888888891</v>
      </c>
      <c r="S175" s="202">
        <f>L175-Q175</f>
        <v>-4306.8500000000004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0.64939877062426388</v>
      </c>
      <c r="M176" s="240"/>
      <c r="N176" s="239"/>
      <c r="O176" s="228"/>
      <c r="P176" s="183"/>
      <c r="Q176" s="232">
        <f>Q175/P175</f>
        <v>0.70219502079577056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136.76661111111056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47824.028760260728</v>
      </c>
      <c r="F178" s="200">
        <f>+INDEX('Budget original'!$A$2:$AO$501,MATCH($A178,'Budget original'!$A$2:$A$501,0),MATCH(F$2,'Budget original'!$A$2:$AO$2,0))</f>
        <v>29555.249773841129</v>
      </c>
      <c r="G178" s="228"/>
      <c r="H178" s="200"/>
      <c r="I178" s="200"/>
      <c r="J178" s="229">
        <f>-SUMIFS(BV_Data_An_Cour!$O:$O,BV_Data_An_Cour!$U:$U,$B178,BV_Data_An_Cour!$V:$V,$C178,BV_Data_An_Cour!$W:$W,J$2)</f>
        <v>188</v>
      </c>
      <c r="K178" s="191">
        <f>-SUMIFS(BV_Data_An_Cour!$O:$O,BV_Data_An_Cour!$X:$X,"Oui",BV_Data_An_Cour!$U:$U,$B178,BV_Data_An_Cour!$V:$V,$C178)</f>
        <v>41586.22</v>
      </c>
      <c r="L178" s="185">
        <f>-SUMIFS(BV_Data_An_Cour!$O:$O,BV_Data_An_Cour!$U:$U,$B178,BV_Data_An_Cour!$V:$V,$C178,BV_Data_An_Cour!$W:$W,$L$2)</f>
        <v>23730.2</v>
      </c>
      <c r="M178" s="298">
        <f>(K178-E178)/E178</f>
        <v>-0.13043252360712906</v>
      </c>
      <c r="N178" s="230">
        <f>L178-F178</f>
        <v>-5825.0497738411286</v>
      </c>
      <c r="O178" s="229">
        <f t="array" ref="O178">+INDEX('Réel 2023'!$A$2:$AO$501,MATCH($A178,'Réel 2023'!$A$2:$A$501,0),MATCH(O$2,'Réel 2023'!$A$2:$AO$2,0))</f>
        <v>169</v>
      </c>
      <c r="P178" s="191">
        <f t="array" ref="P178">+INDEX('Réel 2023'!$A$2:$AO$501,MATCH($A178,'Réel 2023'!$A$2:$A$501,0),MATCH(P$2,'Réel 2023'!$A$2:$AO$2,0))</f>
        <v>33571.619999999901</v>
      </c>
      <c r="Q178" s="185">
        <f t="array" ref="Q178">+INDEX('Réel 2023'!$A$2:$AO$501,MATCH($A178,'Réel 2023'!$A$2:$A$501,0),MATCH(Q$2,'Réel 2023'!$A$2:$AO$2,0))</f>
        <v>21721.85</v>
      </c>
      <c r="R178" s="298">
        <f>IF(O178=0,0,J178/O178)</f>
        <v>1.1124260355029585</v>
      </c>
      <c r="S178" s="202">
        <f>L178-Q178</f>
        <v>2008.3500000000022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0.57062652003476155</v>
      </c>
      <c r="M179" s="298"/>
      <c r="N179" s="230">
        <f>L179-F179</f>
        <v>-4.7373479965238441E-2</v>
      </c>
      <c r="O179" s="229"/>
      <c r="P179" s="231"/>
      <c r="Q179" s="232">
        <f>Q178/P178</f>
        <v>0.64703014033877615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198.64863905325385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19291.158745703557</v>
      </c>
      <c r="F181" s="200">
        <f>+INDEX('Budget original'!$A$2:$AO$501,MATCH($A181,'Budget original'!$A$2:$A$501,0),MATCH(F$2,'Budget original'!$A$2:$AO$2,0))</f>
        <v>7716.4634982814232</v>
      </c>
      <c r="G181" s="278"/>
      <c r="H181" s="200"/>
      <c r="I181" s="200"/>
      <c r="J181" s="319">
        <f>-SUMIFS(BV_Data_An_Cour!$O:$O,BV_Data_An_Cour!$U:$U,$B181,BV_Data_An_Cour!$V:$V,$C181,BV_Data_An_Cour!$W:$W,J$2)</f>
        <v>129</v>
      </c>
      <c r="K181" s="191">
        <f>-SUMIFS(BV_Data_An_Cour!$O:$O,BV_Data_An_Cour!$X:$X,"Oui",BV_Data_An_Cour!$U:$U,$B181,BV_Data_An_Cour!$V:$V,$C181)</f>
        <v>28303.97</v>
      </c>
      <c r="L181" s="186">
        <f>-SUMIFS(BV_Data_An_Cour!$O:$O,BV_Data_An_Cour!$U:$U,$B181,BV_Data_An_Cour!$V:$V,$C181,BV_Data_An_Cour!$W:$W,$L$2)</f>
        <v>11603.560000000001</v>
      </c>
      <c r="M181" s="320">
        <f>IF(E181=0,0,(K181-E181)/E181)</f>
        <v>0.46719906114005405</v>
      </c>
      <c r="N181" s="279">
        <f>L181-F181</f>
        <v>3887.0965017185781</v>
      </c>
      <c r="O181" s="319">
        <f t="array" ref="O181">+INDEX('Réel 2023'!$A$2:$AO$501,MATCH($A181,'Réel 2023'!$A$2:$A$501,0),MATCH(O$2,'Réel 2023'!$A$2:$AO$2,0))</f>
        <v>107</v>
      </c>
      <c r="P181" s="191">
        <f t="array" ref="P181">+INDEX('Réel 2023'!$A$2:$AO$501,MATCH($A181,'Réel 2023'!$A$2:$A$501,0),MATCH(P$2,'Réel 2023'!$A$2:$AO$2,0))</f>
        <v>20548.03</v>
      </c>
      <c r="Q181" s="186">
        <f t="array" ref="Q181">+INDEX('Réel 2023'!$A$2:$AO$501,MATCH($A181,'Réel 2023'!$A$2:$A$501,0),MATCH(Q$2,'Réel 2023'!$A$2:$AO$2,0))</f>
        <v>8942.52</v>
      </c>
      <c r="R181" s="298">
        <f>IF(O181=0,0,J181/O181)</f>
        <v>1.205607476635514</v>
      </c>
      <c r="S181" s="204">
        <f>L181-Q181</f>
        <v>2661.0400000000009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0.4099622773766366</v>
      </c>
      <c r="M182" s="229">
        <f>J182-D182</f>
        <v>0</v>
      </c>
      <c r="N182" s="235"/>
      <c r="O182" s="233"/>
      <c r="P182" s="234"/>
      <c r="Q182" s="232">
        <f>IFERROR(Q181/P181,0)</f>
        <v>0.43520084407118353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192.03766355140186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-2814.5682450903769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-4926.28</v>
      </c>
      <c r="M184" s="233"/>
      <c r="N184" s="230">
        <f>L184-F184</f>
        <v>-2111.7117549096229</v>
      </c>
      <c r="O184" s="229"/>
      <c r="P184" s="200"/>
      <c r="Q184" s="200">
        <f t="array" ref="Q184">+INDEX('Réel 2023'!$A$2:$AO$501,MATCH($A184,'Réel 2023'!$A$2:$A$501,0),MATCH(Q$2,'Réel 2023'!$A$2:$AO$2,0))</f>
        <v>-2221.81</v>
      </c>
      <c r="R184" s="212"/>
      <c r="S184" s="202">
        <f>L184-Q184</f>
        <v>-2704.47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186496.3307781239</v>
      </c>
      <c r="F185" s="59">
        <f>F172+F175+F178+F181+F184</f>
        <v>127390.39763122596</v>
      </c>
      <c r="G185" s="60"/>
      <c r="H185" s="58"/>
      <c r="I185" s="59"/>
      <c r="J185" s="60">
        <f>J172+J175+J178+J181+J184</f>
        <v>764</v>
      </c>
      <c r="K185" s="58">
        <f>K172+K175+K178+K181+K184</f>
        <v>174470.78</v>
      </c>
      <c r="L185" s="59">
        <f>L172+L175+L178+L181+L184</f>
        <v>109980.4</v>
      </c>
      <c r="M185" s="61">
        <f>(K185-E185)/E185</f>
        <v>-6.4481433645098299E-2</v>
      </c>
      <c r="N185" s="59">
        <f>L185-F185</f>
        <v>-17409.997631225968</v>
      </c>
      <c r="O185" s="60">
        <f t="shared" ref="O185:Q185" si="36">O172+O175+O178+O181+O184</f>
        <v>779</v>
      </c>
      <c r="P185" s="58">
        <f t="shared" si="36"/>
        <v>162011.47999999981</v>
      </c>
      <c r="Q185" s="59">
        <f t="shared" si="36"/>
        <v>112333.62000000001</v>
      </c>
      <c r="R185" s="339">
        <f>IF(O185=0,0,J185/O185)</f>
        <v>0.98074454428754809</v>
      </c>
      <c r="S185" s="340">
        <f>L185-Q185</f>
        <v>-2353.2200000000157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0.68307187117146706</v>
      </c>
      <c r="G186" s="64"/>
      <c r="H186" s="62"/>
      <c r="I186" s="239"/>
      <c r="J186" s="64"/>
      <c r="K186" s="65">
        <f>IF(J185=0,0,K185/J185)</f>
        <v>228.36489528795812</v>
      </c>
      <c r="L186" s="239">
        <f>IF(L185=0,0,L185/K185)</f>
        <v>0.63036572657037471</v>
      </c>
      <c r="M186" s="64"/>
      <c r="N186" s="63">
        <f>N185/F185</f>
        <v>-0.13666648314910687</v>
      </c>
      <c r="O186" s="64"/>
      <c r="P186" s="65">
        <f>IF(O185=0,0,P185/O185)</f>
        <v>207.97365853658511</v>
      </c>
      <c r="Q186" s="239">
        <f>Q185/P185</f>
        <v>0.69336827242118981</v>
      </c>
      <c r="R186" s="64"/>
      <c r="S186" s="267">
        <f>IF(R185=0,0,S185/R185)</f>
        <v>-2399.4219633508014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3723.0847765048825</v>
      </c>
      <c r="F188" s="200">
        <f>+INDEX('Budget original'!$A$2:$AO$501,MATCH($A188,'Budget original'!$A$2:$A$501,0),MATCH(F$2,'Budget original'!$A$2:$AO$2,0))</f>
        <v>636.647496782335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2037.93</v>
      </c>
      <c r="L188" s="185">
        <f>-SUMIFS(BV_Data_An_Cour!$O:$O,BV_Data_An_Cour!$U:$U,$B188,BV_Data_An_Cour!$V:$V,$C188,BV_Data_An_Cour!$W:$W,$L$2)</f>
        <v>18.720000000000027</v>
      </c>
      <c r="M188" s="452">
        <f>IF(E188=0,0,(K188-E188)/E188)</f>
        <v>-0.45262326207002301</v>
      </c>
      <c r="N188" s="230">
        <f>L188-F188</f>
        <v>-617.92749678233497</v>
      </c>
      <c r="O188" s="229"/>
      <c r="P188" s="184">
        <f t="array" ref="P188">+INDEX('Réel 2023'!$A$2:$AO$501,MATCH($A188,'Réel 2023'!$A$2:$A$501,0),MATCH(P$2,'Réel 2023'!$A$2:$AO$2,0))</f>
        <v>5154.13</v>
      </c>
      <c r="Q188" s="185">
        <f t="array" ref="Q188">+INDEX('Réel 2023'!$A$2:$AO$501,MATCH($A188,'Réel 2023'!$A$2:$A$501,0),MATCH(Q$2,'Réel 2023'!$A$2:$AO$2,0))</f>
        <v>493.9</v>
      </c>
      <c r="R188" s="298">
        <f>IF(O188=0,0,J188/O188)</f>
        <v>0</v>
      </c>
      <c r="S188" s="202">
        <f>L188-Q188</f>
        <v>-475.17999999999995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9.1857914648687776E-3</v>
      </c>
      <c r="M189" s="233"/>
      <c r="N189" s="235"/>
      <c r="O189" s="233"/>
      <c r="P189" s="234"/>
      <c r="Q189" s="232">
        <f>IFERROR(Q188/P188,0)</f>
        <v>9.5826065698769725E-2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190219.41555462879</v>
      </c>
      <c r="F194" s="28">
        <f>F185+F188+F191</f>
        <v>128027.04512800829</v>
      </c>
      <c r="G194" s="29"/>
      <c r="H194" s="26"/>
      <c r="I194" s="28"/>
      <c r="J194" s="29"/>
      <c r="K194" s="26">
        <f>K185+K188+K191</f>
        <v>176508.71</v>
      </c>
      <c r="L194" s="28">
        <f>L185+L188+L191</f>
        <v>109999.12</v>
      </c>
      <c r="M194" s="70">
        <f>L195-F195</f>
        <v>-4.9855581096507229E-2</v>
      </c>
      <c r="N194" s="28">
        <f>L194-F194</f>
        <v>-18027.925128008297</v>
      </c>
      <c r="O194" s="29"/>
      <c r="P194" s="26">
        <f t="shared" ref="P194:Q194" si="37">P185+P188+P191</f>
        <v>167165.60999999981</v>
      </c>
      <c r="Q194" s="28">
        <f t="shared" si="37"/>
        <v>112827.52</v>
      </c>
      <c r="R194" s="70">
        <f>L195-Q195</f>
        <v>-5.1750843170722205E-2</v>
      </c>
      <c r="S194" s="326">
        <f>L194-Q194</f>
        <v>-2828.4000000000087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0.6730493033779742</v>
      </c>
      <c r="G195" s="31"/>
      <c r="H195" s="328"/>
      <c r="I195" s="34"/>
      <c r="J195" s="31"/>
      <c r="K195" s="328"/>
      <c r="L195" s="34">
        <f>L194/K194</f>
        <v>0.62319372228146697</v>
      </c>
      <c r="M195" s="33"/>
      <c r="N195" s="34">
        <f>N194/F194</f>
        <v>-0.14081341258780919</v>
      </c>
      <c r="O195" s="31"/>
      <c r="P195" s="328"/>
      <c r="Q195" s="34">
        <f>Q194/P194</f>
        <v>0.67494456545218917</v>
      </c>
      <c r="R195" s="33"/>
      <c r="S195" s="264">
        <f>L194/S194</f>
        <v>-38.890934804129422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9703.5640585241727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8159.54</v>
      </c>
      <c r="M198" s="228"/>
      <c r="N198" s="230">
        <f t="shared" ref="N198:N229" si="38">L198-F198</f>
        <v>-1544.0240585241727</v>
      </c>
      <c r="O198" s="228"/>
      <c r="P198" s="183"/>
      <c r="Q198" s="185">
        <f t="array" ref="Q198">+INDEX('Réel 2023'!$A$2:$AO$501,MATCH($A198,'Réel 2023'!$A$2:$A$501,0),MATCH(Q$2,'Réel 2023'!$A$2:$AO$2,0))</f>
        <v>8017.16</v>
      </c>
      <c r="R198" s="228"/>
      <c r="S198" s="202">
        <f t="shared" ref="S198:S228" si="39">L198-Q198</f>
        <v>142.38000000000011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5070.0260814249359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4621.95</v>
      </c>
      <c r="M199" s="228"/>
      <c r="N199" s="230">
        <f t="shared" si="38"/>
        <v>-448.07608142493609</v>
      </c>
      <c r="O199" s="228"/>
      <c r="P199" s="183"/>
      <c r="Q199" s="185">
        <f t="array" ref="Q199">+INDEX('Réel 2023'!$A$2:$AO$501,MATCH($A199,'Réel 2023'!$A$2:$A$501,0),MATCH(Q$2,'Réel 2023'!$A$2:$AO$2,0))</f>
        <v>4395.41</v>
      </c>
      <c r="R199" s="228"/>
      <c r="S199" s="202">
        <f t="shared" si="39"/>
        <v>226.53999999999996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4472.1755725190842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8534</v>
      </c>
      <c r="M200" s="278"/>
      <c r="N200" s="279">
        <f t="shared" si="38"/>
        <v>4061.8244274809158</v>
      </c>
      <c r="O200" s="278"/>
      <c r="P200" s="276"/>
      <c r="Q200" s="186">
        <f t="array" ref="Q200">+INDEX('Réel 2023'!$A$2:$AO$501,MATCH($A200,'Réel 2023'!$A$2:$A$501,0),MATCH(Q$2,'Réel 2023'!$A$2:$AO$2,0))</f>
        <v>6608.1</v>
      </c>
      <c r="R200" s="278"/>
      <c r="S200" s="204">
        <f t="shared" si="39"/>
        <v>1925.8999999999996</v>
      </c>
      <c r="T200" s="25"/>
      <c r="U200" s="25"/>
      <c r="V200" s="25" t="s">
        <v>2913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13563.745330702255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12116.41</v>
      </c>
      <c r="M201" s="228"/>
      <c r="N201" s="230">
        <f t="shared" si="38"/>
        <v>-1447.3353307022553</v>
      </c>
      <c r="O201" s="228"/>
      <c r="P201" s="183"/>
      <c r="Q201" s="185">
        <f t="array" ref="Q201">+INDEX('Réel 2023'!$A$2:$AO$501,MATCH($A201,'Réel 2023'!$A$2:$A$501,0),MATCH(Q$2,'Réel 2023'!$A$2:$AO$2,0))</f>
        <v>11493.78</v>
      </c>
      <c r="R201" s="228"/>
      <c r="S201" s="202">
        <f t="shared" si="39"/>
        <v>622.6299999999992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7772.8074175562506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3656.35</v>
      </c>
      <c r="M205" s="228"/>
      <c r="N205" s="230">
        <f t="shared" si="38"/>
        <v>-4116.4574175562502</v>
      </c>
      <c r="O205" s="228"/>
      <c r="P205" s="183"/>
      <c r="Q205" s="185">
        <f t="array" ref="Q205">+INDEX('Réel 2023'!$A$2:$AO$501,MATCH($A205,'Réel 2023'!$A$2:$A$501,0),MATCH(Q$2,'Réel 2023'!$A$2:$AO$2,0))</f>
        <v>5249.73</v>
      </c>
      <c r="R205" s="228"/>
      <c r="S205" s="202">
        <f>L205-Q205</f>
        <v>-1593.3799999999997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10251.640070301715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9937.5</v>
      </c>
      <c r="M206" s="278"/>
      <c r="N206" s="279">
        <f t="shared" si="38"/>
        <v>-314.14007030171524</v>
      </c>
      <c r="O206" s="278"/>
      <c r="P206" s="276"/>
      <c r="Q206" s="186">
        <f t="array" ref="Q206">+INDEX('Réel 2023'!$A$2:$AO$501,MATCH($A206,'Réel 2023'!$A$2:$A$501,0),MATCH(Q$2,'Réel 2023'!$A$2:$AO$2,0))</f>
        <v>9760.92</v>
      </c>
      <c r="R206" s="278"/>
      <c r="S206" s="204">
        <f t="shared" si="39"/>
        <v>176.57999999999993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4673.5417967551939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4285.6000000000004</v>
      </c>
      <c r="M207" s="228"/>
      <c r="N207" s="230">
        <f t="shared" si="38"/>
        <v>-387.94179675519354</v>
      </c>
      <c r="O207" s="228"/>
      <c r="P207" s="183"/>
      <c r="Q207" s="185">
        <f t="array" ref="Q207">+INDEX('Réel 2023'!$A$2:$AO$501,MATCH($A207,'Réel 2023'!$A$2:$A$501,0),MATCH(Q$2,'Réel 2023'!$A$2:$AO$2,0))</f>
        <v>3933.57</v>
      </c>
      <c r="R207" s="228"/>
      <c r="S207" s="202">
        <f t="shared" si="39"/>
        <v>352.0300000000002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1055.3158895898825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1263.33</v>
      </c>
      <c r="M208" s="763"/>
      <c r="N208" s="199">
        <f t="shared" si="38"/>
        <v>208.01411041011738</v>
      </c>
      <c r="O208" s="763"/>
      <c r="P208" s="764"/>
      <c r="Q208" s="182">
        <f t="array" ref="Q208">+INDEX('Réel 2023'!$A$2:$AO$501,MATCH($A208,'Réel 2023'!$A$2:$A$501,0),MATCH(Q$2,'Réel 2023'!$A$2:$AO$2,0))</f>
        <v>1030.92</v>
      </c>
      <c r="R208" s="763"/>
      <c r="S208" s="765">
        <f t="shared" si="39"/>
        <v>232.40999999999985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0.44180365297675156</v>
      </c>
      <c r="F210" s="41">
        <f>+SUM(F198:F209)</f>
        <v>56562.816217373489</v>
      </c>
      <c r="G210" s="42"/>
      <c r="H210" s="40"/>
      <c r="I210" s="41"/>
      <c r="J210" s="42" t="s">
        <v>162</v>
      </c>
      <c r="K210" s="40">
        <f>L210/L$194</f>
        <v>0.47795546000731637</v>
      </c>
      <c r="L210" s="41">
        <f>+SUM(L198:L209)</f>
        <v>52574.679999999993</v>
      </c>
      <c r="M210" s="43"/>
      <c r="N210" s="46">
        <f t="shared" si="38"/>
        <v>-3988.136217373496</v>
      </c>
      <c r="O210" s="42" t="s">
        <v>162</v>
      </c>
      <c r="P210" s="40">
        <f>Q210/Q$194</f>
        <v>0.44749357249011579</v>
      </c>
      <c r="Q210" s="41">
        <f>+SUM(Q198:Q209)</f>
        <v>50489.589999999989</v>
      </c>
      <c r="R210" s="43"/>
      <c r="S210" s="286">
        <f t="shared" si="39"/>
        <v>2085.0900000000038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5906.8019975352545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7062.93</v>
      </c>
      <c r="M211" s="228"/>
      <c r="N211" s="230">
        <f t="shared" si="38"/>
        <v>1156.1280024647458</v>
      </c>
      <c r="O211" s="228"/>
      <c r="P211" s="183"/>
      <c r="Q211" s="185">
        <f t="array" ref="Q211">+INDEX('Réel 2023'!$A$2:$AO$501,MATCH($A211,'Réel 2023'!$A$2:$A$501,0),MATCH(Q$2,'Réel 2023'!$A$2:$AO$2,0))</f>
        <v>7161.73</v>
      </c>
      <c r="R211" s="228"/>
      <c r="S211" s="202">
        <f t="shared" si="39"/>
        <v>-98.799999999999272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2513.5</v>
      </c>
      <c r="M212" s="228"/>
      <c r="N212" s="230">
        <f t="shared" si="38"/>
        <v>-1186.5</v>
      </c>
      <c r="O212" s="228"/>
      <c r="P212" s="183"/>
      <c r="Q212" s="185">
        <f t="array" ref="Q212">+INDEX('Réel 2023'!$A$2:$AO$501,MATCH($A212,'Réel 2023'!$A$2:$A$501,0),MATCH(Q$2,'Réel 2023'!$A$2:$AO$2,0))</f>
        <v>2346.87</v>
      </c>
      <c r="R212" s="228"/>
      <c r="S212" s="202">
        <f t="shared" si="39"/>
        <v>166.63000000000011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4922.0499999999993</v>
      </c>
      <c r="M213" s="283"/>
      <c r="N213" s="284">
        <f t="shared" si="38"/>
        <v>99.341666666665333</v>
      </c>
      <c r="O213" s="283"/>
      <c r="P213" s="281"/>
      <c r="Q213" s="185">
        <f t="array" ref="Q213">+INDEX('Réel 2023'!$A$2:$AO$501,MATCH($A213,'Réel 2023'!$A$2:$A$501,0),MATCH(Q$2,'Réel 2023'!$A$2:$AO$2,0))</f>
        <v>6115.07</v>
      </c>
      <c r="R213" s="283"/>
      <c r="S213" s="205">
        <f t="shared" si="39"/>
        <v>-1193.0200000000004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5548.89</v>
      </c>
      <c r="M214" s="228"/>
      <c r="N214" s="230">
        <f t="shared" si="38"/>
        <v>21.865000000000691</v>
      </c>
      <c r="O214" s="228"/>
      <c r="P214" s="183"/>
      <c r="Q214" s="186">
        <f t="array" ref="Q214">+INDEX('Réel 2023'!$A$2:$AO$501,MATCH($A214,'Réel 2023'!$A$2:$A$501,0),MATCH(Q$2,'Réel 2023'!$A$2:$AO$2,0))</f>
        <v>4709.49</v>
      </c>
      <c r="R214" s="228"/>
      <c r="S214" s="202">
        <f t="shared" si="39"/>
        <v>839.40000000000055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885.31</v>
      </c>
      <c r="M215" s="228"/>
      <c r="N215" s="230">
        <f t="shared" si="38"/>
        <v>474.00999999999993</v>
      </c>
      <c r="O215" s="228"/>
      <c r="P215" s="183"/>
      <c r="Q215" s="185">
        <f t="array" ref="Q215">+INDEX('Réel 2023'!$A$2:$AO$501,MATCH($A215,'Réel 2023'!$A$2:$A$501,0),MATCH(Q$2,'Réel 2023'!$A$2:$AO$2,0))</f>
        <v>333.52</v>
      </c>
      <c r="R215" s="228"/>
      <c r="S215" s="202">
        <f t="shared" si="39"/>
        <v>551.79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5229</v>
      </c>
      <c r="M216" s="283"/>
      <c r="N216" s="284">
        <f t="shared" si="38"/>
        <v>-223.22500000000036</v>
      </c>
      <c r="O216" s="283"/>
      <c r="P216" s="281"/>
      <c r="Q216" s="185">
        <f t="array" ref="Q216">+INDEX('Réel 2023'!$A$2:$AO$501,MATCH($A216,'Réel 2023'!$A$2:$A$501,0),MATCH(Q$2,'Réel 2023'!$A$2:$AO$2,0))</f>
        <v>7336.84</v>
      </c>
      <c r="R216" s="283"/>
      <c r="S216" s="205">
        <f t="shared" si="39"/>
        <v>-2107.84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1231.3253012048192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-28.96</v>
      </c>
      <c r="M218" s="228"/>
      <c r="N218" s="230">
        <f t="shared" si="38"/>
        <v>-1260.2853012048192</v>
      </c>
      <c r="O218" s="228"/>
      <c r="P218" s="183"/>
      <c r="Q218" s="185">
        <f t="array" ref="Q218">+INDEX('Réel 2023'!$A$2:$AO$501,MATCH($A218,'Réel 2023'!$A$2:$A$501,0),MATCH(Q$2,'Réel 2023'!$A$2:$AO$2,0))</f>
        <v>853.88</v>
      </c>
      <c r="R218" s="228"/>
      <c r="S218" s="202">
        <f t="shared" si="39"/>
        <v>-882.84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1182</v>
      </c>
      <c r="M219" s="228"/>
      <c r="N219" s="230">
        <f t="shared" si="38"/>
        <v>232</v>
      </c>
      <c r="O219" s="228"/>
      <c r="P219" s="183"/>
      <c r="Q219" s="185">
        <f t="array" ref="Q219">+INDEX('Réel 2023'!$A$2:$AO$501,MATCH($A219,'Réel 2023'!$A$2:$A$501,0),MATCH(Q$2,'Réel 2023'!$A$2:$AO$2,0))</f>
        <v>1079.75</v>
      </c>
      <c r="R219" s="228"/>
      <c r="S219" s="202">
        <f t="shared" si="39"/>
        <v>102.25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464.49</v>
      </c>
      <c r="M220" s="228"/>
      <c r="N220" s="230">
        <f t="shared" si="38"/>
        <v>70.740000000000009</v>
      </c>
      <c r="O220" s="228"/>
      <c r="P220" s="183"/>
      <c r="Q220" s="478">
        <f t="array" ref="Q220">+INDEX('Réel 2023'!$A$2:$AO$501,MATCH($A220,'Réel 2023'!$A$2:$A$501,0),MATCH(Q$2,'Réel 2023'!$A$2:$AO$2,0))</f>
        <v>347.68</v>
      </c>
      <c r="R220" s="228"/>
      <c r="S220" s="202">
        <f t="shared" si="39"/>
        <v>116.81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114.27</v>
      </c>
      <c r="M221" s="228"/>
      <c r="N221" s="230">
        <f t="shared" si="38"/>
        <v>3.0699999999999932</v>
      </c>
      <c r="O221" s="228"/>
      <c r="P221" s="183"/>
      <c r="Q221" s="185">
        <f t="array" ref="Q221">+INDEX('Réel 2023'!$A$2:$AO$501,MATCH($A221,'Réel 2023'!$A$2:$A$501,0),MATCH(Q$2,'Réel 2023'!$A$2:$AO$2,0))</f>
        <v>166.65</v>
      </c>
      <c r="R221" s="228"/>
      <c r="S221" s="202">
        <f t="shared" si="39"/>
        <v>-52.38000000000001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158.36000000000001</v>
      </c>
      <c r="M222" s="228"/>
      <c r="N222" s="230">
        <f t="shared" si="38"/>
        <v>45.860000000000014</v>
      </c>
      <c r="O222" s="228"/>
      <c r="P222" s="183"/>
      <c r="Q222" s="185">
        <f t="array" ref="Q222">+INDEX('Réel 2023'!$A$2:$AO$501,MATCH($A222,'Réel 2023'!$A$2:$A$501,0),MATCH(Q$2,'Réel 2023'!$A$2:$AO$2,0))</f>
        <v>233.87</v>
      </c>
      <c r="R222" s="228"/>
      <c r="S222" s="202">
        <f t="shared" si="39"/>
        <v>-75.509999999999991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416.49</v>
      </c>
      <c r="M223" s="228"/>
      <c r="N223" s="230">
        <f t="shared" si="38"/>
        <v>-1.5600000000000023</v>
      </c>
      <c r="O223" s="228"/>
      <c r="P223" s="183"/>
      <c r="Q223" s="185">
        <f t="array" ref="Q223">+INDEX('Réel 2023'!$A$2:$AO$501,MATCH($A223,'Réel 2023'!$A$2:$A$501,0),MATCH(Q$2,'Réel 2023'!$A$2:$AO$2,0))</f>
        <v>404.05</v>
      </c>
      <c r="R223" s="228"/>
      <c r="S223" s="202">
        <f t="shared" si="39"/>
        <v>12.439999999999998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147.12</v>
      </c>
      <c r="M224" s="228"/>
      <c r="N224" s="230">
        <f t="shared" si="38"/>
        <v>-1581.4619066666669</v>
      </c>
      <c r="O224" s="228"/>
      <c r="P224" s="183"/>
      <c r="Q224" s="185">
        <f t="array" ref="Q224">+INDEX('Réel 2023'!$A$2:$AO$501,MATCH($A224,'Réel 2023'!$A$2:$A$501,0),MATCH(Q$2,'Réel 2023'!$A$2:$AO$2,0))</f>
        <v>3760.83</v>
      </c>
      <c r="R224" s="228"/>
      <c r="S224" s="202">
        <f t="shared" si="39"/>
        <v>-3613.71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1762.1320673852995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2194.0300000000002</v>
      </c>
      <c r="M225" s="228"/>
      <c r="N225" s="230">
        <f t="shared" si="38"/>
        <v>431.89793261470072</v>
      </c>
      <c r="O225" s="228"/>
      <c r="P225" s="183"/>
      <c r="Q225" s="185">
        <f t="array" ref="Q225">+INDEX('Réel 2023'!$A$2:$AO$501,MATCH($A225,'Réel 2023'!$A$2:$A$501,0),MATCH(Q$2,'Réel 2023'!$A$2:$AO$2,0))</f>
        <v>1657.48</v>
      </c>
      <c r="R225" s="228"/>
      <c r="S225" s="202">
        <f t="shared" si="39"/>
        <v>536.55000000000018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0.25406818983912766</v>
      </c>
      <c r="F229" s="41">
        <f>+SUM(F211:F228)</f>
        <v>32527.599606125375</v>
      </c>
      <c r="G229" s="42"/>
      <c r="H229" s="40"/>
      <c r="I229" s="41"/>
      <c r="J229" s="42" t="s">
        <v>162</v>
      </c>
      <c r="K229" s="40">
        <f>L229/L$194</f>
        <v>0.28008842252556204</v>
      </c>
      <c r="L229" s="41">
        <f>+SUM(L211:L228)</f>
        <v>30809.480000000003</v>
      </c>
      <c r="M229" s="44"/>
      <c r="N229" s="41">
        <f t="shared" si="38"/>
        <v>-1718.1196061253722</v>
      </c>
      <c r="O229" s="42" t="s">
        <v>162</v>
      </c>
      <c r="P229" s="40">
        <f>Q229/Q$194</f>
        <v>0.32357096921034867</v>
      </c>
      <c r="Q229" s="41">
        <f>+SUM(Q211:Q228)</f>
        <v>36507.71</v>
      </c>
      <c r="R229" s="44"/>
      <c r="S229" s="290">
        <f>L229-Q229</f>
        <v>-5698.2299999999959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0.69587184281587922</v>
      </c>
      <c r="F231" s="41">
        <f>F210+F229</f>
        <v>89090.415823498857</v>
      </c>
      <c r="G231" s="42"/>
      <c r="H231" s="40"/>
      <c r="I231" s="41"/>
      <c r="J231" s="42" t="s">
        <v>108</v>
      </c>
      <c r="K231" s="40">
        <f>L231/L$194</f>
        <v>0.75804388253287847</v>
      </c>
      <c r="L231" s="41">
        <f>L210+L229</f>
        <v>83384.160000000003</v>
      </c>
      <c r="M231" s="44"/>
      <c r="N231" s="46">
        <f>L231-F231</f>
        <v>-5706.2558234988537</v>
      </c>
      <c r="O231" s="42" t="s">
        <v>108</v>
      </c>
      <c r="P231" s="40">
        <f>Q231/Q$194</f>
        <v>0.77106454170046446</v>
      </c>
      <c r="Q231" s="41">
        <f>Q210+Q229</f>
        <v>86997.299999999988</v>
      </c>
      <c r="R231" s="44"/>
      <c r="S231" s="286">
        <f>L231-Q231</f>
        <v>-3613.1399999999849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38936.629304509435</v>
      </c>
      <c r="G233" s="312"/>
      <c r="H233" s="310"/>
      <c r="I233" s="311"/>
      <c r="J233" s="313"/>
      <c r="K233" s="314"/>
      <c r="L233" s="311">
        <f>L194-L231</f>
        <v>26614.959999999992</v>
      </c>
      <c r="M233" s="313"/>
      <c r="N233" s="311">
        <f>L233-F233</f>
        <v>-12321.669304509443</v>
      </c>
      <c r="O233" s="313"/>
      <c r="P233" s="314"/>
      <c r="Q233" s="311">
        <f>Q194-Q231</f>
        <v>25830.220000000016</v>
      </c>
      <c r="R233" s="313"/>
      <c r="S233" s="315">
        <f>L233-Q233</f>
        <v>784.73999999997613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Avril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43" t="s">
        <v>77</v>
      </c>
      <c r="E238" s="1244"/>
      <c r="F238" s="1245"/>
      <c r="G238" s="1246"/>
      <c r="H238" s="1244"/>
      <c r="I238" s="1245"/>
      <c r="J238" s="1246" t="s">
        <v>78</v>
      </c>
      <c r="K238" s="1244"/>
      <c r="L238" s="1245"/>
      <c r="M238" s="1246" t="s">
        <v>2451</v>
      </c>
      <c r="N238" s="1245"/>
      <c r="O238" s="1243" t="s">
        <v>79</v>
      </c>
      <c r="P238" s="1244"/>
      <c r="Q238" s="1245"/>
      <c r="R238" s="1247" t="s">
        <v>2455</v>
      </c>
      <c r="S238" s="1248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1565.8512052804426</v>
      </c>
      <c r="F241" s="200">
        <f>+INDEX('Budget original'!$A$2:$AO$501,MATCH($A241,'Budget original'!$A$2:$A$501,0),MATCH(F$2,'Budget original'!$A$2:$AO$2,0))</f>
        <v>281.85321695047969</v>
      </c>
      <c r="G241" s="316"/>
      <c r="H241" s="200"/>
      <c r="I241" s="200"/>
      <c r="J241" s="229">
        <f>-SUMIFS(BV_Data_An_Cour!$O:$O,BV_Data_An_Cour!$U:$U,$B241,BV_Data_An_Cour!$V:$V,$C241,BV_Data_An_Cour!$W:$W,J$2)</f>
        <v>1</v>
      </c>
      <c r="K241" s="184">
        <f>-SUMIFS(BV_Data_An_Cour!$O:$O,BV_Data_An_Cour!$X:$X,"Oui",BV_Data_An_Cour!$U:$U,$B241,BV_Data_An_Cour!$V:$V,$C241)</f>
        <v>349.28</v>
      </c>
      <c r="L241" s="185">
        <f>-SUMIFS(BV_Data_An_Cour!$O:$O,BV_Data_An_Cour!$U:$U,$B241,BV_Data_An_Cour!$V:$V,$C241,BV_Data_An_Cour!$W:$W,$L$2)</f>
        <v>33.75</v>
      </c>
      <c r="M241" s="298">
        <f>IFERROR((K241-E241)/E241,0)</f>
        <v>-0.77693921438886382</v>
      </c>
      <c r="N241" s="230">
        <f>L241-F241</f>
        <v>-248.10321695047969</v>
      </c>
      <c r="O241" s="229">
        <f t="array" ref="O241">+INDEX('Réel 2023'!$A$2:$AO$501,MATCH($A241,'Réel 2023'!$A$2:$A$501,0),MATCH(O$2,'Réel 2023'!$A$2:$AO$2,0))</f>
        <v>12</v>
      </c>
      <c r="P241" s="184">
        <f t="array" ref="P241">+INDEX('Réel 2023'!$A$2:$AO$501,MATCH($A241,'Réel 2023'!$A$2:$A$501,0),MATCH(P$2,'Réel 2023'!$A$2:$AO$2,0))</f>
        <v>2141.08</v>
      </c>
      <c r="Q241" s="185">
        <f t="array" ref="Q241">+INDEX('Réel 2023'!$A$2:$AO$501,MATCH($A241,'Réel 2023'!$A$2:$A$501,0),MATCH(Q$2,'Réel 2023'!$A$2:$AO$2,0))</f>
        <v>432.099999999999</v>
      </c>
      <c r="R241" s="298">
        <f>IF(O241=0,0,J241/O241)</f>
        <v>8.3333333333333329E-2</v>
      </c>
      <c r="S241" s="202">
        <f>L241-Q241</f>
        <v>-398.349999999999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0.18000000000000002</v>
      </c>
      <c r="G242" s="228"/>
      <c r="H242" s="231"/>
      <c r="I242" s="232"/>
      <c r="J242" s="229"/>
      <c r="K242" s="183"/>
      <c r="L242" s="232">
        <f>IFERROR(L241/K241,0)</f>
        <v>9.6627347686669723E-2</v>
      </c>
      <c r="M242" s="298"/>
      <c r="N242" s="1040">
        <f>IFERROR(N241/M241,0)</f>
        <v>319.33414140466101</v>
      </c>
      <c r="O242" s="229"/>
      <c r="P242" s="183"/>
      <c r="Q242" s="232">
        <f>IFERROR(Q241/P241,0)</f>
        <v>0.20181403777532789</v>
      </c>
      <c r="R242" s="229"/>
      <c r="S242" s="202">
        <f>IFERROR(S241/R241,0)</f>
        <v>-4780.199999999988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1565.8512052804426</v>
      </c>
      <c r="F250" s="28">
        <f>F244+F247+F241</f>
        <v>281.85321695047969</v>
      </c>
      <c r="G250" s="29"/>
      <c r="H250" s="26"/>
      <c r="I250" s="28"/>
      <c r="J250" s="29"/>
      <c r="K250" s="26">
        <f>K244+K247+K241</f>
        <v>349.28</v>
      </c>
      <c r="L250" s="28">
        <f>L244+L247+L241</f>
        <v>33.75</v>
      </c>
      <c r="M250" s="70">
        <f>L251-F251</f>
        <v>-8.3372652313330298E-2</v>
      </c>
      <c r="N250" s="28">
        <f>L250-F250</f>
        <v>-248.10321695047969</v>
      </c>
      <c r="O250" s="29"/>
      <c r="P250" s="26">
        <f t="shared" ref="P250:Q250" si="41">P244+P247+P241</f>
        <v>2141.08</v>
      </c>
      <c r="Q250" s="28">
        <f t="shared" si="41"/>
        <v>432.099999999999</v>
      </c>
      <c r="R250" s="70">
        <f>L251-Q251</f>
        <v>-0.10518669008865816</v>
      </c>
      <c r="S250" s="326">
        <f>L250-Q250</f>
        <v>-398.349999999999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0.18000000000000002</v>
      </c>
      <c r="G251" s="31"/>
      <c r="H251" s="328"/>
      <c r="I251" s="34"/>
      <c r="J251" s="31"/>
      <c r="K251" s="328"/>
      <c r="L251" s="34">
        <f>IF(K250=0,0,L250/K250)</f>
        <v>9.6627347686669723E-2</v>
      </c>
      <c r="M251" s="33"/>
      <c r="N251" s="34">
        <f>N250/F250</f>
        <v>-0.8802568217416169</v>
      </c>
      <c r="O251" s="31"/>
      <c r="P251" s="328"/>
      <c r="Q251" s="34">
        <f>Q250/P250</f>
        <v>0.20181403777532789</v>
      </c>
      <c r="R251" s="33"/>
      <c r="S251" s="264">
        <f>IF(R250=0,0,S250/R250)</f>
        <v>3787.0760993072772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346.66030534351142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301.39</v>
      </c>
      <c r="M255" s="228"/>
      <c r="N255" s="230">
        <f t="shared" si="42"/>
        <v>-45.270305343511438</v>
      </c>
      <c r="O255" s="228"/>
      <c r="P255" s="183"/>
      <c r="Q255" s="185">
        <f t="array" ref="Q255">+INDEX('Réel 2023'!$A$2:$AO$501,MATCH($A255,'Réel 2023'!$A$2:$A$501,0),MATCH(Q$2,'Réel 2023'!$A$2:$AO$2,0))</f>
        <v>302.54000000000002</v>
      </c>
      <c r="R255" s="228"/>
      <c r="S255" s="202">
        <f>L255-Q255</f>
        <v>-1.1500000000000341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107.97205855536799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55.04</v>
      </c>
      <c r="M261" s="228"/>
      <c r="N261" s="230">
        <f t="shared" si="42"/>
        <v>-52.932058555367995</v>
      </c>
      <c r="O261" s="228"/>
      <c r="P261" s="183"/>
      <c r="Q261" s="185">
        <f t="array" ref="Q261">+INDEX('Réel 2023'!$A$2:$AO$501,MATCH($A261,'Réel 2023'!$A$2:$A$501,0),MATCH(Q$2,'Réel 2023'!$A$2:$AO$2,0))</f>
        <v>47.58</v>
      </c>
      <c r="R261" s="228"/>
      <c r="S261" s="202">
        <f t="shared" si="43"/>
        <v>7.4600000000000009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142.40551997455472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219</v>
      </c>
      <c r="M262" s="278"/>
      <c r="N262" s="279">
        <f t="shared" si="42"/>
        <v>76.594480025445279</v>
      </c>
      <c r="O262" s="278"/>
      <c r="P262" s="276"/>
      <c r="Q262" s="186">
        <f t="array" ref="Q262">+INDEX('Réel 2023'!$A$2:$AO$501,MATCH($A262,'Réel 2023'!$A$2:$A$501,0),MATCH(Q$2,'Réel 2023'!$A$2:$AO$2,0))</f>
        <v>212.96</v>
      </c>
      <c r="R262" s="278"/>
      <c r="S262" s="204">
        <f t="shared" si="43"/>
        <v>6.039999999999992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64.920163517811702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48.02</v>
      </c>
      <c r="M263" s="228"/>
      <c r="N263" s="230">
        <f t="shared" si="42"/>
        <v>-16.900163517811698</v>
      </c>
      <c r="O263" s="228"/>
      <c r="P263" s="183"/>
      <c r="Q263" s="185">
        <f t="array" ref="Q263">+INDEX('Réel 2023'!$A$2:$AO$501,MATCH($A263,'Réel 2023'!$A$2:$A$501,0),MATCH(Q$2,'Réel 2023'!$A$2:$AO$2,0))</f>
        <v>38.49</v>
      </c>
      <c r="R263" s="228"/>
      <c r="S263" s="202">
        <f t="shared" si="43"/>
        <v>9.5300000000000011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14.659391762086514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14.46</v>
      </c>
      <c r="M264" s="763"/>
      <c r="N264" s="199">
        <f t="shared" si="42"/>
        <v>-0.19939176208651332</v>
      </c>
      <c r="O264" s="228"/>
      <c r="P264" s="183"/>
      <c r="Q264" s="185">
        <f t="array" ref="Q264">+INDEX('Réel 2023'!$A$2:$AO$501,MATCH($A264,'Réel 2023'!$A$2:$A$501,0),MATCH(Q$2,'Réel 2023'!$A$2:$AO$2,0))</f>
        <v>3.64</v>
      </c>
      <c r="R264" s="228"/>
      <c r="S264" s="202">
        <f t="shared" si="43"/>
        <v>10.82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999.89243915333248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961.18</v>
      </c>
      <c r="M266" s="43"/>
      <c r="N266" s="46">
        <f t="shared" si="42"/>
        <v>-38.712439153332525</v>
      </c>
      <c r="O266" s="42" t="s">
        <v>108</v>
      </c>
      <c r="P266" s="40">
        <f>IF(Q244=0,0,Q266/Q$244)</f>
        <v>0</v>
      </c>
      <c r="Q266" s="41">
        <f>+SUM(Q254:Q265)</f>
        <v>928.48</v>
      </c>
      <c r="R266" s="43"/>
      <c r="S266" s="286">
        <f t="shared" ref="S266:S284" si="44">L266-Q266</f>
        <v>32.699999999999932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12.5</v>
      </c>
      <c r="M267" s="228"/>
      <c r="N267" s="230">
        <f t="shared" si="42"/>
        <v>12.5</v>
      </c>
      <c r="O267" s="228"/>
      <c r="P267" s="183"/>
      <c r="Q267" s="185">
        <f t="array" ref="Q267">+INDEX('Réel 2023'!$A$2:$AO$501,MATCH($A267,'Réel 2023'!$A$2:$A$501,0),MATCH(Q$2,'Réel 2023'!$A$2:$AO$2,0))</f>
        <v>12.97</v>
      </c>
      <c r="R267" s="228"/>
      <c r="S267" s="202">
        <f t="shared" si="44"/>
        <v>-0.47000000000000064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35.700000000000003</v>
      </c>
      <c r="M268" s="228"/>
      <c r="N268" s="230">
        <f t="shared" si="42"/>
        <v>35.700000000000003</v>
      </c>
      <c r="O268" s="228"/>
      <c r="P268" s="183"/>
      <c r="Q268" s="185">
        <f t="array" ref="Q268">+INDEX('Réel 2023'!$A$2:$AO$501,MATCH($A268,'Réel 2023'!$A$2:$A$501,0),MATCH(Q$2,'Réel 2023'!$A$2:$AO$2,0))</f>
        <v>2.99</v>
      </c>
      <c r="R268" s="228"/>
      <c r="S268" s="202">
        <f t="shared" si="44"/>
        <v>32.71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144.5</v>
      </c>
      <c r="M269" s="283"/>
      <c r="N269" s="284">
        <f t="shared" si="42"/>
        <v>25.125</v>
      </c>
      <c r="O269" s="283"/>
      <c r="P269" s="281"/>
      <c r="Q269" s="185">
        <f t="array" ref="Q269">+INDEX('Réel 2023'!$A$2:$AO$501,MATCH($A269,'Réel 2023'!$A$2:$A$501,0),MATCH(Q$2,'Réel 2023'!$A$2:$AO$2,0))</f>
        <v>130.34</v>
      </c>
      <c r="R269" s="283"/>
      <c r="S269" s="205">
        <f t="shared" si="44"/>
        <v>14.159999999999997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216.24</v>
      </c>
      <c r="M270" s="228"/>
      <c r="N270" s="230">
        <f t="shared" si="42"/>
        <v>-22.985000000000014</v>
      </c>
      <c r="O270" s="228"/>
      <c r="P270" s="183"/>
      <c r="Q270" s="186">
        <f t="array" ref="Q270">+INDEX('Réel 2023'!$A$2:$AO$501,MATCH($A270,'Réel 2023'!$A$2:$A$501,0),MATCH(Q$2,'Réel 2023'!$A$2:$AO$2,0))</f>
        <v>219.89</v>
      </c>
      <c r="R270" s="228"/>
      <c r="S270" s="202">
        <f t="shared" si="44"/>
        <v>-3.6499999999999773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71.25</v>
      </c>
      <c r="M271" s="228"/>
      <c r="N271" s="230">
        <f t="shared" si="42"/>
        <v>25.549999999999997</v>
      </c>
      <c r="O271" s="228"/>
      <c r="P271" s="183"/>
      <c r="Q271" s="185">
        <f t="array" ref="Q271">+INDEX('Réel 2023'!$A$2:$AO$501,MATCH($A271,'Réel 2023'!$A$2:$A$501,0),MATCH(Q$2,'Réel 2023'!$A$2:$AO$2,0))</f>
        <v>29.11</v>
      </c>
      <c r="R271" s="228"/>
      <c r="S271" s="202">
        <f t="shared" si="44"/>
        <v>42.14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155.81</v>
      </c>
      <c r="M272" s="283"/>
      <c r="N272" s="284">
        <f t="shared" si="42"/>
        <v>2.7849999999999966</v>
      </c>
      <c r="O272" s="283"/>
      <c r="P272" s="281"/>
      <c r="Q272" s="182">
        <f t="array" ref="Q272">+INDEX('Réel 2023'!$A$2:$AO$501,MATCH($A272,'Réel 2023'!$A$2:$A$501,0),MATCH(Q$2,'Réel 2023'!$A$2:$AO$2,0))</f>
        <v>182.23</v>
      </c>
      <c r="R272" s="283"/>
      <c r="S272" s="205">
        <f t="shared" si="44"/>
        <v>-26.419999999999987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2.5301204819277108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-2.5301204819277108</v>
      </c>
      <c r="O274" s="228"/>
      <c r="P274" s="183"/>
      <c r="Q274" s="185">
        <f t="array" ref="Q274">+INDEX('Réel 2023'!$A$2:$AO$501,MATCH($A274,'Réel 2023'!$A$2:$A$501,0),MATCH(Q$2,'Réel 2023'!$A$2:$AO$2,0))</f>
        <v>0.7</v>
      </c>
      <c r="R274" s="228"/>
      <c r="S274" s="202">
        <f t="shared" si="44"/>
        <v>-0.7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4.6100000000000003</v>
      </c>
      <c r="R275" s="228"/>
      <c r="S275" s="202">
        <f t="shared" si="44"/>
        <v>-4.6100000000000003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22.98</v>
      </c>
      <c r="M276" s="228"/>
      <c r="N276" s="230">
        <f t="shared" si="42"/>
        <v>-20.77</v>
      </c>
      <c r="O276" s="228"/>
      <c r="P276" s="183"/>
      <c r="Q276" s="478">
        <f t="array" ref="Q276">+INDEX('Réel 2023'!$A$2:$AO$501,MATCH($A276,'Réel 2023'!$A$2:$A$501,0),MATCH(Q$2,'Réel 2023'!$A$2:$AO$2,0))</f>
        <v>30.45</v>
      </c>
      <c r="R276" s="228"/>
      <c r="S276" s="202">
        <f t="shared" si="44"/>
        <v>-7.4699999999999989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9.42</v>
      </c>
      <c r="M277" s="228"/>
      <c r="N277" s="230">
        <f t="shared" si="42"/>
        <v>0.61999999999999922</v>
      </c>
      <c r="O277" s="228"/>
      <c r="P277" s="183"/>
      <c r="Q277" s="185">
        <f t="array" ref="Q277">+INDEX('Réel 2023'!$A$2:$AO$501,MATCH($A277,'Réel 2023'!$A$2:$A$501,0),MATCH(Q$2,'Réel 2023'!$A$2:$AO$2,0))</f>
        <v>9.61</v>
      </c>
      <c r="R277" s="228"/>
      <c r="S277" s="202">
        <f t="shared" si="44"/>
        <v>-0.1899999999999995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8.26</v>
      </c>
      <c r="M278" s="228"/>
      <c r="N278" s="230">
        <f t="shared" si="42"/>
        <v>-4.24</v>
      </c>
      <c r="O278" s="228"/>
      <c r="P278" s="183"/>
      <c r="Q278" s="185">
        <f t="array" ref="Q278">+INDEX('Réel 2023'!$A$2:$AO$501,MATCH($A278,'Réel 2023'!$A$2:$A$501,0),MATCH(Q$2,'Réel 2023'!$A$2:$AO$2,0))</f>
        <v>14.3</v>
      </c>
      <c r="R278" s="228"/>
      <c r="S278" s="202">
        <f t="shared" si="44"/>
        <v>-6.0400000000000009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46.260000000000005</v>
      </c>
      <c r="M279" s="228"/>
      <c r="N279" s="230">
        <f t="shared" si="42"/>
        <v>-0.18999999999999773</v>
      </c>
      <c r="O279" s="228"/>
      <c r="P279" s="183"/>
      <c r="Q279" s="185">
        <f t="array" ref="Q279">+INDEX('Réel 2023'!$A$2:$AO$501,MATCH($A279,'Réel 2023'!$A$2:$A$501,0),MATCH(Q$2,'Réel 2023'!$A$2:$AO$2,0))</f>
        <v>44.879999999999903</v>
      </c>
      <c r="R279" s="228"/>
      <c r="S279" s="202">
        <f t="shared" si="44"/>
        <v>1.380000000000102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16.350000000000001</v>
      </c>
      <c r="M280" s="228"/>
      <c r="N280" s="230">
        <f t="shared" si="42"/>
        <v>-4.4183599999999927</v>
      </c>
      <c r="O280" s="228"/>
      <c r="P280" s="183"/>
      <c r="Q280" s="185">
        <f t="array" ref="Q280">+INDEX('Réel 2023'!$A$2:$AO$501,MATCH($A280,'Réel 2023'!$A$2:$A$501,0),MATCH(Q$2,'Réel 2023'!$A$2:$AO$2,0))</f>
        <v>14.44</v>
      </c>
      <c r="R280" s="228"/>
      <c r="S280" s="202">
        <f t="shared" si="44"/>
        <v>1.9100000000000019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195.79245193169993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243.76</v>
      </c>
      <c r="M281" s="228"/>
      <c r="N281" s="230">
        <f t="shared" si="42"/>
        <v>47.967548068300061</v>
      </c>
      <c r="O281" s="228"/>
      <c r="P281" s="183"/>
      <c r="Q281" s="185">
        <f t="array" ref="Q281">+INDEX('Réel 2023'!$A$2:$AO$501,MATCH($A281,'Réel 2023'!$A$2:$A$501,0),MATCH(Q$2,'Réel 2023'!$A$2:$AO$2,0))</f>
        <v>184.17</v>
      </c>
      <c r="R281" s="228"/>
      <c r="S281" s="202">
        <f t="shared" si="44"/>
        <v>59.59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887.91593241362773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983.03</v>
      </c>
      <c r="M285" s="44"/>
      <c r="N285" s="41">
        <f>+SUM(N267:N284)</f>
        <v>95.114067586372343</v>
      </c>
      <c r="O285" s="42" t="s">
        <v>108</v>
      </c>
      <c r="P285" s="40">
        <f>IF(Q$244=0,0,Q285/Q$244)</f>
        <v>0</v>
      </c>
      <c r="Q285" s="41">
        <f>+SUM(Q267:Q284)</f>
        <v>880.68999999999994</v>
      </c>
      <c r="R285" s="44"/>
      <c r="S285" s="290">
        <f>L285-Q285</f>
        <v>102.34000000000003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1887.8083715669602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1944.21</v>
      </c>
      <c r="M287" s="44"/>
      <c r="N287" s="46">
        <f>L287-F287</f>
        <v>56.401628433039832</v>
      </c>
      <c r="O287" s="42" t="s">
        <v>108</v>
      </c>
      <c r="P287" s="40">
        <f>IF(Q$244=0,0,Q287/Q$244)</f>
        <v>0</v>
      </c>
      <c r="Q287" s="41">
        <f>Q266+Q285</f>
        <v>1809.17</v>
      </c>
      <c r="R287" s="44"/>
      <c r="S287" s="286">
        <f>L287-Q287</f>
        <v>135.03999999999996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-1605.9551546164805</v>
      </c>
      <c r="G289" s="312"/>
      <c r="H289" s="310"/>
      <c r="I289" s="311"/>
      <c r="J289" s="313"/>
      <c r="K289" s="314"/>
      <c r="L289" s="311">
        <f>L250-L287</f>
        <v>-1910.46</v>
      </c>
      <c r="M289" s="313"/>
      <c r="N289" s="311">
        <f>L289-F289</f>
        <v>-304.50484538351952</v>
      </c>
      <c r="O289" s="313"/>
      <c r="P289" s="314">
        <f>+Q289/P250</f>
        <v>-0.64316606572384083</v>
      </c>
      <c r="Q289" s="311">
        <f>Q250-Q287</f>
        <v>-1377.0700000000011</v>
      </c>
      <c r="R289" s="313"/>
      <c r="S289" s="315">
        <f>L289-Q289</f>
        <v>-533.38999999999896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Avril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43" t="s">
        <v>77</v>
      </c>
      <c r="E293" s="1244"/>
      <c r="F293" s="1245"/>
      <c r="G293" s="1246"/>
      <c r="H293" s="1244"/>
      <c r="I293" s="1245"/>
      <c r="J293" s="1246" t="s">
        <v>78</v>
      </c>
      <c r="K293" s="1244"/>
      <c r="L293" s="1245"/>
      <c r="M293" s="1246" t="s">
        <v>2451</v>
      </c>
      <c r="N293" s="1245"/>
      <c r="O293" s="1243" t="s">
        <v>79</v>
      </c>
      <c r="P293" s="1244"/>
      <c r="Q293" s="1245"/>
      <c r="R293" s="1247" t="s">
        <v>2455</v>
      </c>
      <c r="S293" s="124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50580.028154357387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21142.451768521387</v>
      </c>
      <c r="G295" s="200"/>
      <c r="H295" s="213"/>
      <c r="I295" s="202"/>
      <c r="J295" s="184">
        <f>-SUMIFS(BV_Data_An_Cour!$O:$O,BV_Data_An_Cour!$X:$X,"Oui",BV_Data_An_Cour!$U:$U,$B295,BV_Data_An_Cour!$V:$V,$C295)</f>
        <v>49147.909999999996</v>
      </c>
      <c r="K295" s="213">
        <f t="shared" ref="K295:K300" si="46">IF(J295&lt;=0,0,L295/J295)</f>
        <v>0.37536977665988225</v>
      </c>
      <c r="L295" s="185">
        <f>-SUMIFS(BV_Data_An_Cour!$O:$O,BV_Data_An_Cour!$U:$U,$B295,BV_Data_An_Cour!$V:$V,$C295,BV_Data_An_Cour!$W:$W,$L$2)</f>
        <v>18448.639999999992</v>
      </c>
      <c r="M295" s="298">
        <f t="shared" ref="M295:M301" si="47">(+J295-D295)/D295</f>
        <v>-2.8313905836250836E-2</v>
      </c>
      <c r="N295" s="230">
        <f t="shared" ref="N295:N304" si="48">L295-F295</f>
        <v>-2693.8117685213947</v>
      </c>
      <c r="O295" s="184">
        <f t="array" ref="O295">+INDEX('Réel 2023'!$A$2:$AO$501,MATCH($A295,'Réel 2023'!$A$2:$A$501,0),MATCH(O$2,'Réel 2023'!$A$2:$AO$2,0))</f>
        <v>44515.22</v>
      </c>
      <c r="P295" s="213">
        <f t="shared" ref="P295:P303" si="49">IF(O295=0,0,Q295/O295)</f>
        <v>0.39469803810921295</v>
      </c>
      <c r="Q295" s="185">
        <f t="array" ref="Q295">+INDEX('Réel 2023'!$A$2:$AO$501,MATCH($A295,'Réel 2023'!$A$2:$A$501,0),MATCH(Q$2,'Réel 2023'!$A$2:$AO$2,0))</f>
        <v>17570.07</v>
      </c>
      <c r="R295" s="298">
        <f>IF(O295=0,0,(J295-O295)/O295)</f>
        <v>0.10406979904850509</v>
      </c>
      <c r="S295" s="202">
        <f t="shared" ref="S295:S300" si="50">L295-Q295</f>
        <v>878.56999999999243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106.86</v>
      </c>
      <c r="K296" s="213">
        <f t="shared" si="46"/>
        <v>0.30001871607711028</v>
      </c>
      <c r="L296" s="185">
        <f>-SUMIFS(BV_Data_An_Cour!$O:$O,BV_Data_An_Cour!$U:$U,$B296,BV_Data_An_Cour!$V:$V,$C296,BV_Data_An_Cour!$W:$W,$L$2)</f>
        <v>32.06</v>
      </c>
      <c r="M296" s="298">
        <f t="shared" si="47"/>
        <v>-0.87171668667466984</v>
      </c>
      <c r="N296" s="230">
        <f t="shared" si="48"/>
        <v>-251.16000000000003</v>
      </c>
      <c r="O296" s="184">
        <f t="array" ref="O296">+INDEX('Réel 2023'!$A$2:$AO$501,MATCH($A296,'Réel 2023'!$A$2:$A$501,0),MATCH(O$2,'Réel 2023'!$A$2:$AO$2,0))</f>
        <v>325</v>
      </c>
      <c r="P296" s="213">
        <f t="shared" si="49"/>
        <v>0.11963076923076893</v>
      </c>
      <c r="Q296" s="185">
        <f t="array" ref="Q296">+INDEX('Réel 2023'!$A$2:$AO$501,MATCH($A296,'Réel 2023'!$A$2:$A$501,0),MATCH(Q$2,'Réel 2023'!$A$2:$AO$2,0))</f>
        <v>38.879999999999903</v>
      </c>
      <c r="R296" s="298">
        <f t="shared" ref="R296:R303" si="52">IF(O296=0,0,(J296-O296)/O296)</f>
        <v>-0.67119999999999991</v>
      </c>
      <c r="S296" s="202">
        <f t="shared" si="50"/>
        <v>-6.8199999999999008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55629.304537240867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16021.239706725368</v>
      </c>
      <c r="G297" s="200"/>
      <c r="H297" s="213"/>
      <c r="I297" s="202"/>
      <c r="J297" s="184">
        <f>-SUMIFS(BV_Data_An_Cour!$O:$O,BV_Data_An_Cour!$X:$X,"Oui",BV_Data_An_Cour!$U:$U,$B297,BV_Data_An_Cour!$V:$V,$C297)</f>
        <v>37284.379999999997</v>
      </c>
      <c r="K297" s="213">
        <f t="shared" si="46"/>
        <v>0.28654492846602242</v>
      </c>
      <c r="L297" s="185">
        <f>-SUMIFS(BV_Data_An_Cour!$O:$O,BV_Data_An_Cour!$U:$U,$B297,BV_Data_An_Cour!$V:$V,$C297,BV_Data_An_Cour!$W:$W,$L$2)</f>
        <v>10683.649999999996</v>
      </c>
      <c r="M297" s="298">
        <f t="shared" si="47"/>
        <v>-0.32977087687587242</v>
      </c>
      <c r="N297" s="230">
        <f t="shared" si="48"/>
        <v>-5337.5897067253718</v>
      </c>
      <c r="O297" s="184">
        <f t="array" ref="O297">+INDEX('Réel 2023'!$A$2:$AO$501,MATCH($A297,'Réel 2023'!$A$2:$A$501,0),MATCH(O$2,'Réel 2023'!$A$2:$AO$2,0))</f>
        <v>69999.13</v>
      </c>
      <c r="P297" s="213">
        <f t="shared" si="49"/>
        <v>0.28605684099216661</v>
      </c>
      <c r="Q297" s="185">
        <f t="array" ref="Q297">+INDEX('Réel 2023'!$A$2:$AO$501,MATCH($A297,'Réel 2023'!$A$2:$A$501,0),MATCH(Q$2,'Réel 2023'!$A$2:$AO$2,0))</f>
        <v>20023.73</v>
      </c>
      <c r="R297" s="298">
        <f t="shared" si="52"/>
        <v>-0.46735938003800914</v>
      </c>
      <c r="S297" s="202">
        <f t="shared" si="50"/>
        <v>-9340.0800000000036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16483.772258268735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6346.2523194334626</v>
      </c>
      <c r="G298" s="200"/>
      <c r="H298" s="213"/>
      <c r="I298" s="202"/>
      <c r="J298" s="184">
        <f>-SUMIFS(BV_Data_An_Cour!$O:$O,BV_Data_An_Cour!$X:$X,"Oui",BV_Data_An_Cour!$U:$U,$B298,BV_Data_An_Cour!$V:$V,$C298)</f>
        <v>18887.43</v>
      </c>
      <c r="K298" s="213">
        <f t="shared" si="46"/>
        <v>0.31382141455984219</v>
      </c>
      <c r="L298" s="185">
        <f>-SUMIFS(BV_Data_An_Cour!$O:$O,BV_Data_An_Cour!$U:$U,$B298,BV_Data_An_Cour!$V:$V,$C298,BV_Data_An_Cour!$W:$W,$L$2)</f>
        <v>5927.2800000000007</v>
      </c>
      <c r="M298" s="298">
        <f t="shared" si="47"/>
        <v>0.14581964031476605</v>
      </c>
      <c r="N298" s="230">
        <f t="shared" si="48"/>
        <v>-418.97231943346196</v>
      </c>
      <c r="O298" s="184">
        <f t="array" ref="O298">+INDEX('Réel 2023'!$A$2:$AO$501,MATCH($A298,'Réel 2023'!$A$2:$A$501,0),MATCH(O$2,'Réel 2023'!$A$2:$AO$2,0))</f>
        <v>17786.88</v>
      </c>
      <c r="P298" s="213">
        <f t="shared" si="49"/>
        <v>0.36393510272740359</v>
      </c>
      <c r="Q298" s="185">
        <f t="array" ref="Q298">+INDEX('Réel 2023'!$A$2:$AO$501,MATCH($A298,'Réel 2023'!$A$2:$A$501,0),MATCH(Q$2,'Réel 2023'!$A$2:$AO$2,0))</f>
        <v>6473.27</v>
      </c>
      <c r="R298" s="298">
        <f t="shared" si="52"/>
        <v>6.1874257879965415E-2</v>
      </c>
      <c r="S298" s="202">
        <f t="shared" si="50"/>
        <v>-545.98999999999978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31243.64710805309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9685.5306034964578</v>
      </c>
      <c r="G299" s="200"/>
      <c r="H299" s="213"/>
      <c r="I299" s="202"/>
      <c r="J299" s="184">
        <f>-SUMIFS(BV_Data_An_Cour!$O:$O,BV_Data_An_Cour!$X:$X,"Oui",BV_Data_An_Cour!$U:$U,$B299,BV_Data_An_Cour!$V:$V,$C299)</f>
        <v>27401.949999999997</v>
      </c>
      <c r="K299" s="213">
        <f t="shared" si="46"/>
        <v>0.20045982129009057</v>
      </c>
      <c r="L299" s="185">
        <f>-SUMIFS(BV_Data_An_Cour!$O:$O,BV_Data_An_Cour!$U:$U,$B299,BV_Data_An_Cour!$V:$V,$C299,BV_Data_An_Cour!$W:$W,$L$2)</f>
        <v>5492.9899999999971</v>
      </c>
      <c r="M299" s="298">
        <f t="shared" si="47"/>
        <v>-0.12295930416724271</v>
      </c>
      <c r="N299" s="230">
        <f t="shared" si="48"/>
        <v>-4192.5406034964608</v>
      </c>
      <c r="O299" s="184">
        <f t="array" ref="O299">+INDEX('Réel 2023'!$A$2:$AO$501,MATCH($A299,'Réel 2023'!$A$2:$A$501,0),MATCH(O$2,'Réel 2023'!$A$2:$AO$2,0))</f>
        <v>27037.22</v>
      </c>
      <c r="P299" s="213">
        <f t="shared" si="49"/>
        <v>0.31137298879100733</v>
      </c>
      <c r="Q299" s="185">
        <f t="array" ref="Q299">+INDEX('Réel 2023'!$A$2:$AO$501,MATCH($A299,'Réel 2023'!$A$2:$A$501,0),MATCH(Q$2,'Réel 2023'!$A$2:$AO$2,0))</f>
        <v>8418.66</v>
      </c>
      <c r="R299" s="298">
        <f t="shared" si="52"/>
        <v>1.3489922410661891E-2</v>
      </c>
      <c r="S299" s="202">
        <f t="shared" si="50"/>
        <v>-2925.6700000000028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49868.279633354228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10621.943561904451</v>
      </c>
      <c r="G300" s="200"/>
      <c r="H300" s="213"/>
      <c r="I300" s="202"/>
      <c r="J300" s="184">
        <f>-SUMIFS(BV_Data_An_Cour!$O:$O,BV_Data_An_Cour!$X:$X,"Oui",BV_Data_An_Cour!$U:$U,$B300,BV_Data_An_Cour!$V:$V,$C300)</f>
        <v>50271.28</v>
      </c>
      <c r="K300" s="213">
        <f t="shared" si="46"/>
        <v>0.20057157884183571</v>
      </c>
      <c r="L300" s="185">
        <f>-SUMIFS(BV_Data_An_Cour!$O:$O,BV_Data_An_Cour!$U:$U,$B300,BV_Data_An_Cour!$V:$V,$C300,BV_Data_An_Cour!$W:$W,$L$2)</f>
        <v>10082.989999999998</v>
      </c>
      <c r="M300" s="298">
        <f t="shared" si="47"/>
        <v>8.0812967603603701E-3</v>
      </c>
      <c r="N300" s="230">
        <f t="shared" si="48"/>
        <v>-538.95356190445273</v>
      </c>
      <c r="O300" s="184">
        <f t="array" ref="O300">+INDEX('Réel 2023'!$A$2:$AO$501,MATCH($A300,'Réel 2023'!$A$2:$A$501,0),MATCH(O$2,'Réel 2023'!$A$2:$AO$2,0))</f>
        <v>49642.34</v>
      </c>
      <c r="P300" s="213">
        <f t="shared" si="49"/>
        <v>0.15955311534468342</v>
      </c>
      <c r="Q300" s="185">
        <f t="array" ref="Q300">+INDEX('Réel 2023'!$A$2:$AO$501,MATCH($A300,'Réel 2023'!$A$2:$A$501,0),MATCH(Q$2,'Réel 2023'!$A$2:$AO$2,0))</f>
        <v>7920.5899999999901</v>
      </c>
      <c r="R300" s="298">
        <f t="shared" si="52"/>
        <v>1.2669426944821746E-2</v>
      </c>
      <c r="S300" s="202">
        <f t="shared" si="50"/>
        <v>2162.4000000000078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5087.8925612455769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1524.55</v>
      </c>
      <c r="M302" s="298"/>
      <c r="N302" s="230">
        <f t="shared" si="48"/>
        <v>-3563.3425612455767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9062.1</v>
      </c>
      <c r="R302" s="298">
        <f t="shared" si="52"/>
        <v>0</v>
      </c>
      <c r="S302" s="202">
        <f>L302-Q302</f>
        <v>-7537.55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204638.03169127429</v>
      </c>
      <c r="E304" s="300">
        <f>IF(D304&lt;=0,0,F304/D304)</f>
        <v>0.33810201334279594</v>
      </c>
      <c r="F304" s="203">
        <f>SUM(F295:F303)</f>
        <v>69188.530521326713</v>
      </c>
      <c r="G304" s="201"/>
      <c r="H304" s="300"/>
      <c r="I304" s="203"/>
      <c r="J304" s="201">
        <f>SUM(J295:J303)</f>
        <v>183099.80999999997</v>
      </c>
      <c r="K304" s="300">
        <f>IF(J304&lt;=0,0,L304/J304)</f>
        <v>0.28504759234867583</v>
      </c>
      <c r="L304" s="226">
        <f>SUM(L295:L303)</f>
        <v>52192.159999999989</v>
      </c>
      <c r="M304" s="301">
        <f>(+J304-D304)/D304</f>
        <v>-0.10525033647590885</v>
      </c>
      <c r="N304" s="226">
        <f t="shared" si="48"/>
        <v>-16996.370521326724</v>
      </c>
      <c r="O304" s="201">
        <f>SUM(O295:O303)</f>
        <v>209305.79</v>
      </c>
      <c r="P304" s="300">
        <f>IF(O304&lt;=0,0,Q304/O304)</f>
        <v>0.3320849365896662</v>
      </c>
      <c r="Q304" s="226">
        <f t="shared" ref="Q304" si="53">SUM(Q295:Q303)</f>
        <v>69507.299999999988</v>
      </c>
      <c r="R304" s="301">
        <f>IF(O304=0,0,(J304-O304)/O304)</f>
        <v>-0.12520427647988161</v>
      </c>
      <c r="S304" s="203">
        <f>L304-Q304</f>
        <v>-17315.14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-0.24565300626073786</v>
      </c>
      <c r="O305" s="228"/>
      <c r="P305" s="183"/>
      <c r="Q305" s="270"/>
      <c r="R305" s="228"/>
      <c r="S305" s="267">
        <f>IF(Q304=0,0,S304/Q304)</f>
        <v>-0.24911253925846641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85168.853696404694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21292.213424101174</v>
      </c>
      <c r="G307" s="200"/>
      <c r="H307" s="213"/>
      <c r="I307" s="204"/>
      <c r="J307" s="184">
        <f>-SUMIFS(BV_Data_An_Cour!$O:$O,BV_Data_An_Cour!$X:$X,"Oui",BV_Data_An_Cour!$U:$U,$B307,BV_Data_An_Cour!$V:$V,$C307)</f>
        <v>112823.72</v>
      </c>
      <c r="K307" s="213">
        <f>IF(J307&lt;=0,0,L307/J307)</f>
        <v>0.23824653184631742</v>
      </c>
      <c r="L307" s="185">
        <f>-SUMIFS(BV_Data_An_Cour!$O:$O,BV_Data_An_Cour!$U:$U,$B307,BV_Data_An_Cour!$V:$V,$C307,BV_Data_An_Cour!$W:$W,$L$2)</f>
        <v>26879.86</v>
      </c>
      <c r="M307" s="298">
        <f>(+J307-D307)/D307</f>
        <v>0.32470633457360626</v>
      </c>
      <c r="N307" s="230">
        <f>L307-F307</f>
        <v>5587.646575898827</v>
      </c>
      <c r="O307" s="184">
        <f t="array" ref="O307">+INDEX('Réel 2023'!$A$2:$AO$501,MATCH($A307,'Réel 2023'!$A$2:$A$501,0),MATCH(O$2,'Réel 2023'!$A$2:$AO$2,0))</f>
        <v>84600.62</v>
      </c>
      <c r="P307" s="213">
        <f t="shared" ref="P307:P308" si="54">IF(O307=0,0,Q307/O307)</f>
        <v>0.2450759817126624</v>
      </c>
      <c r="Q307" s="185">
        <f t="array" ref="Q307">+INDEX('Réel 2023'!$A$2:$AO$501,MATCH($A307,'Réel 2023'!$A$2:$A$501,0),MATCH(Q$2,'Réel 2023'!$A$2:$AO$2,0))</f>
        <v>20733.5799999999</v>
      </c>
      <c r="R307" s="298">
        <f>IF(O307=0,0,(J307-O307)/O307)</f>
        <v>0.33360393812716749</v>
      </c>
      <c r="S307" s="202">
        <f>L307-Q307</f>
        <v>6146.2800000001007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10817.891548688849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3786.2620420410967</v>
      </c>
      <c r="G308" s="200"/>
      <c r="H308" s="213"/>
      <c r="I308" s="205"/>
      <c r="J308" s="184">
        <f>-SUMIFS(BV_Data_An_Cour!$O:$O,BV_Data_An_Cour!$X:$X,"Oui",BV_Data_An_Cour!$U:$U,$B308,BV_Data_An_Cour!$V:$V,$C308)</f>
        <v>11968.93</v>
      </c>
      <c r="K308" s="213">
        <f>IF(J308&lt;=0,0,L308/J308)</f>
        <v>0.34924341607812898</v>
      </c>
      <c r="L308" s="185">
        <f>-SUMIFS(BV_Data_An_Cour!$O:$O,BV_Data_An_Cour!$U:$U,$B308,BV_Data_An_Cour!$V:$V,$C308,BV_Data_An_Cour!$W:$W,$L$2)</f>
        <v>4180.0700000000006</v>
      </c>
      <c r="M308" s="298">
        <f>(+J308-D308)/D308</f>
        <v>0.10640136722859452</v>
      </c>
      <c r="N308" s="230">
        <f>L308-F308</f>
        <v>393.8079579589039</v>
      </c>
      <c r="O308" s="184">
        <f t="array" ref="O308">+INDEX('Réel 2023'!$A$2:$AO$501,MATCH($A308,'Réel 2023'!$A$2:$A$501,0),MATCH(O$2,'Réel 2023'!$A$2:$AO$2,0))</f>
        <v>8751.92</v>
      </c>
      <c r="P308" s="213">
        <f t="shared" si="54"/>
        <v>0.34221176610389492</v>
      </c>
      <c r="Q308" s="185">
        <f t="array" ref="Q308">+INDEX('Réel 2023'!$A$2:$AO$501,MATCH($A308,'Réel 2023'!$A$2:$A$501,0),MATCH(Q$2,'Réel 2023'!$A$2:$AO$2,0))</f>
        <v>2995.01</v>
      </c>
      <c r="R308" s="298">
        <f>IF(O308=0,0,(J308-O308)/O308)</f>
        <v>0.36757762868033533</v>
      </c>
      <c r="S308" s="202">
        <f>L308-Q308</f>
        <v>1185.0600000000004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300624.77693636785</v>
      </c>
      <c r="E309" s="300">
        <f>IF(D309&lt;=0,0,F309/D309)</f>
        <v>0.31357031495584986</v>
      </c>
      <c r="F309" s="226">
        <f>F304+F307+F308</f>
        <v>94267.005987468976</v>
      </c>
      <c r="G309" s="227"/>
      <c r="H309" s="300"/>
      <c r="I309" s="226"/>
      <c r="J309" s="227">
        <f>J304+J307+J308</f>
        <v>307892.45999999996</v>
      </c>
      <c r="K309" s="300">
        <f>IF(J309&lt;=0,0,L309/J309)</f>
        <v>0.2703934029433524</v>
      </c>
      <c r="L309" s="226">
        <f>L304+L307+L308</f>
        <v>83252.09</v>
      </c>
      <c r="M309" s="301">
        <f>(+J309-D309)/D309</f>
        <v>2.417526305614668E-2</v>
      </c>
      <c r="N309" s="226">
        <f>L309-F309</f>
        <v>-11014.915987468979</v>
      </c>
      <c r="O309" s="227">
        <f>O304+O307+O308</f>
        <v>302658.33</v>
      </c>
      <c r="P309" s="300">
        <f>IF(O309&lt;=0,0,Q309/O309)</f>
        <v>0.30805657984037604</v>
      </c>
      <c r="Q309" s="226">
        <f t="shared" ref="Q309" si="55">Q304+Q307+Q308</f>
        <v>93235.889999999883</v>
      </c>
      <c r="R309" s="301">
        <f>IF(O309=0,0,(J309-O309)/O309)</f>
        <v>1.7293857400190987E-2</v>
      </c>
      <c r="S309" s="203">
        <f>L309-Q309</f>
        <v>-9983.7999999998865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-0.11684805168134019</v>
      </c>
      <c r="O310" s="228"/>
      <c r="P310" s="183"/>
      <c r="Q310" s="270"/>
      <c r="R310" s="228"/>
      <c r="S310" s="267">
        <f>IF(Q309=0,0,S309/Q309)</f>
        <v>-0.1070810821884137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300624.77693636785</v>
      </c>
      <c r="E314" s="71">
        <f>IF(D314&lt;=0,0,F314/D314)</f>
        <v>0.31357031495584986</v>
      </c>
      <c r="F314" s="28">
        <f>F309+F312</f>
        <v>94267.005987468976</v>
      </c>
      <c r="G314" s="29"/>
      <c r="H314" s="71"/>
      <c r="I314" s="28"/>
      <c r="J314" s="29">
        <f>J309+J312</f>
        <v>307892.45999999996</v>
      </c>
      <c r="K314" s="71">
        <f>IF(J314&lt;=0,0,L314/J314)</f>
        <v>0.2703934029433524</v>
      </c>
      <c r="L314" s="28">
        <f>L309+L312</f>
        <v>83252.09</v>
      </c>
      <c r="M314" s="72">
        <f>(+J314-D314)/D314</f>
        <v>2.417526305614668E-2</v>
      </c>
      <c r="N314" s="73">
        <f>L314-F314</f>
        <v>-11014.915987468979</v>
      </c>
      <c r="O314" s="29">
        <f>O309+O312</f>
        <v>302658.33</v>
      </c>
      <c r="P314" s="71">
        <f>IF(O314&lt;=0,0,Q314/O314)</f>
        <v>0.30805657984037604</v>
      </c>
      <c r="Q314" s="28">
        <f t="shared" ref="Q314" si="56">Q309+Q312</f>
        <v>93235.889999999883</v>
      </c>
      <c r="R314" s="72">
        <f>IF(O314=0,0,(J314-O314)/O314)</f>
        <v>1.7293857400190987E-2</v>
      </c>
      <c r="S314" s="262">
        <f>L314-Q314</f>
        <v>-9983.7999999998865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-0.11684805168134019</v>
      </c>
      <c r="O315" s="77"/>
      <c r="P315" s="75"/>
      <c r="Q315" s="76"/>
      <c r="R315" s="78"/>
      <c r="S315" s="264">
        <f>IF(Q314=0,0,S314/Q314)</f>
        <v>-0.1070810821884137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4175.4722646310438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3659.46</v>
      </c>
      <c r="M318" s="228"/>
      <c r="N318" s="230">
        <f t="shared" ref="N318:N348" si="57">L318-F318</f>
        <v>-516.01226463104376</v>
      </c>
      <c r="O318" s="228"/>
      <c r="P318" s="183"/>
      <c r="Q318" s="185">
        <f t="array" ref="Q318">+INDEX('Réel 2023'!$A$2:$AO$501,MATCH($A318,'Réel 2023'!$A$2:$A$501,0),MATCH(Q$2,'Réel 2023'!$A$2:$AO$2,0))</f>
        <v>3666.38</v>
      </c>
      <c r="R318" s="228"/>
      <c r="S318" s="202">
        <f t="shared" ref="S318:S343" si="58">L318-Q318</f>
        <v>-6.9200000000000728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2773.2824427480914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2411.1999999999998</v>
      </c>
      <c r="M319" s="228"/>
      <c r="N319" s="230">
        <f t="shared" si="57"/>
        <v>-362.08244274809158</v>
      </c>
      <c r="O319" s="228"/>
      <c r="P319" s="183"/>
      <c r="Q319" s="185">
        <f t="array" ref="Q319">+INDEX('Réel 2023'!$A$2:$AO$501,MATCH($A319,'Réel 2023'!$A$2:$A$501,0),MATCH(Q$2,'Réel 2023'!$A$2:$AO$2,0))</f>
        <v>2420.58</v>
      </c>
      <c r="R319" s="228"/>
      <c r="S319" s="202">
        <f t="shared" si="58"/>
        <v>-9.3800000000001091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13513.435114503816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14885.99</v>
      </c>
      <c r="M320" s="278"/>
      <c r="N320" s="279">
        <f t="shared" si="57"/>
        <v>1372.5548854961835</v>
      </c>
      <c r="O320" s="278"/>
      <c r="P320" s="276"/>
      <c r="Q320" s="186">
        <f t="array" ref="Q320">+INDEX('Réel 2023'!$A$2:$AO$501,MATCH($A320,'Réel 2023'!$A$2:$A$501,0),MATCH(Q$2,'Réel 2023'!$A$2:$AO$2,0))</f>
        <v>11542.53</v>
      </c>
      <c r="R320" s="278"/>
      <c r="S320" s="204">
        <f t="shared" si="58"/>
        <v>3343.4599999999991</v>
      </c>
      <c r="T320" s="25"/>
      <c r="U320" s="25"/>
      <c r="V320" s="79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2421.0979485760427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1471.97</v>
      </c>
      <c r="M325" s="228"/>
      <c r="N325" s="230">
        <f t="shared" si="57"/>
        <v>-949.12794857604263</v>
      </c>
      <c r="O325" s="228"/>
      <c r="P325" s="183"/>
      <c r="Q325" s="185">
        <f t="array" ref="Q325">+INDEX('Réel 2023'!$A$2:$AO$501,MATCH($A325,'Réel 2023'!$A$2:$A$501,0),MATCH(Q$2,'Réel 2023'!$A$2:$AO$2,0))</f>
        <v>1487.15</v>
      </c>
      <c r="R325" s="228"/>
      <c r="S325" s="202">
        <f t="shared" si="58"/>
        <v>-15.180000000000064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3193.2123633587789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3611.05</v>
      </c>
      <c r="M326" s="278"/>
      <c r="N326" s="279">
        <f t="shared" si="57"/>
        <v>417.83763664122125</v>
      </c>
      <c r="O326" s="278"/>
      <c r="P326" s="276"/>
      <c r="Q326" s="186">
        <f t="array" ref="Q326">+INDEX('Réel 2023'!$A$2:$AO$501,MATCH($A326,'Réel 2023'!$A$2:$A$501,0),MATCH(Q$2,'Réel 2023'!$A$2:$AO$2,0))</f>
        <v>3478.12</v>
      </c>
      <c r="R326" s="278"/>
      <c r="S326" s="204">
        <f t="shared" si="58"/>
        <v>132.93000000000029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1455.7291656488551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1729.64</v>
      </c>
      <c r="M327" s="228"/>
      <c r="N327" s="230">
        <f t="shared" si="57"/>
        <v>273.91083435114501</v>
      </c>
      <c r="O327" s="228"/>
      <c r="P327" s="183"/>
      <c r="Q327" s="185">
        <f t="array" ref="Q327">+INDEX('Réel 2023'!$A$2:$AO$501,MATCH($A327,'Réel 2023'!$A$2:$A$501,0),MATCH(Q$2,'Réel 2023'!$A$2:$AO$2,0))</f>
        <v>1688.88</v>
      </c>
      <c r="R327" s="228"/>
      <c r="S327" s="202">
        <f t="shared" si="58"/>
        <v>40.759999999999991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328.71303740458018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384.94</v>
      </c>
      <c r="M328" s="763"/>
      <c r="N328" s="199">
        <f t="shared" si="57"/>
        <v>56.22696259541982</v>
      </c>
      <c r="O328" s="228"/>
      <c r="P328" s="183"/>
      <c r="Q328" s="185">
        <f t="array" ref="Q328">+INDEX('Réel 2023'!$A$2:$AO$501,MATCH($A328,'Réel 2023'!$A$2:$A$501,0),MATCH(Q$2,'Réel 2023'!$A$2:$AO$2,0))</f>
        <v>257.39</v>
      </c>
      <c r="R328" s="228"/>
      <c r="S328" s="202">
        <f t="shared" si="58"/>
        <v>127.55000000000001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0.29555348708725088</v>
      </c>
      <c r="F330" s="41">
        <f>+SUM(F318:F329)</f>
        <v>27860.942336871212</v>
      </c>
      <c r="G330" s="42"/>
      <c r="H330" s="40"/>
      <c r="I330" s="41"/>
      <c r="J330" s="42" t="s">
        <v>108</v>
      </c>
      <c r="K330" s="40">
        <f>L330/L$314</f>
        <v>0.33818069912719312</v>
      </c>
      <c r="L330" s="41">
        <f>+SUM(L318:L329)</f>
        <v>28154.25</v>
      </c>
      <c r="M330" s="43"/>
      <c r="N330" s="46">
        <f t="shared" si="57"/>
        <v>293.30766312878768</v>
      </c>
      <c r="O330" s="42" t="s">
        <v>108</v>
      </c>
      <c r="P330" s="40">
        <f>Q330/Q$314</f>
        <v>0.26321441238990728</v>
      </c>
      <c r="Q330" s="41">
        <f>+SUM(Q318:Q329)</f>
        <v>24541.030000000002</v>
      </c>
      <c r="R330" s="43"/>
      <c r="S330" s="286">
        <f t="shared" si="58"/>
        <v>3613.2199999999975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3180.5856909805216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3548.03</v>
      </c>
      <c r="M331" s="228"/>
      <c r="N331" s="230">
        <f t="shared" si="57"/>
        <v>367.44430901947862</v>
      </c>
      <c r="O331" s="228"/>
      <c r="P331" s="183"/>
      <c r="Q331" s="185">
        <f t="array" ref="Q331">+INDEX('Réel 2023'!$A$2:$AO$501,MATCH($A331,'Réel 2023'!$A$2:$A$501,0),MATCH(Q$2,'Réel 2023'!$A$2:$AO$2,0))</f>
        <v>3626.56</v>
      </c>
      <c r="R331" s="228"/>
      <c r="S331" s="202">
        <f t="shared" si="58"/>
        <v>-78.529999999999745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2876.94</v>
      </c>
      <c r="M332" s="228"/>
      <c r="N332" s="230">
        <f t="shared" si="57"/>
        <v>2611.94</v>
      </c>
      <c r="O332" s="228"/>
      <c r="P332" s="183"/>
      <c r="Q332" s="185">
        <f t="array" ref="Q332">+INDEX('Réel 2023'!$A$2:$AO$501,MATCH($A332,'Réel 2023'!$A$2:$A$501,0),MATCH(Q$2,'Réel 2023'!$A$2:$AO$2,0))</f>
        <v>151.51</v>
      </c>
      <c r="R332" s="228"/>
      <c r="S332" s="202">
        <f t="shared" si="58"/>
        <v>2725.4300000000003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4303.67</v>
      </c>
      <c r="M333" s="283"/>
      <c r="N333" s="284">
        <f t="shared" si="57"/>
        <v>-119.66333333333387</v>
      </c>
      <c r="O333" s="283"/>
      <c r="P333" s="281"/>
      <c r="Q333" s="185">
        <f t="array" ref="Q333">+INDEX('Réel 2023'!$A$2:$AO$501,MATCH($A333,'Réel 2023'!$A$2:$A$501,0),MATCH(Q$2,'Réel 2023'!$A$2:$AO$2,0))</f>
        <v>5661.6</v>
      </c>
      <c r="R333" s="283"/>
      <c r="S333" s="205">
        <f t="shared" si="58"/>
        <v>-1357.9300000000003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1777.19</v>
      </c>
      <c r="M334" s="228"/>
      <c r="N334" s="230">
        <f t="shared" si="57"/>
        <v>-136.61000000000013</v>
      </c>
      <c r="O334" s="228"/>
      <c r="P334" s="183"/>
      <c r="Q334" s="186">
        <f t="array" ref="Q334">+INDEX('Réel 2023'!$A$2:$AO$501,MATCH($A334,'Réel 2023'!$A$2:$A$501,0),MATCH(Q$2,'Réel 2023'!$A$2:$AO$2,0))</f>
        <v>1864.36</v>
      </c>
      <c r="R334" s="228"/>
      <c r="S334" s="202">
        <f t="shared" si="58"/>
        <v>-87.169999999999845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626.54</v>
      </c>
      <c r="M335" s="228"/>
      <c r="N335" s="230">
        <f t="shared" si="57"/>
        <v>260.93999999999994</v>
      </c>
      <c r="O335" s="228"/>
      <c r="P335" s="183"/>
      <c r="Q335" s="185">
        <f t="array" ref="Q335">+INDEX('Réel 2023'!$A$2:$AO$501,MATCH($A335,'Réel 2023'!$A$2:$A$501,0),MATCH(Q$2,'Réel 2023'!$A$2:$AO$2,0))</f>
        <v>232.99</v>
      </c>
      <c r="R335" s="228"/>
      <c r="S335" s="202">
        <f t="shared" si="58"/>
        <v>393.54999999999995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1731.92</v>
      </c>
      <c r="M336" s="283"/>
      <c r="N336" s="284">
        <f t="shared" si="57"/>
        <v>-262.2800000000002</v>
      </c>
      <c r="O336" s="283"/>
      <c r="P336" s="281"/>
      <c r="Q336" s="355">
        <f t="array" ref="Q336">+INDEX('Réel 2023'!$A$2:$AO$501,MATCH($A336,'Réel 2023'!$A$2:$A$501,0),MATCH(Q$2,'Réel 2023'!$A$2:$AO$2,0))</f>
        <v>1778.66</v>
      </c>
      <c r="R336" s="283"/>
      <c r="S336" s="205">
        <f t="shared" si="58"/>
        <v>-46.740000000000009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29.518072289156624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-29.518072289156624</v>
      </c>
      <c r="O338" s="228"/>
      <c r="P338" s="183"/>
      <c r="Q338" s="185">
        <f t="array" ref="Q338">+INDEX('Réel 2023'!$A$2:$AO$501,MATCH($A338,'Réel 2023'!$A$2:$A$501,0),MATCH(Q$2,'Réel 2023'!$A$2:$AO$2,0))</f>
        <v>5.65</v>
      </c>
      <c r="R338" s="228"/>
      <c r="S338" s="202">
        <f t="shared" si="58"/>
        <v>-5.65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123.18</v>
      </c>
      <c r="R339" s="228"/>
      <c r="S339" s="202">
        <f t="shared" si="58"/>
        <v>-123.18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183.86</v>
      </c>
      <c r="M340" s="228"/>
      <c r="N340" s="230">
        <f t="shared" si="57"/>
        <v>-166.14</v>
      </c>
      <c r="O340" s="228"/>
      <c r="P340" s="183"/>
      <c r="Q340" s="478">
        <f t="array" ref="Q340">+INDEX('Réel 2023'!$A$2:$AO$501,MATCH($A340,'Réel 2023'!$A$2:$A$501,0),MATCH(Q$2,'Réel 2023'!$A$2:$AO$2,0))</f>
        <v>243.76</v>
      </c>
      <c r="R340" s="228"/>
      <c r="S340" s="202">
        <f t="shared" si="58"/>
        <v>-59.899999999999977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119.64</v>
      </c>
      <c r="M341" s="228"/>
      <c r="N341" s="230">
        <f t="shared" si="57"/>
        <v>1.2399999999999949</v>
      </c>
      <c r="O341" s="228"/>
      <c r="P341" s="183"/>
      <c r="Q341" s="185">
        <f t="array" ref="Q341">+INDEX('Réel 2023'!$A$2:$AO$501,MATCH($A341,'Réel 2023'!$A$2:$A$501,0),MATCH(Q$2,'Réel 2023'!$A$2:$AO$2,0))</f>
        <v>77.010000000000005</v>
      </c>
      <c r="R341" s="228"/>
      <c r="S341" s="202">
        <f t="shared" si="58"/>
        <v>42.629999999999995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910.18</v>
      </c>
      <c r="M342" s="228"/>
      <c r="N342" s="230">
        <f t="shared" si="57"/>
        <v>435.17999999999995</v>
      </c>
      <c r="O342" s="228"/>
      <c r="P342" s="183"/>
      <c r="Q342" s="185">
        <f t="array" ref="Q342">+INDEX('Réel 2023'!$A$2:$AO$501,MATCH($A342,'Réel 2023'!$A$2:$A$501,0),MATCH(Q$2,'Réel 2023'!$A$2:$AO$2,0))</f>
        <v>1393.02</v>
      </c>
      <c r="R342" s="228"/>
      <c r="S342" s="202">
        <f t="shared" si="58"/>
        <v>-482.84000000000003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370.2</v>
      </c>
      <c r="M343" s="228"/>
      <c r="N343" s="230">
        <f t="shared" si="57"/>
        <v>-1.4000000000000341</v>
      </c>
      <c r="O343" s="228"/>
      <c r="P343" s="183"/>
      <c r="Q343" s="185">
        <f t="array" ref="Q343">+INDEX('Réel 2023'!$A$2:$AO$501,MATCH($A343,'Réel 2023'!$A$2:$A$501,0),MATCH(Q$2,'Réel 2023'!$A$2:$AO$2,0))</f>
        <v>359.15</v>
      </c>
      <c r="R343" s="228"/>
      <c r="S343" s="202">
        <f t="shared" si="58"/>
        <v>11.050000000000011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130.77000000000001</v>
      </c>
      <c r="M344" s="228"/>
      <c r="N344" s="230">
        <f t="shared" si="57"/>
        <v>-110.37687999999994</v>
      </c>
      <c r="O344" s="228"/>
      <c r="P344" s="183"/>
      <c r="Q344" s="185">
        <f t="array" ref="Q344">+INDEX('Réel 2023'!$A$2:$AO$501,MATCH($A344,'Réel 2023'!$A$2:$A$501,0),MATCH(Q$2,'Réel 2023'!$A$2:$AO$2,0))</f>
        <v>115.6</v>
      </c>
      <c r="R344" s="228"/>
      <c r="S344" s="202">
        <f>L344-Q344</f>
        <v>15.170000000000016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1566.3396154535994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1950.25</v>
      </c>
      <c r="M345" s="228"/>
      <c r="N345" s="230">
        <f t="shared" si="57"/>
        <v>383.91038454640056</v>
      </c>
      <c r="O345" s="228"/>
      <c r="P345" s="183"/>
      <c r="Q345" s="185">
        <f t="array" ref="Q345">+INDEX('Réel 2023'!$A$2:$AO$501,MATCH($A345,'Réel 2023'!$A$2:$A$501,0),MATCH(Q$2,'Réel 2023'!$A$2:$AO$2,0))</f>
        <v>1473.32</v>
      </c>
      <c r="R345" s="228"/>
      <c r="S345" s="202">
        <f>L345-Q345</f>
        <v>476.93000000000006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0.16259690685513145</v>
      </c>
      <c r="F349" s="41">
        <f>+SUM(F331:F348)</f>
        <v>15327.523592056612</v>
      </c>
      <c r="G349" s="42"/>
      <c r="H349" s="40"/>
      <c r="I349" s="41"/>
      <c r="J349" s="42" t="s">
        <v>108</v>
      </c>
      <c r="K349" s="40">
        <f>L349/L$314</f>
        <v>0.22256726527826509</v>
      </c>
      <c r="L349" s="41">
        <f>+SUM(L331:L348)</f>
        <v>18529.189999999999</v>
      </c>
      <c r="M349" s="44"/>
      <c r="N349" s="41">
        <f>+SUM(N331:N348)</f>
        <v>3201.6664079433885</v>
      </c>
      <c r="O349" s="42" t="s">
        <v>108</v>
      </c>
      <c r="P349" s="40">
        <f>Q349/Q$314</f>
        <v>0.18347408921607361</v>
      </c>
      <c r="Q349" s="41">
        <f>+SUM(Q331:Q348)</f>
        <v>17106.370000000003</v>
      </c>
      <c r="R349" s="44"/>
      <c r="S349" s="290">
        <f>+SUM(S331:S348)</f>
        <v>1422.8200000000004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0.45815039394238227</v>
      </c>
      <c r="F351" s="41">
        <f>F330+F349</f>
        <v>43188.465928927821</v>
      </c>
      <c r="G351" s="42"/>
      <c r="H351" s="40"/>
      <c r="I351" s="41"/>
      <c r="J351" s="42" t="s">
        <v>108</v>
      </c>
      <c r="K351" s="40">
        <f>L351/L$314</f>
        <v>0.56074796440545827</v>
      </c>
      <c r="L351" s="41">
        <f>L330+L349</f>
        <v>46683.44</v>
      </c>
      <c r="M351" s="44"/>
      <c r="N351" s="46">
        <f>L351-F351</f>
        <v>3494.9740710721817</v>
      </c>
      <c r="O351" s="42" t="s">
        <v>108</v>
      </c>
      <c r="P351" s="40">
        <f>Q351/Q$314</f>
        <v>0.44668850160598095</v>
      </c>
      <c r="Q351" s="41">
        <f>Q330+Q349</f>
        <v>41647.400000000009</v>
      </c>
      <c r="R351" s="44"/>
      <c r="S351" s="286">
        <f>L351-Q351</f>
        <v>5036.0399999999936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51078.540058541155</v>
      </c>
      <c r="G353" s="312"/>
      <c r="H353" s="310"/>
      <c r="I353" s="311"/>
      <c r="J353" s="313"/>
      <c r="K353" s="314"/>
      <c r="L353" s="311">
        <f>L314-L351</f>
        <v>36568.649999999994</v>
      </c>
      <c r="M353" s="313"/>
      <c r="N353" s="311">
        <f>L353-F353</f>
        <v>-14509.890058541161</v>
      </c>
      <c r="O353" s="313"/>
      <c r="P353" s="314">
        <f>+Q353/O314</f>
        <v>0.17045124778161524</v>
      </c>
      <c r="Q353" s="311">
        <f>Q314-Q351</f>
        <v>51588.489999999874</v>
      </c>
      <c r="R353" s="313"/>
      <c r="S353" s="315">
        <f>L353-Q353</f>
        <v>-15019.83999999988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Avril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43" t="s">
        <v>77</v>
      </c>
      <c r="E358" s="1244"/>
      <c r="F358" s="1245"/>
      <c r="G358" s="1246"/>
      <c r="H358" s="1244"/>
      <c r="I358" s="1245"/>
      <c r="J358" s="1246" t="s">
        <v>78</v>
      </c>
      <c r="K358" s="1244"/>
      <c r="L358" s="1245"/>
      <c r="M358" s="1246"/>
      <c r="N358" s="1245"/>
      <c r="O358" s="1243" t="s">
        <v>79</v>
      </c>
      <c r="P358" s="1244"/>
      <c r="Q358" s="1245"/>
      <c r="R358" s="1246" t="s">
        <v>80</v>
      </c>
      <c r="S358" s="124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88409.214208434103</v>
      </c>
      <c r="G401" s="25"/>
      <c r="H401" s="25"/>
      <c r="I401" s="25"/>
      <c r="J401" s="25"/>
      <c r="K401" s="25"/>
      <c r="L401" s="37">
        <f>L353+L289+L233</f>
        <v>61273.149999999987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2"/>
      <c r="AU401" s="1032"/>
      <c r="AV401" s="103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Avril 2024</v>
      </c>
      <c r="AP402" s="79"/>
      <c r="AQ402" s="1032"/>
      <c r="AS402" s="1033"/>
      <c r="AT402" s="721"/>
      <c r="AU402" s="1032"/>
      <c r="AV402" s="1033"/>
      <c r="AW402" s="1033"/>
      <c r="AX402" s="103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3"/>
      <c r="AT403" s="1034"/>
      <c r="AU403" s="722"/>
      <c r="AV403" s="1035"/>
      <c r="AW403" s="1035"/>
      <c r="AX403" s="103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50" t="s">
        <v>186</v>
      </c>
      <c r="Y404" s="1241"/>
      <c r="Z404" s="1251"/>
      <c r="AA404" s="1240"/>
      <c r="AB404" s="1241"/>
      <c r="AC404" s="1251"/>
      <c r="AD404" s="1240" t="s">
        <v>78</v>
      </c>
      <c r="AE404" s="1241"/>
      <c r="AF404" s="1251"/>
      <c r="AG404" s="1240" t="s">
        <v>2451</v>
      </c>
      <c r="AH404" s="1241"/>
      <c r="AI404" s="1251"/>
      <c r="AJ404" s="1240" t="s">
        <v>2339</v>
      </c>
      <c r="AK404" s="1241"/>
      <c r="AL404" s="1241"/>
      <c r="AM404" s="1240" t="s">
        <v>187</v>
      </c>
      <c r="AN404" s="1241"/>
      <c r="AO404" s="1242"/>
      <c r="AP404" s="79"/>
      <c r="AQ404" s="722"/>
      <c r="AR404" s="79"/>
      <c r="AS404" s="1035"/>
      <c r="AT404" s="1034"/>
      <c r="AU404" s="722"/>
      <c r="AV404" s="1035"/>
      <c r="AW404" s="1035"/>
      <c r="AX404" s="103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6"/>
      <c r="AR405" s="124"/>
      <c r="AS405" s="124"/>
      <c r="AT405" s="1037"/>
      <c r="AU405" s="1036"/>
      <c r="AV405" s="1038"/>
      <c r="AW405" s="1038"/>
      <c r="AX405" s="103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5186555.0180582749</v>
      </c>
      <c r="AA406" s="393"/>
      <c r="AB406" s="393"/>
      <c r="AC406" s="394"/>
      <c r="AD406" s="395"/>
      <c r="AE406" s="396"/>
      <c r="AF406" s="396">
        <f>L5+L93+K194+K250+J314+J362</f>
        <v>5136322.25</v>
      </c>
      <c r="AG406" s="395"/>
      <c r="AH406" s="396"/>
      <c r="AI406" s="397"/>
      <c r="AJ406" s="395"/>
      <c r="AK406" s="396"/>
      <c r="AL406" s="396">
        <f>Q5+Q93+P194+P250+O314+O362</f>
        <v>4519395.8499999903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535039.14324018499</v>
      </c>
      <c r="AA407" s="81"/>
      <c r="AB407" s="81"/>
      <c r="AC407" s="82"/>
      <c r="AD407" s="83"/>
      <c r="AE407" s="84"/>
      <c r="AF407" s="84">
        <f>L27+L108+L194+L250+L314+L362</f>
        <v>471251.61000000022</v>
      </c>
      <c r="AG407" s="83"/>
      <c r="AH407" s="84">
        <f>AF407-Z407</f>
        <v>-63787.53324018477</v>
      </c>
      <c r="AI407" s="85">
        <f>AH407/Z407</f>
        <v>-0.1192203113474818</v>
      </c>
      <c r="AJ407" s="83">
        <f>+AL407/AL406</f>
        <v>0.10827061320596658</v>
      </c>
      <c r="AK407" s="84"/>
      <c r="AL407" s="84">
        <f>Q27+Q108+Q194+Q250+Q314+Q362</f>
        <v>489317.75999999949</v>
      </c>
      <c r="AM407" s="86"/>
      <c r="AN407" s="84">
        <f>AF407-AL407</f>
        <v>-18066.149999999267</v>
      </c>
      <c r="AO407" s="401">
        <f>IF(AL407=0,0,AN407/AL407)</f>
        <v>-3.692110010476482E-2</v>
      </c>
      <c r="AP407" s="79"/>
      <c r="AQ407" s="79" t="s">
        <v>2362</v>
      </c>
      <c r="AR407" s="101">
        <v>469966</v>
      </c>
      <c r="AS407" s="101">
        <f>AF407-AR407</f>
        <v>1285.6100000002189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1258.6777259528317</v>
      </c>
      <c r="Z409" s="87">
        <f t="shared" ref="Z409:Z415" si="64">+SUMIF($C:$C,$V409,F:F)</f>
        <v>62933.886297641584</v>
      </c>
      <c r="AA409" s="403"/>
      <c r="AB409" s="409"/>
      <c r="AC409" s="87"/>
      <c r="AD409" s="410"/>
      <c r="AE409" s="409">
        <f t="shared" ref="AE409:AE414" si="65">IF(AF409=0,0,AF409/(J$13+J$97))</f>
        <v>1065.9484905660377</v>
      </c>
      <c r="AF409" s="87">
        <f t="shared" ref="AF409:AF415" si="66">+SUMIF($C:$C,$V409,L:L)</f>
        <v>56495.27</v>
      </c>
      <c r="AG409" s="404">
        <f t="shared" ref="AG409:AG418" si="67">AE409-Y409</f>
        <v>-192.72923538679402</v>
      </c>
      <c r="AH409" s="405">
        <f t="shared" ref="AH409:AH418" si="68">AF409-Z409</f>
        <v>-6438.6162976415872</v>
      </c>
      <c r="AI409" s="406">
        <f t="shared" ref="AI409:AI418" si="69">IF(Z409=0,0,AH409/Z409)</f>
        <v>-0.102307622751765</v>
      </c>
      <c r="AJ409" s="410">
        <f t="shared" ref="AJ409:AJ415" si="70">AL409/AL$407</f>
        <v>0.1090273118228941</v>
      </c>
      <c r="AK409" s="405">
        <f t="shared" ref="AK409:AK418" si="71">AL409/(O$13+O$97)</f>
        <v>1333.7249999999999</v>
      </c>
      <c r="AL409" s="87">
        <f t="shared" ref="AL409:AL414" si="72">+SUMIF($C:$C,$V409,Q:Q)</f>
        <v>53349</v>
      </c>
      <c r="AM409" s="407">
        <f t="shared" ref="AM409:AM414" si="73">AE409-Y409</f>
        <v>-192.72923538679402</v>
      </c>
      <c r="AN409" s="405">
        <f t="shared" ref="AN409:AN414" si="74">AF409-AL409</f>
        <v>3146.2699999999968</v>
      </c>
      <c r="AO409" s="217">
        <f t="shared" ref="AO409:AO431" si="75">IF(AL409=0,0,AN409/AL409)</f>
        <v>5.897523852368361E-2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429.25</v>
      </c>
      <c r="Z410" s="394">
        <f t="shared" si="64"/>
        <v>21462.5</v>
      </c>
      <c r="AA410" s="393"/>
      <c r="AB410" s="412"/>
      <c r="AC410" s="394"/>
      <c r="AD410" s="413"/>
      <c r="AE410" s="412">
        <f t="shared" si="65"/>
        <v>596.42735849056612</v>
      </c>
      <c r="AF410" s="394">
        <f t="shared" si="66"/>
        <v>31610.65</v>
      </c>
      <c r="AG410" s="395">
        <f t="shared" si="67"/>
        <v>167.17735849056612</v>
      </c>
      <c r="AH410" s="396">
        <f t="shared" si="68"/>
        <v>10148.150000000001</v>
      </c>
      <c r="AI410" s="414">
        <f t="shared" si="69"/>
        <v>0.47283168316831692</v>
      </c>
      <c r="AJ410" s="413">
        <f t="shared" si="70"/>
        <v>3.6530678960027978E-2</v>
      </c>
      <c r="AK410" s="396">
        <f t="shared" si="71"/>
        <v>446.87774999999999</v>
      </c>
      <c r="AL410" s="394">
        <f t="shared" si="72"/>
        <v>17875.11</v>
      </c>
      <c r="AM410" s="398">
        <f t="shared" si="73"/>
        <v>167.17735849056612</v>
      </c>
      <c r="AN410" s="396">
        <f t="shared" si="74"/>
        <v>13735.54</v>
      </c>
      <c r="AO410" s="218">
        <f t="shared" si="75"/>
        <v>0.76841708946126763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110.2</v>
      </c>
      <c r="Z411" s="87">
        <f t="shared" si="64"/>
        <v>5510</v>
      </c>
      <c r="AA411" s="403"/>
      <c r="AB411" s="409"/>
      <c r="AC411" s="87"/>
      <c r="AD411" s="410"/>
      <c r="AE411" s="409">
        <f t="shared" si="65"/>
        <v>75.8533962264151</v>
      </c>
      <c r="AF411" s="87">
        <f t="shared" si="66"/>
        <v>4020.2300000000005</v>
      </c>
      <c r="AG411" s="404">
        <f t="shared" si="67"/>
        <v>-34.346603773584903</v>
      </c>
      <c r="AH411" s="405">
        <f t="shared" si="68"/>
        <v>-1489.7699999999995</v>
      </c>
      <c r="AI411" s="406">
        <f t="shared" si="69"/>
        <v>-0.27037568058076217</v>
      </c>
      <c r="AJ411" s="410">
        <f t="shared" si="70"/>
        <v>8.5927802824896544E-3</v>
      </c>
      <c r="AK411" s="405">
        <f t="shared" si="71"/>
        <v>105.11500000000001</v>
      </c>
      <c r="AL411" s="87">
        <f t="shared" si="72"/>
        <v>4204.6000000000004</v>
      </c>
      <c r="AM411" s="407">
        <f t="shared" si="73"/>
        <v>-34.346603773584903</v>
      </c>
      <c r="AN411" s="405">
        <f t="shared" si="74"/>
        <v>-184.36999999999989</v>
      </c>
      <c r="AO411" s="217">
        <f t="shared" si="75"/>
        <v>-4.3849593302573341E-2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66.599999999999994</v>
      </c>
      <c r="Z412" s="87">
        <f t="shared" si="64"/>
        <v>3330</v>
      </c>
      <c r="AA412" s="403"/>
      <c r="AB412" s="409"/>
      <c r="AC412" s="87"/>
      <c r="AD412" s="410"/>
      <c r="AE412" s="409">
        <f t="shared" si="65"/>
        <v>25.306792452830187</v>
      </c>
      <c r="AF412" s="87">
        <f t="shared" si="66"/>
        <v>1341.26</v>
      </c>
      <c r="AG412" s="404">
        <f t="shared" si="67"/>
        <v>-41.293207547169807</v>
      </c>
      <c r="AH412" s="405">
        <f t="shared" si="68"/>
        <v>-1988.74</v>
      </c>
      <c r="AI412" s="406">
        <f t="shared" si="69"/>
        <v>-0.59721921921921928</v>
      </c>
      <c r="AJ412" s="410">
        <f t="shared" si="70"/>
        <v>3.8495639316259477E-3</v>
      </c>
      <c r="AK412" s="405">
        <f t="shared" si="71"/>
        <v>47.091499999999996</v>
      </c>
      <c r="AL412" s="87">
        <f t="shared" si="72"/>
        <v>1883.6599999999999</v>
      </c>
      <c r="AM412" s="407">
        <f t="shared" si="73"/>
        <v>-41.293207547169807</v>
      </c>
      <c r="AN412" s="405">
        <f t="shared" si="74"/>
        <v>-542.39999999999986</v>
      </c>
      <c r="AO412" s="219">
        <f t="shared" si="75"/>
        <v>-0.287950054680781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71.099999999999994</v>
      </c>
      <c r="Z413" s="394">
        <f t="shared" si="64"/>
        <v>3555</v>
      </c>
      <c r="AA413" s="393"/>
      <c r="AB413" s="412"/>
      <c r="AC413" s="394"/>
      <c r="AD413" s="413"/>
      <c r="AE413" s="412">
        <f t="shared" si="65"/>
        <v>69.646226415094333</v>
      </c>
      <c r="AF413" s="394">
        <f t="shared" si="66"/>
        <v>3691.25</v>
      </c>
      <c r="AG413" s="395">
        <f t="shared" si="67"/>
        <v>-1.4537735849056617</v>
      </c>
      <c r="AH413" s="396">
        <f t="shared" si="68"/>
        <v>136.25</v>
      </c>
      <c r="AI413" s="414">
        <f t="shared" si="69"/>
        <v>3.8326300984528834E-2</v>
      </c>
      <c r="AJ413" s="413">
        <f t="shared" si="70"/>
        <v>5.900153716063776E-3</v>
      </c>
      <c r="AK413" s="396">
        <f t="shared" si="71"/>
        <v>72.176249999999996</v>
      </c>
      <c r="AL413" s="394">
        <f t="shared" si="72"/>
        <v>2887.0499999999997</v>
      </c>
      <c r="AM413" s="398">
        <f t="shared" si="73"/>
        <v>-1.4537735849056617</v>
      </c>
      <c r="AN413" s="396">
        <f t="shared" si="74"/>
        <v>804.20000000000027</v>
      </c>
      <c r="AO413" s="218">
        <f t="shared" si="75"/>
        <v>0.27855423356020864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444.55166666666673</v>
      </c>
      <c r="Z414" s="87">
        <f t="shared" si="64"/>
        <v>22227.583333333336</v>
      </c>
      <c r="AA414" s="406"/>
      <c r="AB414" s="409"/>
      <c r="AC414" s="87"/>
      <c r="AD414" s="410"/>
      <c r="AE414" s="409">
        <f t="shared" si="65"/>
        <v>401.33396226415095</v>
      </c>
      <c r="AF414" s="87">
        <f t="shared" si="66"/>
        <v>21270.7</v>
      </c>
      <c r="AG414" s="404">
        <f t="shared" si="67"/>
        <v>-43.217704402515778</v>
      </c>
      <c r="AH414" s="405">
        <f t="shared" si="68"/>
        <v>-956.88333333333503</v>
      </c>
      <c r="AI414" s="406">
        <f t="shared" si="69"/>
        <v>-4.3049364340852839E-2</v>
      </c>
      <c r="AJ414" s="410">
        <f t="shared" si="70"/>
        <v>4.8328309195235446E-2</v>
      </c>
      <c r="AK414" s="405">
        <f t="shared" si="71"/>
        <v>591.19749999999965</v>
      </c>
      <c r="AL414" s="87">
        <f t="shared" si="72"/>
        <v>23647.899999999987</v>
      </c>
      <c r="AM414" s="407">
        <f t="shared" si="73"/>
        <v>-43.217704402515778</v>
      </c>
      <c r="AN414" s="405">
        <f t="shared" si="74"/>
        <v>-2377.1999999999862</v>
      </c>
      <c r="AO414" s="217">
        <f t="shared" si="75"/>
        <v>-0.1005247823273943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788.61890608016245</v>
      </c>
      <c r="Z415" s="87">
        <f t="shared" si="64"/>
        <v>39430.945304008121</v>
      </c>
      <c r="AA415" s="403"/>
      <c r="AB415" s="409"/>
      <c r="AC415" s="87"/>
      <c r="AD415" s="410"/>
      <c r="AE415" s="409">
        <f>IF(AF415=0,0,AF415/(J$13+J$13))</f>
        <v>892.51980000000015</v>
      </c>
      <c r="AF415" s="87">
        <f t="shared" si="66"/>
        <v>44625.990000000005</v>
      </c>
      <c r="AG415" s="404">
        <f t="shared" si="67"/>
        <v>103.9008939198377</v>
      </c>
      <c r="AH415" s="405">
        <f t="shared" si="68"/>
        <v>5195.0446959918845</v>
      </c>
      <c r="AI415" s="406">
        <f t="shared" si="69"/>
        <v>0.13175044767348787</v>
      </c>
      <c r="AJ415" s="410">
        <f t="shared" si="70"/>
        <v>2.3816732096541955E-2</v>
      </c>
      <c r="AK415" s="405">
        <f t="shared" si="71"/>
        <v>291.34875</v>
      </c>
      <c r="AL415" s="87">
        <f>IFERROR(SUMIF($C:$C,$V415,Q:Q),0)</f>
        <v>11653.95</v>
      </c>
      <c r="AM415" s="407">
        <f>AE415-Y415</f>
        <v>103.9008939198377</v>
      </c>
      <c r="AN415" s="405">
        <f>AF415-AL415</f>
        <v>32972.040000000008</v>
      </c>
      <c r="AO415" s="217">
        <f t="shared" si="75"/>
        <v>2.8292587491794632</v>
      </c>
      <c r="AP415" s="79"/>
      <c r="AQ415" s="79">
        <v>44626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1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5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1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5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1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5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0.29614639776711277</v>
      </c>
      <c r="Y419" s="88"/>
      <c r="Z419" s="90">
        <f>SUM(Z409:Z418)</f>
        <v>158449.91493498304</v>
      </c>
      <c r="AA419" s="89"/>
      <c r="AB419" s="88"/>
      <c r="AC419" s="90"/>
      <c r="AD419" s="91">
        <f>AF419/AF407</f>
        <v>0.34600486563854904</v>
      </c>
      <c r="AE419" s="88"/>
      <c r="AF419" s="90">
        <f>SUM(AF409:AF418)</f>
        <v>163055.34999999998</v>
      </c>
      <c r="AG419" s="92"/>
      <c r="AH419" s="93">
        <f t="shared" ref="AH419:AH451" si="76">AF419-Z419</f>
        <v>4605.4350650169363</v>
      </c>
      <c r="AI419" s="89">
        <f>AH419/Z419</f>
        <v>2.9065557194566438E-2</v>
      </c>
      <c r="AJ419" s="91">
        <f>IF($AL$407=0,0,AL419/$AL$407)</f>
        <v>0.23604553000487888</v>
      </c>
      <c r="AK419" s="88"/>
      <c r="AL419" s="90">
        <f>SUM(AL409:AL418)</f>
        <v>115501.27</v>
      </c>
      <c r="AM419" s="94"/>
      <c r="AN419" s="93">
        <f t="shared" ref="AN419:AN424" si="77">AF419-AL419</f>
        <v>47554.079999999973</v>
      </c>
      <c r="AO419" s="401">
        <f t="shared" si="75"/>
        <v>0.41171910923576832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15086.564249363866</v>
      </c>
      <c r="AA420" s="403"/>
      <c r="AB420" s="403"/>
      <c r="AC420" s="87"/>
      <c r="AD420" s="410"/>
      <c r="AE420" s="409"/>
      <c r="AF420" s="87">
        <f>SUMIFS(BV_Data_An_Cour!$O:$O,BV_Data_An_Cour!$V:$V,$V420)</f>
        <v>11680.48</v>
      </c>
      <c r="AG420" s="404"/>
      <c r="AH420" s="405">
        <f t="shared" si="76"/>
        <v>-3406.0842493638665</v>
      </c>
      <c r="AI420" s="406">
        <f t="shared" ref="AI420:AI432" si="78">IF(Z420=0,0,AH420/Z420)</f>
        <v>-0.22576937949987427</v>
      </c>
      <c r="AJ420" s="410"/>
      <c r="AK420" s="403"/>
      <c r="AL420" s="87">
        <f>+INDEX('Réel 2023'!$A$2:$AO$501,MATCH($A420,'Réel 2023'!$A$2:$A$501,0),MATCH(F$2,'Réel 2023'!$A$2:$AO$2,0))</f>
        <v>12811.44</v>
      </c>
      <c r="AM420" s="407"/>
      <c r="AN420" s="405">
        <f t="shared" si="77"/>
        <v>-1130.9600000000009</v>
      </c>
      <c r="AO420" s="217">
        <f t="shared" si="75"/>
        <v>-8.8277352116545901E-2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9">+SUMIF($C:$C,$V421,F:F)</f>
        <v>31761.585241730285</v>
      </c>
      <c r="AA421" s="403"/>
      <c r="AB421" s="403"/>
      <c r="AC421" s="87"/>
      <c r="AD421" s="410"/>
      <c r="AE421" s="409"/>
      <c r="AF421" s="87">
        <f t="shared" ref="AF421:AF432" si="80">+SUMIF($C:$C,$V421,L:L)</f>
        <v>28590.780000000002</v>
      </c>
      <c r="AG421" s="404"/>
      <c r="AH421" s="405">
        <f t="shared" si="76"/>
        <v>-3170.8052417302824</v>
      </c>
      <c r="AI421" s="406">
        <f t="shared" si="78"/>
        <v>-9.9831454179569332E-2</v>
      </c>
      <c r="AJ421" s="410"/>
      <c r="AK421" s="403"/>
      <c r="AL421" s="87">
        <f t="shared" ref="AL421:AL429" si="81">+SUMIF($C:$C,$V421,Q:Q)</f>
        <v>27009.13</v>
      </c>
      <c r="AM421" s="407"/>
      <c r="AN421" s="405">
        <f t="shared" si="77"/>
        <v>1581.6500000000015</v>
      </c>
      <c r="AO421" s="217">
        <f t="shared" si="75"/>
        <v>5.8559827732326118E-2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9"/>
        <v>19640.800890585237</v>
      </c>
      <c r="AA422" s="393"/>
      <c r="AB422" s="393"/>
      <c r="AC422" s="394"/>
      <c r="AD422" s="413"/>
      <c r="AE422" s="412"/>
      <c r="AF422" s="394">
        <f t="shared" si="80"/>
        <v>17983.900000000001</v>
      </c>
      <c r="AG422" s="395"/>
      <c r="AH422" s="396">
        <f t="shared" si="76"/>
        <v>-1656.9008905852352</v>
      </c>
      <c r="AI422" s="414">
        <f t="shared" si="78"/>
        <v>-8.4360149049699185E-2</v>
      </c>
      <c r="AJ422" s="413"/>
      <c r="AK422" s="393"/>
      <c r="AL422" s="394">
        <f t="shared" si="81"/>
        <v>19789.520000000004</v>
      </c>
      <c r="AM422" s="398"/>
      <c r="AN422" s="396">
        <f t="shared" si="77"/>
        <v>-1805.6200000000026</v>
      </c>
      <c r="AO422" s="399">
        <f t="shared" si="75"/>
        <v>-9.1241222626925883E-2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9"/>
        <v>21155.610687022901</v>
      </c>
      <c r="AA423" s="403"/>
      <c r="AB423" s="403"/>
      <c r="AC423" s="87"/>
      <c r="AD423" s="410"/>
      <c r="AE423" s="409"/>
      <c r="AF423" s="87">
        <f t="shared" si="80"/>
        <v>26589.989999999998</v>
      </c>
      <c r="AG423" s="404"/>
      <c r="AH423" s="405">
        <f t="shared" si="76"/>
        <v>5434.3793129770966</v>
      </c>
      <c r="AI423" s="406">
        <f t="shared" si="78"/>
        <v>0.25687650398627387</v>
      </c>
      <c r="AJ423" s="410"/>
      <c r="AK423" s="403"/>
      <c r="AL423" s="87">
        <f t="shared" si="81"/>
        <v>21320.63</v>
      </c>
      <c r="AM423" s="407"/>
      <c r="AN423" s="405">
        <f t="shared" si="77"/>
        <v>5269.3599999999969</v>
      </c>
      <c r="AO423" s="217">
        <f t="shared" si="75"/>
        <v>0.24714841916022165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9"/>
        <v>13563.745330702255</v>
      </c>
      <c r="AA424" s="403"/>
      <c r="AB424" s="403"/>
      <c r="AC424" s="87"/>
      <c r="AD424" s="410"/>
      <c r="AE424" s="409"/>
      <c r="AF424" s="87">
        <f t="shared" si="80"/>
        <v>12116.41</v>
      </c>
      <c r="AG424" s="404"/>
      <c r="AH424" s="405">
        <f t="shared" si="76"/>
        <v>-1447.3353307022553</v>
      </c>
      <c r="AI424" s="406">
        <f t="shared" si="78"/>
        <v>-0.10670617115068765</v>
      </c>
      <c r="AJ424" s="410"/>
      <c r="AK424" s="403"/>
      <c r="AL424" s="87">
        <f t="shared" si="81"/>
        <v>11493.78</v>
      </c>
      <c r="AM424" s="407"/>
      <c r="AN424" s="405">
        <f t="shared" si="77"/>
        <v>622.6299999999992</v>
      </c>
      <c r="AO424" s="217">
        <f t="shared" si="75"/>
        <v>5.417103859652779E-2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9"/>
        <v>0</v>
      </c>
      <c r="AA425" s="403"/>
      <c r="AB425" s="403"/>
      <c r="AC425" s="405"/>
      <c r="AD425" s="410"/>
      <c r="AE425" s="409"/>
      <c r="AF425" s="87">
        <f t="shared" si="80"/>
        <v>0</v>
      </c>
      <c r="AG425" s="404"/>
      <c r="AH425" s="405">
        <f t="shared" si="76"/>
        <v>0</v>
      </c>
      <c r="AI425" s="406">
        <f t="shared" si="78"/>
        <v>0</v>
      </c>
      <c r="AJ425" s="410"/>
      <c r="AK425" s="403"/>
      <c r="AL425" s="87">
        <f t="shared" si="81"/>
        <v>0</v>
      </c>
      <c r="AM425" s="407"/>
      <c r="AN425" s="405">
        <f t="shared" ref="AN425:AN431" si="82">AF425-AL425</f>
        <v>0</v>
      </c>
      <c r="AO425" s="217">
        <f t="shared" si="75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9"/>
        <v>0</v>
      </c>
      <c r="AA426" s="403"/>
      <c r="AB426" s="403"/>
      <c r="AC426" s="405"/>
      <c r="AD426" s="410"/>
      <c r="AE426" s="409"/>
      <c r="AF426" s="87">
        <f t="shared" si="80"/>
        <v>0</v>
      </c>
      <c r="AG426" s="404"/>
      <c r="AH426" s="405">
        <f t="shared" si="76"/>
        <v>0</v>
      </c>
      <c r="AI426" s="406">
        <f t="shared" si="78"/>
        <v>0</v>
      </c>
      <c r="AJ426" s="410"/>
      <c r="AK426" s="403"/>
      <c r="AL426" s="87">
        <f t="shared" si="81"/>
        <v>0</v>
      </c>
      <c r="AM426" s="407"/>
      <c r="AN426" s="405">
        <f t="shared" si="82"/>
        <v>0</v>
      </c>
      <c r="AO426" s="217">
        <f t="shared" si="75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9"/>
        <v>0</v>
      </c>
      <c r="AA427" s="403"/>
      <c r="AB427" s="403"/>
      <c r="AC427" s="405"/>
      <c r="AD427" s="410"/>
      <c r="AE427" s="409"/>
      <c r="AF427" s="87">
        <f t="shared" si="80"/>
        <v>0</v>
      </c>
      <c r="AG427" s="404"/>
      <c r="AH427" s="405">
        <f t="shared" si="76"/>
        <v>0</v>
      </c>
      <c r="AI427" s="406">
        <f t="shared" si="78"/>
        <v>0</v>
      </c>
      <c r="AJ427" s="410"/>
      <c r="AK427" s="403"/>
      <c r="AL427" s="87">
        <f t="shared" si="81"/>
        <v>0</v>
      </c>
      <c r="AM427" s="407"/>
      <c r="AN427" s="405">
        <f t="shared" si="82"/>
        <v>0</v>
      </c>
      <c r="AO427" s="217">
        <f t="shared" si="75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9"/>
        <v>23178.318544276182</v>
      </c>
      <c r="AA428" s="393"/>
      <c r="AB428" s="393"/>
      <c r="AC428" s="394"/>
      <c r="AD428" s="413"/>
      <c r="AE428" s="412"/>
      <c r="AF428" s="394">
        <f t="shared" si="80"/>
        <v>11741.09</v>
      </c>
      <c r="AG428" s="395"/>
      <c r="AH428" s="396">
        <f t="shared" si="76"/>
        <v>-11437.228544276182</v>
      </c>
      <c r="AI428" s="414">
        <f t="shared" si="78"/>
        <v>-0.49344513591131794</v>
      </c>
      <c r="AJ428" s="413"/>
      <c r="AK428" s="393"/>
      <c r="AL428" s="394">
        <f t="shared" si="81"/>
        <v>16271.63</v>
      </c>
      <c r="AM428" s="398"/>
      <c r="AN428" s="396">
        <f t="shared" si="82"/>
        <v>-4530.5399999999991</v>
      </c>
      <c r="AO428" s="218">
        <f t="shared" si="75"/>
        <v>-0.27843184733182841</v>
      </c>
      <c r="AP428" s="722"/>
      <c r="AQ428" s="1192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9"/>
        <v>30570.135909198278</v>
      </c>
      <c r="AA429" s="403"/>
      <c r="AB429" s="403"/>
      <c r="AC429" s="87"/>
      <c r="AD429" s="410"/>
      <c r="AE429" s="409"/>
      <c r="AF429" s="87">
        <f t="shared" si="80"/>
        <v>29131.18</v>
      </c>
      <c r="AG429" s="404"/>
      <c r="AH429" s="405">
        <f t="shared" si="76"/>
        <v>-1438.9559091982774</v>
      </c>
      <c r="AI429" s="406">
        <f t="shared" si="78"/>
        <v>-4.7070641539585324E-2</v>
      </c>
      <c r="AJ429" s="410"/>
      <c r="AK429" s="403"/>
      <c r="AL429" s="87">
        <f t="shared" si="81"/>
        <v>30585.63</v>
      </c>
      <c r="AM429" s="407"/>
      <c r="AN429" s="405">
        <f t="shared" si="82"/>
        <v>-1454.4500000000007</v>
      </c>
      <c r="AO429" s="217">
        <f t="shared" si="75"/>
        <v>-4.7553377190530349E-2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9"/>
        <v>13936.385488016862</v>
      </c>
      <c r="AA430" s="403"/>
      <c r="AB430" s="403"/>
      <c r="AC430" s="87"/>
      <c r="AD430" s="410"/>
      <c r="AE430" s="409"/>
      <c r="AF430" s="87">
        <f t="shared" si="80"/>
        <v>12249.67</v>
      </c>
      <c r="AG430" s="404"/>
      <c r="AH430" s="405">
        <f t="shared" si="76"/>
        <v>-1686.7154880168619</v>
      </c>
      <c r="AI430" s="406">
        <f t="shared" si="78"/>
        <v>-0.12102962346062948</v>
      </c>
      <c r="AJ430" s="410"/>
      <c r="AK430" s="403"/>
      <c r="AL430" s="87">
        <f>IFERROR(SUMIF($C:$C,$V430,Q:Q),0)</f>
        <v>11125.759999999998</v>
      </c>
      <c r="AM430" s="407"/>
      <c r="AN430" s="405">
        <f t="shared" si="82"/>
        <v>1123.9100000000017</v>
      </c>
      <c r="AO430" s="217">
        <f t="shared" si="75"/>
        <v>0.10101871692360807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9"/>
        <v>3146.9257553586458</v>
      </c>
      <c r="AA431" s="403"/>
      <c r="AB431" s="403"/>
      <c r="AC431" s="87"/>
      <c r="AD431" s="410"/>
      <c r="AE431" s="409"/>
      <c r="AF431" s="87">
        <f t="shared" si="80"/>
        <v>3503.11</v>
      </c>
      <c r="AG431" s="404"/>
      <c r="AH431" s="405">
        <f t="shared" si="76"/>
        <v>356.18424464135433</v>
      </c>
      <c r="AI431" s="97">
        <f t="shared" si="78"/>
        <v>0.11318482618626668</v>
      </c>
      <c r="AJ431" s="410"/>
      <c r="AK431" s="403"/>
      <c r="AL431" s="87">
        <f>IFERROR(SUMIF($C:$C,$V431,Q:Q),0)</f>
        <v>2969.64</v>
      </c>
      <c r="AM431" s="407"/>
      <c r="AN431" s="405">
        <f t="shared" si="82"/>
        <v>533.47000000000025</v>
      </c>
      <c r="AO431" s="218">
        <f t="shared" si="75"/>
        <v>0.1796413033229618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80"/>
        <v>0</v>
      </c>
      <c r="AG432" s="404"/>
      <c r="AH432" s="405">
        <f t="shared" si="76"/>
        <v>0</v>
      </c>
      <c r="AI432" s="406">
        <f t="shared" si="78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0.32154670227375087</v>
      </c>
      <c r="Y433" s="88"/>
      <c r="Z433" s="90">
        <f>SUM(Z420:Z432)</f>
        <v>172040.0720962545</v>
      </c>
      <c r="AA433" s="89"/>
      <c r="AB433" s="88"/>
      <c r="AC433" s="90"/>
      <c r="AD433" s="91">
        <f>AF433/AF407</f>
        <v>0.3259121173082038</v>
      </c>
      <c r="AE433" s="98"/>
      <c r="AF433" s="90">
        <f>SUM(AF420:AF432)</f>
        <v>153586.60999999999</v>
      </c>
      <c r="AG433" s="99"/>
      <c r="AH433" s="93">
        <f t="shared" si="76"/>
        <v>-18453.462096254516</v>
      </c>
      <c r="AI433" s="89">
        <f>AH433/Z433</f>
        <v>-0.10726258058023837</v>
      </c>
      <c r="AJ433" s="91">
        <f>IF($AL$407=0,0,AL433/$AL$407)</f>
        <v>0.3134510384417688</v>
      </c>
      <c r="AK433" s="88"/>
      <c r="AL433" s="90">
        <f>SUM(AL420:AL432)</f>
        <v>153377.16000000003</v>
      </c>
      <c r="AM433" s="100"/>
      <c r="AN433" s="93">
        <f t="shared" ref="AN433:AN447" si="83">AF433-AL433</f>
        <v>209.44999999995343</v>
      </c>
      <c r="AO433" s="401">
        <f>IF(AL433=0,0,AN433/AL433)</f>
        <v>1.3655879402119154E-3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4">+SUMIF($C:$C,$V434,F:F)</f>
        <v>9087.387688515777</v>
      </c>
      <c r="AA434" s="417"/>
      <c r="AB434" s="417"/>
      <c r="AC434" s="243"/>
      <c r="AD434" s="418"/>
      <c r="AE434" s="419"/>
      <c r="AF434" s="243">
        <f t="shared" ref="AF434:AF451" si="85">+SUMIF($C:$C,$V434,L:L)</f>
        <v>10623.460000000001</v>
      </c>
      <c r="AG434" s="418"/>
      <c r="AH434" s="420">
        <f t="shared" si="76"/>
        <v>1536.072311484224</v>
      </c>
      <c r="AI434" s="421">
        <f t="shared" ref="AI434:AI451" si="86">IF(Z434=0,0,AH434/Z434)</f>
        <v>0.16903343008304153</v>
      </c>
      <c r="AJ434" s="418"/>
      <c r="AK434" s="417"/>
      <c r="AL434" s="243">
        <f t="shared" ref="AL434:AL448" si="87">+SUMIF($C:$C,$V434,Q:Q)</f>
        <v>10801.26</v>
      </c>
      <c r="AM434" s="422"/>
      <c r="AN434" s="420">
        <f t="shared" si="83"/>
        <v>-177.79999999999927</v>
      </c>
      <c r="AO434" s="216">
        <f t="shared" ref="AO434:AO447" si="88">IF(AL434=0,0,AN434/AL434)</f>
        <v>-1.6461042508003627E-2</v>
      </c>
      <c r="AP434" s="79"/>
      <c r="AQ434" s="79">
        <f>24104-13480.75</f>
        <v>10623.25</v>
      </c>
      <c r="AR434" s="79"/>
      <c r="AS434" s="1105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4"/>
        <v>3965</v>
      </c>
      <c r="AA435" s="403"/>
      <c r="AB435" s="403"/>
      <c r="AC435" s="87"/>
      <c r="AD435" s="410"/>
      <c r="AE435" s="409"/>
      <c r="AF435" s="87">
        <f t="shared" si="85"/>
        <v>5426.1399999999994</v>
      </c>
      <c r="AG435" s="404"/>
      <c r="AH435" s="405">
        <f t="shared" si="76"/>
        <v>1461.1399999999994</v>
      </c>
      <c r="AI435" s="406">
        <f t="shared" si="86"/>
        <v>0.36850945775535926</v>
      </c>
      <c r="AJ435" s="410"/>
      <c r="AK435" s="403"/>
      <c r="AL435" s="87">
        <f t="shared" si="87"/>
        <v>2501.37</v>
      </c>
      <c r="AM435" s="407"/>
      <c r="AN435" s="405">
        <f t="shared" si="83"/>
        <v>2924.7699999999995</v>
      </c>
      <c r="AO435" s="217">
        <f t="shared" si="88"/>
        <v>1.1692672415516296</v>
      </c>
      <c r="AP435" s="79"/>
      <c r="AQ435" s="79">
        <v>5426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4"/>
        <v>15303.333333333334</v>
      </c>
      <c r="AA436" s="393"/>
      <c r="AB436" s="393"/>
      <c r="AC436" s="394"/>
      <c r="AD436" s="413"/>
      <c r="AE436" s="412"/>
      <c r="AF436" s="394">
        <f t="shared" si="85"/>
        <v>15447.359999999999</v>
      </c>
      <c r="AG436" s="395"/>
      <c r="AH436" s="396">
        <f t="shared" si="76"/>
        <v>144.02666666666482</v>
      </c>
      <c r="AI436" s="414">
        <f t="shared" si="86"/>
        <v>9.411457198867228E-3</v>
      </c>
      <c r="AJ436" s="413"/>
      <c r="AK436" s="393"/>
      <c r="AL436" s="394">
        <f t="shared" si="87"/>
        <v>16557.61</v>
      </c>
      <c r="AM436" s="398"/>
      <c r="AN436" s="396">
        <f t="shared" si="83"/>
        <v>-1110.2500000000018</v>
      </c>
      <c r="AO436" s="399">
        <f t="shared" si="88"/>
        <v>-6.7053759570372878E-2</v>
      </c>
      <c r="AP436" s="79"/>
      <c r="AQ436" s="79">
        <v>15447</v>
      </c>
      <c r="AR436" s="1102" t="s">
        <v>2914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4"/>
        <v>14093</v>
      </c>
      <c r="AA437" s="403"/>
      <c r="AB437" s="403"/>
      <c r="AC437" s="87"/>
      <c r="AD437" s="410"/>
      <c r="AE437" s="409"/>
      <c r="AF437" s="87">
        <f t="shared" si="85"/>
        <v>13374.96</v>
      </c>
      <c r="AG437" s="404"/>
      <c r="AH437" s="405">
        <f t="shared" si="76"/>
        <v>-718.04000000000087</v>
      </c>
      <c r="AI437" s="406">
        <f t="shared" si="86"/>
        <v>-5.0950117079401183E-2</v>
      </c>
      <c r="AJ437" s="410"/>
      <c r="AK437" s="403"/>
      <c r="AL437" s="87">
        <f t="shared" si="87"/>
        <v>12709.380000000001</v>
      </c>
      <c r="AM437" s="407"/>
      <c r="AN437" s="405">
        <f t="shared" si="83"/>
        <v>665.57999999999811</v>
      </c>
      <c r="AO437" s="217">
        <f t="shared" si="88"/>
        <v>5.236919503547758E-2</v>
      </c>
      <c r="AP437" s="1102"/>
      <c r="AQ437" s="79">
        <f>11039+2336</f>
        <v>13375</v>
      </c>
      <c r="AR437" s="79"/>
      <c r="AS437" s="1102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4"/>
        <v>1828</v>
      </c>
      <c r="AA438" s="403"/>
      <c r="AB438" s="403"/>
      <c r="AC438" s="87"/>
      <c r="AD438" s="410"/>
      <c r="AE438" s="409"/>
      <c r="AF438" s="87">
        <f t="shared" si="85"/>
        <v>3458.79</v>
      </c>
      <c r="AG438" s="404"/>
      <c r="AH438" s="405">
        <f t="shared" si="76"/>
        <v>1630.79</v>
      </c>
      <c r="AI438" s="406">
        <f t="shared" si="86"/>
        <v>0.89211706783369804</v>
      </c>
      <c r="AJ438" s="410"/>
      <c r="AK438" s="403"/>
      <c r="AL438" s="87">
        <f t="shared" si="87"/>
        <v>1272.6499999999999</v>
      </c>
      <c r="AM438" s="407"/>
      <c r="AN438" s="405">
        <f t="shared" si="83"/>
        <v>2186.1400000000003</v>
      </c>
      <c r="AO438" s="217">
        <f t="shared" si="88"/>
        <v>1.7177857227045932</v>
      </c>
      <c r="AP438" s="1102"/>
      <c r="AQ438" s="79">
        <v>3459</v>
      </c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4"/>
        <v>10966.000000000002</v>
      </c>
      <c r="AA439" s="403"/>
      <c r="AB439" s="403"/>
      <c r="AC439" s="87"/>
      <c r="AD439" s="410"/>
      <c r="AE439" s="409"/>
      <c r="AF439" s="87">
        <f t="shared" si="85"/>
        <v>10883.84</v>
      </c>
      <c r="AG439" s="404"/>
      <c r="AH439" s="405">
        <f t="shared" si="76"/>
        <v>-82.160000000001673</v>
      </c>
      <c r="AI439" s="406">
        <f t="shared" si="86"/>
        <v>-7.4922487689222739E-3</v>
      </c>
      <c r="AJ439" s="410"/>
      <c r="AK439" s="403"/>
      <c r="AL439" s="87">
        <f t="shared" si="87"/>
        <v>13417.029999999999</v>
      </c>
      <c r="AM439" s="407"/>
      <c r="AN439" s="405">
        <f t="shared" si="83"/>
        <v>-2533.1899999999987</v>
      </c>
      <c r="AO439" s="217">
        <f t="shared" si="88"/>
        <v>-0.1888040795913849</v>
      </c>
      <c r="AP439" s="79"/>
      <c r="AQ439" s="79">
        <v>10884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4"/>
        <v>0</v>
      </c>
      <c r="AA440" s="597"/>
      <c r="AB440" s="597"/>
      <c r="AC440" s="598"/>
      <c r="AD440" s="599"/>
      <c r="AE440" s="600"/>
      <c r="AF440" s="598">
        <f t="shared" si="85"/>
        <v>0</v>
      </c>
      <c r="AG440" s="601"/>
      <c r="AH440" s="602">
        <f t="shared" si="76"/>
        <v>0</v>
      </c>
      <c r="AI440" s="603">
        <f t="shared" si="86"/>
        <v>0</v>
      </c>
      <c r="AJ440" s="599"/>
      <c r="AK440" s="597"/>
      <c r="AL440" s="598">
        <f t="shared" si="87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4"/>
        <v>1409.6970233876682</v>
      </c>
      <c r="AA441" s="403"/>
      <c r="AB441" s="409"/>
      <c r="AC441" s="87"/>
      <c r="AD441" s="410"/>
      <c r="AE441" s="409"/>
      <c r="AF441" s="87">
        <f t="shared" si="85"/>
        <v>-26.47</v>
      </c>
      <c r="AG441" s="404"/>
      <c r="AH441" s="405">
        <f t="shared" si="76"/>
        <v>-1436.1670233876682</v>
      </c>
      <c r="AI441" s="406">
        <f t="shared" si="86"/>
        <v>-1.0187770844095205</v>
      </c>
      <c r="AJ441" s="410"/>
      <c r="AK441" s="403"/>
      <c r="AL441" s="87">
        <f t="shared" si="87"/>
        <v>889.06000000000006</v>
      </c>
      <c r="AM441" s="407"/>
      <c r="AN441" s="405">
        <f t="shared" si="83"/>
        <v>-915.53000000000009</v>
      </c>
      <c r="AO441" s="217">
        <f t="shared" si="88"/>
        <v>-1.0297730186939014</v>
      </c>
      <c r="AP441" s="79"/>
      <c r="AQ441" s="79">
        <v>-26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4"/>
        <v>1003</v>
      </c>
      <c r="AA442" s="403"/>
      <c r="AB442" s="403"/>
      <c r="AC442" s="87"/>
      <c r="AD442" s="410"/>
      <c r="AE442" s="409"/>
      <c r="AF442" s="87">
        <f t="shared" si="85"/>
        <v>1182</v>
      </c>
      <c r="AG442" s="404"/>
      <c r="AH442" s="405">
        <f t="shared" si="76"/>
        <v>179</v>
      </c>
      <c r="AI442" s="97">
        <f t="shared" si="86"/>
        <v>0.17846460618145563</v>
      </c>
      <c r="AJ442" s="410"/>
      <c r="AK442" s="403"/>
      <c r="AL442" s="87">
        <f t="shared" si="87"/>
        <v>1309.1599999999999</v>
      </c>
      <c r="AM442" s="407"/>
      <c r="AN442" s="405">
        <f t="shared" si="83"/>
        <v>-127.15999999999985</v>
      </c>
      <c r="AO442" s="217">
        <f t="shared" si="88"/>
        <v>-9.7130984753582353E-2</v>
      </c>
      <c r="AP442" s="79"/>
      <c r="AQ442" s="79">
        <v>1182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4"/>
        <v>1750</v>
      </c>
      <c r="AA443" s="403"/>
      <c r="AB443" s="403"/>
      <c r="AC443" s="87"/>
      <c r="AD443" s="410"/>
      <c r="AE443" s="409"/>
      <c r="AF443" s="87">
        <f t="shared" si="85"/>
        <v>1207.31</v>
      </c>
      <c r="AG443" s="404"/>
      <c r="AH443" s="405">
        <f t="shared" si="76"/>
        <v>-542.69000000000005</v>
      </c>
      <c r="AI443" s="406">
        <f t="shared" si="86"/>
        <v>-0.31010857142857146</v>
      </c>
      <c r="AJ443" s="410"/>
      <c r="AK443" s="403"/>
      <c r="AL443" s="87">
        <f t="shared" si="87"/>
        <v>1477.22</v>
      </c>
      <c r="AM443" s="407"/>
      <c r="AN443" s="405">
        <f t="shared" si="83"/>
        <v>-269.91000000000008</v>
      </c>
      <c r="AO443" s="217">
        <f t="shared" si="88"/>
        <v>-0.18271482920621171</v>
      </c>
      <c r="AP443" s="79"/>
      <c r="AQ443" s="79">
        <v>1207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4"/>
        <v>512</v>
      </c>
      <c r="AA444" s="403"/>
      <c r="AB444" s="403"/>
      <c r="AC444" s="87"/>
      <c r="AD444" s="410"/>
      <c r="AE444" s="409"/>
      <c r="AF444" s="87">
        <f t="shared" si="85"/>
        <v>561.23</v>
      </c>
      <c r="AG444" s="404"/>
      <c r="AH444" s="405">
        <f t="shared" si="76"/>
        <v>49.230000000000018</v>
      </c>
      <c r="AI444" s="97">
        <f t="shared" si="86"/>
        <v>9.6152343750000036E-2</v>
      </c>
      <c r="AJ444" s="410"/>
      <c r="AK444" s="403"/>
      <c r="AL444" s="87">
        <f t="shared" si="87"/>
        <v>465.06</v>
      </c>
      <c r="AM444" s="407"/>
      <c r="AN444" s="405">
        <f t="shared" si="83"/>
        <v>96.170000000000016</v>
      </c>
      <c r="AO444" s="217">
        <f t="shared" si="88"/>
        <v>0.20679052165312006</v>
      </c>
      <c r="AP444" s="79"/>
      <c r="AQ444" s="79">
        <v>561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4"/>
        <v>875</v>
      </c>
      <c r="AA445" s="403"/>
      <c r="AB445" s="403"/>
      <c r="AC445" s="87"/>
      <c r="AD445" s="410"/>
      <c r="AE445" s="409"/>
      <c r="AF445" s="87">
        <f t="shared" si="85"/>
        <v>1431.34</v>
      </c>
      <c r="AG445" s="404"/>
      <c r="AH445" s="405">
        <f t="shared" si="76"/>
        <v>556.33999999999992</v>
      </c>
      <c r="AI445" s="406">
        <f t="shared" si="86"/>
        <v>0.63581714285714275</v>
      </c>
      <c r="AJ445" s="410"/>
      <c r="AK445" s="403"/>
      <c r="AL445" s="87">
        <f t="shared" si="87"/>
        <v>1993.94</v>
      </c>
      <c r="AM445" s="407"/>
      <c r="AN445" s="405">
        <f t="shared" si="83"/>
        <v>-562.60000000000014</v>
      </c>
      <c r="AO445" s="217">
        <f t="shared" si="88"/>
        <v>-0.28215492943619175</v>
      </c>
      <c r="AP445" s="79"/>
      <c r="AQ445" s="79">
        <v>1431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4"/>
        <v>1858</v>
      </c>
      <c r="AA446" s="403"/>
      <c r="AB446" s="409"/>
      <c r="AC446" s="87"/>
      <c r="AD446" s="410"/>
      <c r="AE446" s="409"/>
      <c r="AF446" s="87">
        <f t="shared" si="85"/>
        <v>1851</v>
      </c>
      <c r="AG446" s="404"/>
      <c r="AH446" s="405">
        <f t="shared" si="76"/>
        <v>-7</v>
      </c>
      <c r="AI446" s="97">
        <f t="shared" si="86"/>
        <v>-3.7674919268030141E-3</v>
      </c>
      <c r="AJ446" s="410"/>
      <c r="AK446" s="403"/>
      <c r="AL446" s="87">
        <f t="shared" si="87"/>
        <v>1845.7399999999998</v>
      </c>
      <c r="AM446" s="407"/>
      <c r="AN446" s="405">
        <f t="shared" si="83"/>
        <v>5.2600000000002183</v>
      </c>
      <c r="AO446" s="217">
        <f t="shared" si="88"/>
        <v>2.8498054980659348E-3</v>
      </c>
      <c r="AP446" s="79"/>
      <c r="AQ446" s="79">
        <f>-31+1882</f>
        <v>1851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4"/>
        <v>2609.9010666666663</v>
      </c>
      <c r="AA447" s="403"/>
      <c r="AB447" s="409"/>
      <c r="AC447" s="87"/>
      <c r="AD447" s="410"/>
      <c r="AE447" s="409"/>
      <c r="AF447" s="87">
        <f t="shared" si="85"/>
        <v>877.86</v>
      </c>
      <c r="AG447" s="404"/>
      <c r="AH447" s="405">
        <f t="shared" si="76"/>
        <v>-1732.0410666666662</v>
      </c>
      <c r="AI447" s="406">
        <f t="shared" si="86"/>
        <v>-0.66364242261443562</v>
      </c>
      <c r="AJ447" s="410"/>
      <c r="AK447" s="403"/>
      <c r="AL447" s="87">
        <f t="shared" si="87"/>
        <v>4208.7700000000004</v>
      </c>
      <c r="AM447" s="407"/>
      <c r="AN447" s="405">
        <f t="shared" si="83"/>
        <v>-3330.9100000000003</v>
      </c>
      <c r="AO447" s="217">
        <f t="shared" si="88"/>
        <v>-0.79142124658748281</v>
      </c>
      <c r="AP447" s="79"/>
      <c r="AQ447" s="79">
        <v>878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1.5100000000000005E-3</v>
      </c>
      <c r="Z448" s="87">
        <f t="shared" si="84"/>
        <v>7831.6980772679981</v>
      </c>
      <c r="AA448" s="403"/>
      <c r="AB448" s="409"/>
      <c r="AC448" s="87"/>
      <c r="AD448" s="410"/>
      <c r="AE448" s="409"/>
      <c r="AF448" s="87">
        <f t="shared" si="85"/>
        <v>9751.2200000000012</v>
      </c>
      <c r="AG448" s="404"/>
      <c r="AH448" s="405">
        <f t="shared" si="76"/>
        <v>1919.5219227320031</v>
      </c>
      <c r="AI448" s="406">
        <f t="shared" si="86"/>
        <v>0.24509651722958237</v>
      </c>
      <c r="AJ448" s="410"/>
      <c r="AK448" s="403"/>
      <c r="AL448" s="87">
        <f t="shared" si="87"/>
        <v>7366.5999999999995</v>
      </c>
      <c r="AM448" s="407"/>
      <c r="AN448" s="405">
        <f>AF448-AL448</f>
        <v>2384.6200000000017</v>
      </c>
      <c r="AO448" s="217">
        <f>IF(AL448=0,0,AN448/AL448)</f>
        <v>0.32370700187332035</v>
      </c>
      <c r="AP448" s="79"/>
      <c r="AQ448" s="79">
        <v>9751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5"/>
        <v>0</v>
      </c>
      <c r="AG449" s="404"/>
      <c r="AH449" s="405">
        <f t="shared" si="76"/>
        <v>0</v>
      </c>
      <c r="AI449" s="406">
        <f t="shared" si="86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5"/>
        <v>0</v>
      </c>
      <c r="AG450" s="404"/>
      <c r="AH450" s="405">
        <f t="shared" si="76"/>
        <v>0</v>
      </c>
      <c r="AI450" s="406">
        <f t="shared" si="86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5"/>
        <v>0</v>
      </c>
      <c r="AG451" s="404"/>
      <c r="AH451" s="405">
        <f t="shared" si="76"/>
        <v>0</v>
      </c>
      <c r="AI451" s="406">
        <f t="shared" si="86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0.13661059777145992</v>
      </c>
      <c r="Y452" s="88"/>
      <c r="Z452" s="90">
        <f>+SUM(Z434:Z451)</f>
        <v>73092.017189171442</v>
      </c>
      <c r="AA452" s="89"/>
      <c r="AB452" s="88"/>
      <c r="AC452" s="90"/>
      <c r="AD452" s="91">
        <f>AF452/AF407</f>
        <v>0.16137884388341922</v>
      </c>
      <c r="AE452" s="88"/>
      <c r="AF452" s="90">
        <f>+SUM(AF434:AF451)</f>
        <v>76050.039999999994</v>
      </c>
      <c r="AG452" s="99"/>
      <c r="AH452" s="93">
        <f>+SUM(AH434:AH451)</f>
        <v>2958.0228108285542</v>
      </c>
      <c r="AI452" s="89">
        <f>AH452/Z452</f>
        <v>4.0469847797096836E-2</v>
      </c>
      <c r="AJ452" s="91">
        <f>IF($AL$407=0,0,AL452/$AL$407)</f>
        <v>0.15698357239271285</v>
      </c>
      <c r="AK452" s="89"/>
      <c r="AL452" s="90">
        <f>+SUM(AL434:AL451)</f>
        <v>76814.850000000006</v>
      </c>
      <c r="AM452" s="100"/>
      <c r="AN452" s="93">
        <f>+SUM(AN434:AN451)</f>
        <v>-764.8100000000004</v>
      </c>
      <c r="AO452" s="558">
        <f>IF(AL452=0,0,AN452/AL452)</f>
        <v>-9.9565383516338358E-3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9">AF453-Z453</f>
        <v>0</v>
      </c>
      <c r="AI453" s="406">
        <f t="shared" ref="AI453:AI461" si="90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1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5872.14</v>
      </c>
      <c r="AG454" s="404"/>
      <c r="AH454" s="405">
        <f t="shared" si="89"/>
        <v>0</v>
      </c>
      <c r="AI454" s="406">
        <f t="shared" si="90"/>
        <v>0</v>
      </c>
      <c r="AJ454" s="410"/>
      <c r="AK454" s="403"/>
      <c r="AL454" s="87">
        <f>+INDEX('Réel 2023'!$A$2:$AO$501,MATCH($A454,'Réel 2023'!$A$2:$A$501,0),MATCH(F$2,'Réel 2023'!$A$2:$AO$2,0))</f>
        <v>5408.65</v>
      </c>
      <c r="AM454" s="407"/>
      <c r="AN454" s="405">
        <f t="shared" ref="AN454:AN461" si="92">AF454-AL454</f>
        <v>463.49000000000069</v>
      </c>
      <c r="AO454" s="217">
        <f t="shared" si="91"/>
        <v>8.5694212049217594E-2</v>
      </c>
      <c r="AP454" s="79"/>
      <c r="AQ454" s="779">
        <v>5872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2516.63</v>
      </c>
      <c r="AG455" s="395"/>
      <c r="AH455" s="396">
        <f t="shared" si="89"/>
        <v>0</v>
      </c>
      <c r="AI455" s="414">
        <f t="shared" si="90"/>
        <v>0</v>
      </c>
      <c r="AJ455" s="413"/>
      <c r="AK455" s="393"/>
      <c r="AL455" s="394">
        <f>+INDEX('Réel 2023'!$A$2:$AO$501,MATCH($A455,'Réel 2023'!$A$2:$A$501,0),MATCH(F$2,'Réel 2023'!$A$2:$AO$2,0))</f>
        <v>2317.9899999999998</v>
      </c>
      <c r="AM455" s="398"/>
      <c r="AN455" s="396">
        <f t="shared" si="92"/>
        <v>198.64000000000033</v>
      </c>
      <c r="AO455" s="399">
        <f t="shared" si="91"/>
        <v>8.569493397296811E-2</v>
      </c>
      <c r="AP455" s="79"/>
      <c r="AQ455" s="779">
        <v>2517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9"/>
        <v>0</v>
      </c>
      <c r="AI456" s="406">
        <f t="shared" si="90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2"/>
        <v>0</v>
      </c>
      <c r="AO456" s="217">
        <f t="shared" si="91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9"/>
        <v>0</v>
      </c>
      <c r="AI457" s="414">
        <f t="shared" si="90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2"/>
        <v>-422.25</v>
      </c>
      <c r="AO457" s="399">
        <f t="shared" si="91"/>
        <v>-8.8484911986588435E-2</v>
      </c>
      <c r="AP457" s="79"/>
      <c r="AQ457" s="779"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5652.170000000001</v>
      </c>
      <c r="AG458" s="404"/>
      <c r="AH458" s="405">
        <f t="shared" si="89"/>
        <v>1052.170000000001</v>
      </c>
      <c r="AI458" s="406">
        <f t="shared" si="90"/>
        <v>0.2287326086956524</v>
      </c>
      <c r="AJ458" s="410"/>
      <c r="AK458" s="403"/>
      <c r="AL458" s="87">
        <f>+INDEX('Réel 2023'!$A$2:$AO$501,MATCH($A458,'Réel 2023'!$A$2:$A$501,0),MATCH(F$2,'Réel 2023'!$A$2:$AO$2,0))</f>
        <v>4482.57</v>
      </c>
      <c r="AM458" s="407"/>
      <c r="AN458" s="405">
        <f t="shared" si="92"/>
        <v>1169.6000000000013</v>
      </c>
      <c r="AO458" s="217">
        <f t="shared" si="91"/>
        <v>0.26092174801508988</v>
      </c>
      <c r="AP458" s="79"/>
      <c r="AQ458" s="79">
        <f>6152-500</f>
        <v>5652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9"/>
        <v>-335.66999999999916</v>
      </c>
      <c r="AI459" s="406">
        <f t="shared" si="90"/>
        <v>-5.0529881077826154E-2</v>
      </c>
      <c r="AJ459" s="410"/>
      <c r="AK459" s="403"/>
      <c r="AL459" s="87">
        <f>+INDEX('Réel 2023'!$A$2:$AO$501,MATCH($A459,'Réel 2023'!$A$2:$A$501,0),MATCH(F$2,'Réel 2023'!$A$2:$AO$2,0))</f>
        <v>6561.03</v>
      </c>
      <c r="AM459" s="407"/>
      <c r="AN459" s="405">
        <f t="shared" si="92"/>
        <v>-253.69999999999891</v>
      </c>
      <c r="AO459" s="217">
        <f t="shared" si="91"/>
        <v>-3.8667709185905098E-2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717.06</v>
      </c>
      <c r="AG460" s="395"/>
      <c r="AH460" s="396">
        <f t="shared" si="89"/>
        <v>217.05999999999995</v>
      </c>
      <c r="AI460" s="414">
        <f t="shared" si="90"/>
        <v>0.43411999999999989</v>
      </c>
      <c r="AJ460" s="413"/>
      <c r="AK460" s="393"/>
      <c r="AL460" s="394">
        <f>+INDEX('Réel 2023'!$A$2:$AO$501,MATCH($A460,'Réel 2023'!$A$2:$A$501,0),MATCH(F$2,'Réel 2023'!$A$2:$AO$2,0))</f>
        <v>750</v>
      </c>
      <c r="AM460" s="398"/>
      <c r="AN460" s="396">
        <f t="shared" si="92"/>
        <v>-32.940000000000055</v>
      </c>
      <c r="AO460" s="399">
        <f t="shared" si="91"/>
        <v>-4.392000000000007E-2</v>
      </c>
      <c r="AP460" s="79"/>
      <c r="AQ460" s="79">
        <v>717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173.95999999999998</v>
      </c>
      <c r="AG461" s="404"/>
      <c r="AH461" s="405">
        <f t="shared" si="89"/>
        <v>-101.04000000000002</v>
      </c>
      <c r="AI461" s="423">
        <f t="shared" si="90"/>
        <v>-0.36741818181818187</v>
      </c>
      <c r="AJ461" s="403"/>
      <c r="AK461" s="403"/>
      <c r="AL461" s="87">
        <f>+INDEX('Réel 2023'!$A$2:$AO$501,MATCH($A461,'Réel 2023'!$A$2:$A$501,0),MATCH(F$2,'Réel 2023'!$A$2:$AO$2,0))</f>
        <v>255.96</v>
      </c>
      <c r="AM461" s="407"/>
      <c r="AN461" s="405">
        <f t="shared" si="92"/>
        <v>-82.000000000000028</v>
      </c>
      <c r="AO461" s="217">
        <f t="shared" si="91"/>
        <v>-0.3203625566494766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0.13972159036304557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0.16040059788867347</v>
      </c>
      <c r="AE466" s="88"/>
      <c r="AF466" s="90">
        <f>SUM(AF453:AF465)</f>
        <v>75589.040000000008</v>
      </c>
      <c r="AG466" s="99"/>
      <c r="AH466" s="93">
        <f>SUM(AH453:AH465)</f>
        <v>832.5200000000018</v>
      </c>
      <c r="AI466" s="89">
        <f>IF(Z466=0,0,AH466/Z466)</f>
        <v>1.1136419940361081E-2</v>
      </c>
      <c r="AJ466" s="91">
        <f>IF($AL$407=0,0,AL466/$AL$407)</f>
        <v>0.15235130643939856</v>
      </c>
      <c r="AK466" s="89"/>
      <c r="AL466" s="90">
        <f>SUM(AL453:AL465)</f>
        <v>74548.2</v>
      </c>
      <c r="AM466" s="100"/>
      <c r="AN466" s="93">
        <f>SUM(AN453:AN465)</f>
        <v>1040.8400000000033</v>
      </c>
      <c r="AO466" s="558">
        <f t="shared" ref="AO466:AO483" si="93">IF(AL466=0,0,AN466/AL466)</f>
        <v>1.3961973595606646E-2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4">AF467-Z467</f>
        <v>0</v>
      </c>
      <c r="AI467" s="406"/>
      <c r="AJ467" s="410"/>
      <c r="AK467" s="403"/>
      <c r="AL467" s="105"/>
      <c r="AM467" s="424"/>
      <c r="AN467" s="405">
        <f t="shared" ref="AN467:AN473" si="95">AF467-AL467</f>
        <v>0</v>
      </c>
      <c r="AO467" s="425">
        <f t="shared" si="9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0.89402528817536908</v>
      </c>
      <c r="Y468" s="88"/>
      <c r="Z468" s="90">
        <f>Z419+Z433+Z452+Z466</f>
        <v>478338.52422040899</v>
      </c>
      <c r="AA468" s="89"/>
      <c r="AB468" s="88"/>
      <c r="AC468" s="90"/>
      <c r="AD468" s="91">
        <f>AF468/AF407</f>
        <v>0.99369642471884545</v>
      </c>
      <c r="AE468" s="88"/>
      <c r="AF468" s="90">
        <f>AF419+AF433+AF452+AF466</f>
        <v>468281.03999999992</v>
      </c>
      <c r="AG468" s="99"/>
      <c r="AH468" s="93">
        <f t="shared" si="94"/>
        <v>-10057.484220409067</v>
      </c>
      <c r="AI468" s="89">
        <f>AH468/Z468</f>
        <v>-2.1025871242130557E-2</v>
      </c>
      <c r="AJ468" s="91">
        <f>IF($AL$407=0,0,AL468/$AL$407)</f>
        <v>0.85883144727875904</v>
      </c>
      <c r="AK468" s="89"/>
      <c r="AL468" s="90">
        <f>AL419+AL433+AL452+AL466</f>
        <v>420241.48000000004</v>
      </c>
      <c r="AM468" s="100"/>
      <c r="AN468" s="93">
        <f t="shared" si="95"/>
        <v>48039.559999999881</v>
      </c>
      <c r="AO468" s="401">
        <f t="shared" si="93"/>
        <v>0.11431417955219432</v>
      </c>
      <c r="AP468" s="101">
        <f>AF468+AF491+AF492+AF493+AF494+AF495+AF496</f>
        <v>482175.62999999995</v>
      </c>
      <c r="AQ468" s="79" t="s">
        <v>2362</v>
      </c>
      <c r="AR468" s="79">
        <v>487222</v>
      </c>
      <c r="AS468" s="101">
        <f>AP468-AR468</f>
        <v>-5046.3700000000536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1898.24</v>
      </c>
      <c r="AG469" s="246"/>
      <c r="AH469" s="405">
        <f t="shared" si="94"/>
        <v>998.24</v>
      </c>
      <c r="AI469" s="423">
        <f>IF(AH469=0,0,AH469/Z469)</f>
        <v>1.1091555555555557</v>
      </c>
      <c r="AJ469" s="247"/>
      <c r="AK469" s="244"/>
      <c r="AL469" s="426">
        <f>+INDEX('Réel 2023'!$A$2:$AO$501,MATCH($A469,'Réel 2023'!$A$2:$A$501,0),MATCH(F$2,'Réel 2023'!$A$2:$AO$2,0))</f>
        <v>1850.68</v>
      </c>
      <c r="AM469" s="248"/>
      <c r="AN469" s="405">
        <f t="shared" si="95"/>
        <v>47.559999999999945</v>
      </c>
      <c r="AO469" s="217">
        <f t="shared" si="93"/>
        <v>2.5698662113385319E-2</v>
      </c>
      <c r="AP469" s="79"/>
      <c r="AQ469" s="79">
        <f>16+1882</f>
        <v>1898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6">+SUMIF($C:$C,$V470,F:F)</f>
        <v>54913.665230769249</v>
      </c>
      <c r="AA470" s="249"/>
      <c r="AB470" s="242"/>
      <c r="AC470" s="87"/>
      <c r="AD470" s="251"/>
      <c r="AE470" s="242"/>
      <c r="AF470" s="87">
        <f t="shared" ref="AF470:AF476" si="97">+SUMIF($C:$C,$V470,L:L)</f>
        <v>47079</v>
      </c>
      <c r="AG470" s="250"/>
      <c r="AH470" s="405">
        <f t="shared" si="94"/>
        <v>-7834.6652307692493</v>
      </c>
      <c r="AI470" s="97">
        <f>IF(Z470=0,0,AH470/Z470)</f>
        <v>-0.14267241492340466</v>
      </c>
      <c r="AJ470" s="251"/>
      <c r="AK470" s="249"/>
      <c r="AL470" s="252">
        <f t="shared" ref="AL470:AL479" si="98">+SUMIF($C:$C,$V470,Q:Q)</f>
        <v>48030.400000000001</v>
      </c>
      <c r="AM470" s="253"/>
      <c r="AN470" s="405">
        <f t="shared" si="95"/>
        <v>-951.40000000000146</v>
      </c>
      <c r="AO470" s="217">
        <f t="shared" si="93"/>
        <v>-1.9808288084213362E-2</v>
      </c>
      <c r="AP470" s="79"/>
      <c r="AQ470" s="79">
        <v>47079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6"/>
        <v>48049.457076923092</v>
      </c>
      <c r="AA471" s="249"/>
      <c r="AB471" s="242"/>
      <c r="AC471" s="87"/>
      <c r="AD471" s="251"/>
      <c r="AE471" s="242"/>
      <c r="AF471" s="87">
        <f t="shared" si="97"/>
        <v>56342.42</v>
      </c>
      <c r="AG471" s="250"/>
      <c r="AH471" s="405">
        <f t="shared" si="94"/>
        <v>8292.962923076906</v>
      </c>
      <c r="AI471" s="97">
        <f t="shared" ref="AI471:AI480" si="99">IF(AH471=0,0,AH471/Z471)</f>
        <v>0.17259222949804778</v>
      </c>
      <c r="AJ471" s="251"/>
      <c r="AK471" s="249"/>
      <c r="AL471" s="252">
        <f>+SUMIF($C:$C,$V471,Q:Q)</f>
        <v>44091.88</v>
      </c>
      <c r="AM471" s="253"/>
      <c r="AN471" s="405">
        <f t="shared" si="95"/>
        <v>12250.54</v>
      </c>
      <c r="AO471" s="217">
        <f t="shared" si="93"/>
        <v>0.27784118073441189</v>
      </c>
      <c r="AP471" s="79"/>
      <c r="AQ471" s="79">
        <f>31845.72+24496+0.07</f>
        <v>56341.79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6"/>
        <v>0</v>
      </c>
      <c r="AA472" s="249"/>
      <c r="AB472" s="242"/>
      <c r="AC472" s="87"/>
      <c r="AD472" s="251"/>
      <c r="AE472" s="242"/>
      <c r="AF472" s="87">
        <f t="shared" si="97"/>
        <v>0</v>
      </c>
      <c r="AG472" s="250"/>
      <c r="AH472" s="405">
        <f t="shared" si="94"/>
        <v>0</v>
      </c>
      <c r="AI472" s="97">
        <f t="shared" si="99"/>
        <v>0</v>
      </c>
      <c r="AJ472" s="251"/>
      <c r="AK472" s="249"/>
      <c r="AL472" s="252">
        <f t="shared" si="98"/>
        <v>0</v>
      </c>
      <c r="AM472" s="253"/>
      <c r="AN472" s="405">
        <f t="shared" si="95"/>
        <v>0</v>
      </c>
      <c r="AO472" s="217">
        <f t="shared" si="9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6"/>
        <v>0</v>
      </c>
      <c r="AA473" s="249"/>
      <c r="AB473" s="242"/>
      <c r="AC473" s="87"/>
      <c r="AD473" s="251"/>
      <c r="AE473" s="242"/>
      <c r="AF473" s="87">
        <f t="shared" si="97"/>
        <v>0</v>
      </c>
      <c r="AG473" s="250"/>
      <c r="AH473" s="405">
        <f t="shared" si="94"/>
        <v>0</v>
      </c>
      <c r="AI473" s="97">
        <f t="shared" si="99"/>
        <v>0</v>
      </c>
      <c r="AJ473" s="251"/>
      <c r="AK473" s="249"/>
      <c r="AL473" s="252">
        <f t="shared" si="98"/>
        <v>0</v>
      </c>
      <c r="AM473" s="253"/>
      <c r="AN473" s="405">
        <f t="shared" si="95"/>
        <v>0</v>
      </c>
      <c r="AO473" s="217">
        <f t="shared" si="9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6"/>
        <v>2625</v>
      </c>
      <c r="AA474" s="249"/>
      <c r="AB474" s="242"/>
      <c r="AC474" s="87"/>
      <c r="AD474" s="251"/>
      <c r="AE474" s="242"/>
      <c r="AF474" s="87">
        <f t="shared" si="97"/>
        <v>2625</v>
      </c>
      <c r="AG474" s="250"/>
      <c r="AH474" s="405">
        <f t="shared" si="94"/>
        <v>0</v>
      </c>
      <c r="AI474" s="97">
        <f t="shared" si="99"/>
        <v>0</v>
      </c>
      <c r="AJ474" s="251"/>
      <c r="AK474" s="249"/>
      <c r="AL474" s="252">
        <f t="shared" si="98"/>
        <v>1500</v>
      </c>
      <c r="AM474" s="253"/>
      <c r="AN474" s="405">
        <f t="shared" ref="AN474:AN483" si="100">AF474-AL474</f>
        <v>1125</v>
      </c>
      <c r="AO474" s="217">
        <f t="shared" si="93"/>
        <v>0.75</v>
      </c>
      <c r="AP474" s="79"/>
      <c r="AQ474" s="79">
        <v>2625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6"/>
        <v>1822.0588235294119</v>
      </c>
      <c r="AA475" s="249"/>
      <c r="AB475" s="242"/>
      <c r="AC475" s="87"/>
      <c r="AD475" s="251"/>
      <c r="AE475" s="242"/>
      <c r="AF475" s="87">
        <f t="shared" si="97"/>
        <v>0</v>
      </c>
      <c r="AG475" s="250"/>
      <c r="AH475" s="405">
        <f t="shared" si="94"/>
        <v>-1822.0588235294119</v>
      </c>
      <c r="AI475" s="97">
        <f t="shared" si="99"/>
        <v>-1</v>
      </c>
      <c r="AJ475" s="251"/>
      <c r="AK475" s="249"/>
      <c r="AL475" s="252">
        <f t="shared" si="98"/>
        <v>0</v>
      </c>
      <c r="AM475" s="253"/>
      <c r="AN475" s="405">
        <f t="shared" si="100"/>
        <v>0</v>
      </c>
      <c r="AO475" s="217">
        <f t="shared" si="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6"/>
        <v>0</v>
      </c>
      <c r="AA476" s="249"/>
      <c r="AB476" s="242"/>
      <c r="AC476" s="87"/>
      <c r="AD476" s="251"/>
      <c r="AE476" s="242"/>
      <c r="AF476" s="87">
        <f t="shared" si="97"/>
        <v>0</v>
      </c>
      <c r="AG476" s="250"/>
      <c r="AH476" s="405">
        <f t="shared" si="94"/>
        <v>0</v>
      </c>
      <c r="AI476" s="97">
        <f t="shared" si="99"/>
        <v>0</v>
      </c>
      <c r="AJ476" s="251"/>
      <c r="AK476" s="249"/>
      <c r="AL476" s="252">
        <f t="shared" si="98"/>
        <v>0</v>
      </c>
      <c r="AM476" s="253"/>
      <c r="AN476" s="405">
        <f t="shared" si="100"/>
        <v>0</v>
      </c>
      <c r="AO476" s="217">
        <f t="shared" si="9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28829.674246153856</v>
      </c>
      <c r="AA477" s="249"/>
      <c r="AB477" s="242"/>
      <c r="AC477" s="87"/>
      <c r="AD477" s="251"/>
      <c r="AE477" s="242"/>
      <c r="AF477" s="87">
        <f>-SUMIFS(BV_Data_An_Cour!$O:$O,BV_Data_An_Cour!$V:$V,$V477)</f>
        <v>25721.54</v>
      </c>
      <c r="AG477" s="250"/>
      <c r="AH477" s="405">
        <f t="shared" si="94"/>
        <v>-3108.1342461538552</v>
      </c>
      <c r="AI477" s="97">
        <f t="shared" si="99"/>
        <v>-0.10781024508344936</v>
      </c>
      <c r="AJ477" s="251"/>
      <c r="AK477" s="249"/>
      <c r="AL477" s="252">
        <f>+INDEX('Réel 2023'!$A$2:$AO$501,MATCH($A477,'Réel 2023'!$A$2:$A$501,0),MATCH(F$2,'Réel 2023'!$A$2:$AO$2,0))</f>
        <v>26374.22</v>
      </c>
      <c r="AM477" s="253"/>
      <c r="AN477" s="405">
        <f t="shared" si="100"/>
        <v>-652.68000000000029</v>
      </c>
      <c r="AO477" s="217">
        <f t="shared" si="93"/>
        <v>-2.4746892988683655E-2</v>
      </c>
      <c r="AP477" s="79"/>
      <c r="AQ477" s="79">
        <v>25722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4"/>
        <v>0</v>
      </c>
      <c r="AI478" s="406">
        <f t="shared" si="99"/>
        <v>0</v>
      </c>
      <c r="AJ478" s="410"/>
      <c r="AK478" s="403"/>
      <c r="AL478" s="87">
        <f t="shared" si="98"/>
        <v>0</v>
      </c>
      <c r="AM478" s="253"/>
      <c r="AN478" s="405">
        <f t="shared" si="100"/>
        <v>0</v>
      </c>
      <c r="AO478" s="217">
        <f t="shared" si="9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4"/>
        <v>0</v>
      </c>
      <c r="AI479" s="406">
        <f t="shared" si="99"/>
        <v>0</v>
      </c>
      <c r="AJ479" s="410"/>
      <c r="AK479" s="403"/>
      <c r="AL479" s="87">
        <f t="shared" si="98"/>
        <v>0</v>
      </c>
      <c r="AM479" s="253"/>
      <c r="AN479" s="405">
        <f t="shared" si="100"/>
        <v>0</v>
      </c>
      <c r="AO479" s="217">
        <f t="shared" si="9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29470.35</v>
      </c>
      <c r="AA480" s="249"/>
      <c r="AB480" s="242"/>
      <c r="AC480" s="87"/>
      <c r="AD480" s="251"/>
      <c r="AE480" s="242"/>
      <c r="AF480" s="87">
        <f>+SUMIF($C:$C,$V480,L:L)</f>
        <v>30940</v>
      </c>
      <c r="AG480" s="250"/>
      <c r="AH480" s="405">
        <f t="shared" si="94"/>
        <v>1469.6500000000015</v>
      </c>
      <c r="AI480" s="97">
        <f t="shared" si="99"/>
        <v>4.986876640419953E-2</v>
      </c>
      <c r="AJ480" s="251"/>
      <c r="AK480" s="249"/>
      <c r="AL480" s="252">
        <f>+INDEX('Réel 2023'!$A$2:$AO$501,MATCH($A480,'Réel 2023'!$A$2:$A$501,0),MATCH(F$2,'Réel 2023'!$A$2:$AO$2,0))</f>
        <v>21420</v>
      </c>
      <c r="AM480" s="253"/>
      <c r="AN480" s="405">
        <f t="shared" si="100"/>
        <v>9520</v>
      </c>
      <c r="AO480" s="217">
        <f t="shared" si="93"/>
        <v>0.44444444444444442</v>
      </c>
      <c r="AP480" s="79"/>
      <c r="AQ480" s="79">
        <f>17850+13090</f>
        <v>30940</v>
      </c>
      <c r="AR480" s="79" t="s">
        <v>2907</v>
      </c>
      <c r="AS480" s="79" t="s">
        <v>2908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0.31139816120440827</v>
      </c>
      <c r="Y481" s="103"/>
      <c r="Z481" s="90">
        <f>SUM(Z469:Z480)</f>
        <v>166610.20537737562</v>
      </c>
      <c r="AA481" s="89"/>
      <c r="AB481" s="103"/>
      <c r="AC481" s="90"/>
      <c r="AD481" s="89">
        <f>AF481/+AF407</f>
        <v>0.34929578277727252</v>
      </c>
      <c r="AE481" s="103"/>
      <c r="AF481" s="90">
        <f>SUM(AF469:AF480)</f>
        <v>164606.20000000001</v>
      </c>
      <c r="AG481" s="99"/>
      <c r="AH481" s="93">
        <f t="shared" si="94"/>
        <v>-2004.0053773756081</v>
      </c>
      <c r="AI481" s="89">
        <f>AH481/Z481</f>
        <v>-1.2028106998826955E-2</v>
      </c>
      <c r="AJ481" s="109"/>
      <c r="AK481" s="110"/>
      <c r="AL481" s="90">
        <f>SUM(AL469:AL480)</f>
        <v>143267.18</v>
      </c>
      <c r="AM481" s="111"/>
      <c r="AN481" s="93">
        <f t="shared" si="100"/>
        <v>21339.020000000019</v>
      </c>
      <c r="AO481" s="558">
        <f t="shared" si="93"/>
        <v>0.14894562732371797</v>
      </c>
      <c r="AP481" s="79"/>
      <c r="AQ481" s="79" t="s">
        <v>2362</v>
      </c>
      <c r="AR481" s="79">
        <v>164500</v>
      </c>
      <c r="AS481" s="101">
        <f>AF481-AR481</f>
        <v>106.20000000001164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0"/>
        <v>0</v>
      </c>
      <c r="AO482" s="428">
        <f t="shared" si="93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4.3055713015602785E-2</v>
      </c>
      <c r="Z483" s="433">
        <f>Z407-Z468+Z481</f>
        <v>223310.82439715162</v>
      </c>
      <c r="AA483" s="431"/>
      <c r="AB483" s="432"/>
      <c r="AC483" s="433"/>
      <c r="AD483" s="431" t="s">
        <v>248</v>
      </c>
      <c r="AE483" s="432">
        <f>AF483/AF406</f>
        <v>3.2625828724044778E-2</v>
      </c>
      <c r="AF483" s="220">
        <f>AF407-AF468+AF481</f>
        <v>167576.77000000031</v>
      </c>
      <c r="AG483" s="434"/>
      <c r="AH483" s="220">
        <f>AF483-Z483</f>
        <v>-55734.054397151311</v>
      </c>
      <c r="AI483" s="762">
        <f>AH483/Z483</f>
        <v>-0.24958062175270987</v>
      </c>
      <c r="AJ483" s="435" t="s">
        <v>248</v>
      </c>
      <c r="AK483" s="432">
        <f>IF($AL$406=0,0,AL483/$AL$406)</f>
        <v>4.6984921668235785E-2</v>
      </c>
      <c r="AL483" s="220">
        <f>AL407-AL468+AL481</f>
        <v>212343.45999999944</v>
      </c>
      <c r="AM483" s="221"/>
      <c r="AN483" s="220">
        <f t="shared" si="100"/>
        <v>-44766.689999999129</v>
      </c>
      <c r="AO483" s="436">
        <f t="shared" si="93"/>
        <v>-0.2108220804163182</v>
      </c>
      <c r="AP483" s="79"/>
      <c r="AQ483" s="79"/>
      <c r="AR483" s="101">
        <f>AR407-AR468+AR481</f>
        <v>147244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Avril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>
      <c r="A487" t="str">
        <f t="shared" si="10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0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10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4.3055713015602785E-2</v>
      </c>
      <c r="Z489" s="441">
        <f>Z483</f>
        <v>223310.82439715162</v>
      </c>
      <c r="AA489" s="439"/>
      <c r="AB489" s="440"/>
      <c r="AC489" s="441"/>
      <c r="AD489" s="439" t="s">
        <v>248</v>
      </c>
      <c r="AE489" s="440">
        <f>AF489/AF406</f>
        <v>3.2625828724044778E-2</v>
      </c>
      <c r="AF489" s="441">
        <f>AF483</f>
        <v>167576.77000000031</v>
      </c>
      <c r="AG489" s="442"/>
      <c r="AH489" s="220">
        <f>AF489-Z489</f>
        <v>-55734.054397151311</v>
      </c>
      <c r="AI489" s="762">
        <f>AH489/Z489</f>
        <v>-0.24958062175270987</v>
      </c>
      <c r="AJ489" s="439" t="s">
        <v>248</v>
      </c>
      <c r="AK489" s="440">
        <f>IF($AL$406=0,0,AL489/$AL$406)</f>
        <v>4.6984921668235785E-2</v>
      </c>
      <c r="AL489" s="443">
        <f>AL483</f>
        <v>212343.45999999944</v>
      </c>
      <c r="AM489" s="444"/>
      <c r="AN489" s="445">
        <f>AF489-AL489</f>
        <v>-44766.689999999129</v>
      </c>
      <c r="AO489" s="446">
        <f>IF(AL489=0,0,AN489/AL489)</f>
        <v>-0.2108220804163182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4">AF491-AL491</f>
        <v>1450</v>
      </c>
      <c r="AO491" s="217">
        <f t="shared" ref="AO491:AO498" si="105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>
      <c r="A495" t="str">
        <f t="shared" si="10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>
      <c r="A496" t="str">
        <f t="shared" si="10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2827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-8893.4426229508208</v>
      </c>
      <c r="AA496" s="403"/>
      <c r="AB496" s="403"/>
      <c r="AC496" s="405"/>
      <c r="AD496" s="410"/>
      <c r="AE496" s="409"/>
      <c r="AF496" s="87">
        <f>SUMIFS(BV_Data_An_Cour!$O:$O,BV_Data_An_Cour!$V:$V,$V496)</f>
        <v>-7075.41</v>
      </c>
      <c r="AG496" s="404"/>
      <c r="AH496" s="405">
        <f t="shared" si="102"/>
        <v>1818.032622950821</v>
      </c>
      <c r="AI496" s="406">
        <f t="shared" si="103"/>
        <v>-0.20442394470046094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4"/>
        <v>-7075.41</v>
      </c>
      <c r="AO496" s="217">
        <f t="shared" si="105"/>
        <v>0</v>
      </c>
      <c r="AP496" s="79"/>
      <c r="AQ496" s="79">
        <v>-7075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0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4.0727277795114113E-2</v>
      </c>
      <c r="Z498" s="433">
        <f>Z489-Z491-Z492-Z493-Z497-Z496-Z494-Z495</f>
        <v>211234.26702010244</v>
      </c>
      <c r="AA498" s="431"/>
      <c r="AB498" s="432"/>
      <c r="AC498" s="433"/>
      <c r="AD498" s="431" t="s">
        <v>248</v>
      </c>
      <c r="AE498" s="432">
        <f>AF498/AF406</f>
        <v>2.9920665511203141E-2</v>
      </c>
      <c r="AF498" s="220">
        <f>AF489-AF491-AF492-AF493-AF497-AF496-AF494-AF495</f>
        <v>153682.18000000031</v>
      </c>
      <c r="AG498" s="434"/>
      <c r="AH498" s="220">
        <f t="shared" si="102"/>
        <v>-57552.087020102132</v>
      </c>
      <c r="AI498" s="762">
        <f>AH498/Z498</f>
        <v>-0.2724562062396112</v>
      </c>
      <c r="AJ498" s="435" t="s">
        <v>248</v>
      </c>
      <c r="AK498" s="432">
        <f>IF($AL$406=0,0,AL498/$AL$406)</f>
        <v>4.2665760291831896E-2</v>
      </c>
      <c r="AL498" s="220">
        <f>AL489-AL491-AL492-AL493-AL497-AL496-AL494-AL495</f>
        <v>192823.45999999944</v>
      </c>
      <c r="AM498" s="221"/>
      <c r="AN498" s="220">
        <f t="shared" si="104"/>
        <v>-39141.279999999126</v>
      </c>
      <c r="AO498" s="451">
        <f t="shared" si="105"/>
        <v>-0.20299023780612194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101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26602.95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127079.23000000032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101">
        <f>AF500/AF498</f>
        <v>0.17310367408895388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2858</v>
      </c>
      <c r="AE505" s="79"/>
      <c r="AF505" s="79">
        <v>147244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6438.1800000003132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21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09" priority="6" stopIfTrue="1">
      <formula>"esterreur(reference)"</formula>
    </cfRule>
  </conditionalFormatting>
  <conditionalFormatting sqref="D112:D113">
    <cfRule type="expression" dxfId="208" priority="1" stopIfTrue="1">
      <formula>"esterreur(reference)"</formula>
    </cfRule>
  </conditionalFormatting>
  <conditionalFormatting sqref="F5">
    <cfRule type="expression" dxfId="207" priority="263" stopIfTrue="1">
      <formula>"esterreur(reference)"</formula>
    </cfRule>
  </conditionalFormatting>
  <conditionalFormatting sqref="F184">
    <cfRule type="expression" dxfId="206" priority="339" stopIfTrue="1">
      <formula>"esterreur(reference)"</formula>
    </cfRule>
  </conditionalFormatting>
  <conditionalFormatting sqref="G31:G32">
    <cfRule type="expression" dxfId="205" priority="5" stopIfTrue="1">
      <formula>"esterreur(reference)"</formula>
    </cfRule>
  </conditionalFormatting>
  <conditionalFormatting sqref="G112:G113">
    <cfRule type="expression" dxfId="204" priority="2" stopIfTrue="1">
      <formula>"esterreur(reference)"</formula>
    </cfRule>
  </conditionalFormatting>
  <conditionalFormatting sqref="H136:H152">
    <cfRule type="expression" dxfId="203" priority="53" stopIfTrue="1">
      <formula>"esterreur(reference)"</formula>
    </cfRule>
  </conditionalFormatting>
  <conditionalFormatting sqref="H360">
    <cfRule type="expression" dxfId="202" priority="615" stopIfTrue="1">
      <formula>"esterreur(reference)"</formula>
    </cfRule>
  </conditionalFormatting>
  <conditionalFormatting sqref="H197:L197">
    <cfRule type="expression" dxfId="201" priority="621" stopIfTrue="1">
      <formula>"esterreur(reference)"</formula>
    </cfRule>
  </conditionalFormatting>
  <conditionalFormatting sqref="H396:L399">
    <cfRule type="expression" dxfId="200" priority="612" stopIfTrue="1">
      <formula>"esterreur(reference)"</formula>
    </cfRule>
  </conditionalFormatting>
  <conditionalFormatting sqref="I377:L377 H378:H395">
    <cfRule type="expression" dxfId="199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98" priority="589" stopIfTrue="1">
      <formula>"esterreur(reference)"</formula>
    </cfRule>
  </conditionalFormatting>
  <conditionalFormatting sqref="J55:K71">
    <cfRule type="expression" dxfId="197" priority="626" stopIfTrue="1">
      <formula>"esterreur(reference)"</formula>
    </cfRule>
  </conditionalFormatting>
  <conditionalFormatting sqref="J102:L104">
    <cfRule type="expression" dxfId="196" priority="523" stopIfTrue="1">
      <formula>"esterreur(reference)"</formula>
    </cfRule>
  </conditionalFormatting>
  <conditionalFormatting sqref="J149:L152">
    <cfRule type="expression" dxfId="195" priority="52" stopIfTrue="1">
      <formula>"esterreur(reference)"</formula>
    </cfRule>
  </conditionalFormatting>
  <conditionalFormatting sqref="J295:L303">
    <cfRule type="expression" dxfId="194" priority="423" stopIfTrue="1">
      <formula>"esterreur(reference)"</formula>
    </cfRule>
  </conditionalFormatting>
  <conditionalFormatting sqref="J307:L308">
    <cfRule type="expression" dxfId="193" priority="364" stopIfTrue="1">
      <formula>"esterreur(reference)"</formula>
    </cfRule>
  </conditionalFormatting>
  <conditionalFormatting sqref="J360:L360">
    <cfRule type="expression" dxfId="192" priority="335" stopIfTrue="1">
      <formula>"esterreur(reference)"</formula>
    </cfRule>
  </conditionalFormatting>
  <conditionalFormatting sqref="J365:L376">
    <cfRule type="expression" dxfId="191" priority="351" stopIfTrue="1">
      <formula>"esterreur(reference)"</formula>
    </cfRule>
  </conditionalFormatting>
  <conditionalFormatting sqref="J378:L394">
    <cfRule type="expression" dxfId="190" priority="349" stopIfTrue="1">
      <formula>"esterreur(reference)"</formula>
    </cfRule>
  </conditionalFormatting>
  <conditionalFormatting sqref="J312:M312">
    <cfRule type="expression" dxfId="189" priority="357" stopIfTrue="1">
      <formula>"esterreur(reference)"</formula>
    </cfRule>
  </conditionalFormatting>
  <conditionalFormatting sqref="J112:Q121">
    <cfRule type="expression" dxfId="188" priority="3" stopIfTrue="1">
      <formula>"esterreur(reference)"</formula>
    </cfRule>
  </conditionalFormatting>
  <conditionalFormatting sqref="J123:Q134">
    <cfRule type="expression" dxfId="187" priority="181" stopIfTrue="1">
      <formula>"esterreur(reference)"</formula>
    </cfRule>
  </conditionalFormatting>
  <conditionalFormatting sqref="K5">
    <cfRule type="expression" dxfId="186" priority="409" stopIfTrue="1">
      <formula>"esterreur(reference)"</formula>
    </cfRule>
  </conditionalFormatting>
  <conditionalFormatting sqref="K175">
    <cfRule type="expression" dxfId="185" priority="376" stopIfTrue="1">
      <formula>"esterreur(reference)"</formula>
    </cfRule>
  </conditionalFormatting>
  <conditionalFormatting sqref="K183:K184">
    <cfRule type="expression" dxfId="184" priority="398" stopIfTrue="1">
      <formula>"esterreur(reference)"</formula>
    </cfRule>
  </conditionalFormatting>
  <conditionalFormatting sqref="K287">
    <cfRule type="expression" dxfId="183" priority="327" stopIfTrue="1">
      <formula>"esterreur(reference)"</formula>
    </cfRule>
  </conditionalFormatting>
  <conditionalFormatting sqref="K395">
    <cfRule type="expression" dxfId="182" priority="616" stopIfTrue="1">
      <formula>"esterreur(reference)"</formula>
    </cfRule>
  </conditionalFormatting>
  <conditionalFormatting sqref="K93:L96">
    <cfRule type="expression" dxfId="181" priority="348" stopIfTrue="1">
      <formula>"esterreur(reference)"</formula>
    </cfRule>
  </conditionalFormatting>
  <conditionalFormatting sqref="K99:L100">
    <cfRule type="expression" dxfId="180" priority="527" stopIfTrue="1">
      <formula>"esterreur(reference)"</formula>
    </cfRule>
  </conditionalFormatting>
  <conditionalFormatting sqref="K171:L173">
    <cfRule type="expression" dxfId="179" priority="377" stopIfTrue="1">
      <formula>"esterreur(reference)"</formula>
    </cfRule>
  </conditionalFormatting>
  <conditionalFormatting sqref="K176:L182">
    <cfRule type="expression" dxfId="178" priority="373" stopIfTrue="1">
      <formula>"esterreur(reference)"</formula>
    </cfRule>
  </conditionalFormatting>
  <conditionalFormatting sqref="K185:L196">
    <cfRule type="expression" dxfId="177" priority="358" stopIfTrue="1">
      <formula>"esterreur(reference)"</formula>
    </cfRule>
  </conditionalFormatting>
  <conditionalFormatting sqref="K239:L241">
    <cfRule type="expression" dxfId="176" priority="340" stopIfTrue="1">
      <formula>"esterreur(reference)"</formula>
    </cfRule>
  </conditionalFormatting>
  <conditionalFormatting sqref="K244:L244">
    <cfRule type="expression" dxfId="175" priority="368" stopIfTrue="1">
      <formula>"esterreur(reference)"</formula>
    </cfRule>
  </conditionalFormatting>
  <conditionalFormatting sqref="K247:L247">
    <cfRule type="expression" dxfId="174" priority="366" stopIfTrue="1">
      <formula>"esterreur(reference)"</formula>
    </cfRule>
  </conditionalFormatting>
  <conditionalFormatting sqref="L16:L24">
    <cfRule type="expression" dxfId="173" priority="582" stopIfTrue="1">
      <formula>"esterreur(reference)"</formula>
    </cfRule>
  </conditionalFormatting>
  <conditionalFormatting sqref="L42:L48">
    <cfRule type="expression" dxfId="172" priority="563" stopIfTrue="1">
      <formula>"esterreur(reference)"</formula>
    </cfRule>
  </conditionalFormatting>
  <conditionalFormatting sqref="L55:L66">
    <cfRule type="expression" dxfId="171" priority="264" stopIfTrue="1">
      <formula>"esterreur(reference)"</formula>
    </cfRule>
  </conditionalFormatting>
  <conditionalFormatting sqref="L68:L71">
    <cfRule type="expression" dxfId="170" priority="59" stopIfTrue="1">
      <formula>"esterreur(reference)"</formula>
    </cfRule>
  </conditionalFormatting>
  <conditionalFormatting sqref="L75:L82">
    <cfRule type="expression" dxfId="169" priority="266" stopIfTrue="1">
      <formula>"esterreur(reference)"</formula>
    </cfRule>
  </conditionalFormatting>
  <conditionalFormatting sqref="L136:L147">
    <cfRule type="expression" dxfId="168" priority="274" stopIfTrue="1">
      <formula>"esterreur(reference)"</formula>
    </cfRule>
  </conditionalFormatting>
  <conditionalFormatting sqref="L174:L175">
    <cfRule type="expression" dxfId="167" priority="471" stopIfTrue="1">
      <formula>"esterreur(reference)"</formula>
    </cfRule>
  </conditionalFormatting>
  <conditionalFormatting sqref="L198:L209">
    <cfRule type="expression" dxfId="166" priority="456" stopIfTrue="1">
      <formula>"esterreur(reference)"</formula>
    </cfRule>
  </conditionalFormatting>
  <conditionalFormatting sqref="L211:L228">
    <cfRule type="expression" dxfId="165" priority="272" stopIfTrue="1">
      <formula>"esterreur(reference)"</formula>
    </cfRule>
  </conditionalFormatting>
  <conditionalFormatting sqref="L254:L265">
    <cfRule type="expression" dxfId="164" priority="437" stopIfTrue="1">
      <formula>"esterreur(reference)"</formula>
    </cfRule>
  </conditionalFormatting>
  <conditionalFormatting sqref="L267:L284">
    <cfRule type="expression" dxfId="163" priority="270" stopIfTrue="1">
      <formula>"esterreur(reference)"</formula>
    </cfRule>
  </conditionalFormatting>
  <conditionalFormatting sqref="L318:L329">
    <cfRule type="expression" dxfId="162" priority="413" stopIfTrue="1">
      <formula>"esterreur(reference)"</formula>
    </cfRule>
  </conditionalFormatting>
  <conditionalFormatting sqref="L331">
    <cfRule type="expression" dxfId="161" priority="268" stopIfTrue="1">
      <formula>"esterreur(reference)"</formula>
    </cfRule>
  </conditionalFormatting>
  <conditionalFormatting sqref="L334:L343 L345:L348">
    <cfRule type="expression" dxfId="160" priority="411" stopIfTrue="1">
      <formula>"esterreur(reference)"</formula>
    </cfRule>
  </conditionalFormatting>
  <conditionalFormatting sqref="L356:L357 H357:I357 K357 J357:J358 H359:L359">
    <cfRule type="expression" dxfId="159" priority="611" stopIfTrue="1">
      <formula>"esterreur(reference)"</formula>
    </cfRule>
  </conditionalFormatting>
  <conditionalFormatting sqref="L5:Q14">
    <cfRule type="expression" dxfId="158" priority="231" stopIfTrue="1">
      <formula>"esterreur(reference)"</formula>
    </cfRule>
  </conditionalFormatting>
  <conditionalFormatting sqref="L156:Q162">
    <cfRule type="expression" dxfId="157" priority="49" stopIfTrue="1">
      <formula>"esterreur(reference)"</formula>
    </cfRule>
  </conditionalFormatting>
  <conditionalFormatting sqref="M95:M97">
    <cfRule type="expression" dxfId="156" priority="590" stopIfTrue="1">
      <formula>"esterreur(reference)"</formula>
    </cfRule>
  </conditionalFormatting>
  <conditionalFormatting sqref="O13:O14 O16 O18:O24 O83:Q85">
    <cfRule type="expression" dxfId="155" priority="258" stopIfTrue="1">
      <formula>"esterreur(reference)"</formula>
    </cfRule>
  </conditionalFormatting>
  <conditionalFormatting sqref="O172:O196 Q183 O198:P229 O232:Q232 O233:P233">
    <cfRule type="expression" dxfId="154" priority="146" stopIfTrue="1">
      <formula>"esterreur(reference)"</formula>
    </cfRule>
  </conditionalFormatting>
  <conditionalFormatting sqref="O318:P348 O349:Q349 O352:Q352 O353:P353">
    <cfRule type="expression" dxfId="153" priority="87" stopIfTrue="1">
      <formula>"esterreur(reference)"</formula>
    </cfRule>
  </conditionalFormatting>
  <conditionalFormatting sqref="O25:Q72">
    <cfRule type="expression" dxfId="152" priority="4" stopIfTrue="1">
      <formula>"esterreur(reference)"</formula>
    </cfRule>
  </conditionalFormatting>
  <conditionalFormatting sqref="O97:Q98 O122:Q122 O156:P157 O164:Q164 O165:P165">
    <cfRule type="expression" dxfId="151" priority="222" stopIfTrue="1">
      <formula>"esterreur(reference)"</formula>
    </cfRule>
  </conditionalFormatting>
  <conditionalFormatting sqref="O101:Q111">
    <cfRule type="expression" dxfId="150" priority="216" stopIfTrue="1">
      <formula>"esterreur(reference)"</formula>
    </cfRule>
  </conditionalFormatting>
  <conditionalFormatting sqref="O135:Q153">
    <cfRule type="expression" dxfId="149" priority="50" stopIfTrue="1">
      <formula>"esterreur(reference)"</formula>
    </cfRule>
  </conditionalFormatting>
  <conditionalFormatting sqref="O197:Q197">
    <cfRule type="expression" dxfId="148" priority="148" stopIfTrue="1">
      <formula>"esterreur(reference)"</formula>
    </cfRule>
  </conditionalFormatting>
  <conditionalFormatting sqref="O243:Q243 O252:Q253 O254:P284 O285:Q285 O288:Q288 O289:P289">
    <cfRule type="expression" dxfId="147" priority="115" stopIfTrue="1">
      <formula>"esterreur(reference)"</formula>
    </cfRule>
  </conditionalFormatting>
  <conditionalFormatting sqref="O295:Q317">
    <cfRule type="expression" dxfId="146" priority="72" stopIfTrue="1">
      <formula>"esterreur(reference)"</formula>
    </cfRule>
  </conditionalFormatting>
  <conditionalFormatting sqref="O359:Q394">
    <cfRule type="expression" dxfId="145" priority="61" stopIfTrue="1">
      <formula>"esterreur(reference)"</formula>
    </cfRule>
  </conditionalFormatting>
  <conditionalFormatting sqref="O396:Q399">
    <cfRule type="expression" dxfId="144" priority="68" stopIfTrue="1">
      <formula>"esterreur(reference)"</formula>
    </cfRule>
  </conditionalFormatting>
  <conditionalFormatting sqref="P5">
    <cfRule type="expression" dxfId="143" priority="232" stopIfTrue="1">
      <formula>"esterreur(reference)"</formula>
    </cfRule>
  </conditionalFormatting>
  <conditionalFormatting sqref="P175">
    <cfRule type="expression" dxfId="142" priority="123" stopIfTrue="1">
      <formula>"esterreur(reference)"</formula>
    </cfRule>
  </conditionalFormatting>
  <conditionalFormatting sqref="P183:P184">
    <cfRule type="expression" dxfId="141" priority="125" stopIfTrue="1">
      <formula>"esterreur(reference)"</formula>
    </cfRule>
  </conditionalFormatting>
  <conditionalFormatting sqref="P287">
    <cfRule type="expression" dxfId="140" priority="90" stopIfTrue="1">
      <formula>"esterreur(reference)"</formula>
    </cfRule>
  </conditionalFormatting>
  <conditionalFormatting sqref="P395">
    <cfRule type="expression" dxfId="139" priority="70" stopIfTrue="1">
      <formula>"esterreur(reference)"</formula>
    </cfRule>
  </conditionalFormatting>
  <conditionalFormatting sqref="P93:Q96">
    <cfRule type="expression" dxfId="138" priority="182" stopIfTrue="1">
      <formula>"esterreur(reference)"</formula>
    </cfRule>
  </conditionalFormatting>
  <conditionalFormatting sqref="P99:Q100">
    <cfRule type="expression" dxfId="137" priority="219" stopIfTrue="1">
      <formula>"esterreur(reference)"</formula>
    </cfRule>
  </conditionalFormatting>
  <conditionalFormatting sqref="P172:Q173">
    <cfRule type="expression" dxfId="136" priority="124" stopIfTrue="1">
      <formula>"esterreur(reference)"</formula>
    </cfRule>
  </conditionalFormatting>
  <conditionalFormatting sqref="P176:Q182">
    <cfRule type="expression" dxfId="135" priority="121" stopIfTrue="1">
      <formula>"esterreur(reference)"</formula>
    </cfRule>
  </conditionalFormatting>
  <conditionalFormatting sqref="P185:Q196">
    <cfRule type="expression" dxfId="134" priority="119" stopIfTrue="1">
      <formula>"esterreur(reference)"</formula>
    </cfRule>
  </conditionalFormatting>
  <conditionalFormatting sqref="P241:Q241">
    <cfRule type="expression" dxfId="133" priority="91" stopIfTrue="1">
      <formula>"esterreur(reference)"</formula>
    </cfRule>
  </conditionalFormatting>
  <conditionalFormatting sqref="P244:Q244">
    <cfRule type="expression" dxfId="132" priority="93" stopIfTrue="1">
      <formula>"esterreur(reference)"</formula>
    </cfRule>
  </conditionalFormatting>
  <conditionalFormatting sqref="P247:Q247">
    <cfRule type="expression" dxfId="131" priority="92" stopIfTrue="1">
      <formula>"esterreur(reference)"</formula>
    </cfRule>
  </conditionalFormatting>
  <conditionalFormatting sqref="Q16:Q24">
    <cfRule type="expression" dxfId="130" priority="255" stopIfTrue="1">
      <formula>"esterreur(reference)"</formula>
    </cfRule>
  </conditionalFormatting>
  <conditionalFormatting sqref="Q75:Q82">
    <cfRule type="expression" dxfId="129" priority="236" stopIfTrue="1">
      <formula>"esterreur(reference)"</formula>
    </cfRule>
  </conditionalFormatting>
  <conditionalFormatting sqref="Q174:Q175">
    <cfRule type="expression" dxfId="128" priority="144" stopIfTrue="1">
      <formula>"esterreur(reference)"</formula>
    </cfRule>
  </conditionalFormatting>
  <conditionalFormatting sqref="Q198:Q209">
    <cfRule type="expression" dxfId="127" priority="130" stopIfTrue="1">
      <formula>"esterreur(reference)"</formula>
    </cfRule>
  </conditionalFormatting>
  <conditionalFormatting sqref="Q211:Q228">
    <cfRule type="expression" dxfId="126" priority="118" stopIfTrue="1">
      <formula>"esterreur(reference)"</formula>
    </cfRule>
  </conditionalFormatting>
  <conditionalFormatting sqref="Q254:Q265">
    <cfRule type="expression" dxfId="125" priority="102" stopIfTrue="1">
      <formula>"esterreur(reference)"</formula>
    </cfRule>
  </conditionalFormatting>
  <conditionalFormatting sqref="Q267:Q284">
    <cfRule type="expression" dxfId="124" priority="89" stopIfTrue="1">
      <formula>"esterreur(reference)"</formula>
    </cfRule>
  </conditionalFormatting>
  <conditionalFormatting sqref="Q318:Q329">
    <cfRule type="expression" dxfId="123" priority="75" stopIfTrue="1">
      <formula>"esterreur(reference)"</formula>
    </cfRule>
  </conditionalFormatting>
  <conditionalFormatting sqref="Q331:Q348">
    <cfRule type="expression" dxfId="122" priority="71" stopIfTrue="1">
      <formula>"esterreur(reference)"</formula>
    </cfRule>
  </conditionalFormatting>
  <conditionalFormatting sqref="R312">
    <cfRule type="expression" dxfId="121" priority="598" stopIfTrue="1">
      <formula>"esterreur(reference)"</formula>
    </cfRule>
  </conditionalFormatting>
  <conditionalFormatting sqref="S186">
    <cfRule type="expression" dxfId="120" priority="333" stopIfTrue="1">
      <formula>"esterreur(reference)"</formula>
    </cfRule>
  </conditionalFormatting>
  <conditionalFormatting sqref="Z425:Z427">
    <cfRule type="cellIs" dxfId="119" priority="27" operator="greaterThan">
      <formula>0</formula>
    </cfRule>
  </conditionalFormatting>
  <conditionalFormatting sqref="Z432">
    <cfRule type="cellIs" dxfId="118" priority="23" operator="greaterThan">
      <formula>0</formula>
    </cfRule>
  </conditionalFormatting>
  <conditionalFormatting sqref="Z449:Z451">
    <cfRule type="cellIs" dxfId="117" priority="19" operator="greaterThan">
      <formula>0</formula>
    </cfRule>
  </conditionalFormatting>
  <conditionalFormatting sqref="Z463:Z465">
    <cfRule type="cellIs" dxfId="116" priority="15" operator="greaterThan">
      <formula>0</formula>
    </cfRule>
  </conditionalFormatting>
  <conditionalFormatting sqref="Z478:Z479">
    <cfRule type="cellIs" dxfId="115" priority="11" operator="greaterThan">
      <formula>0</formula>
    </cfRule>
  </conditionalFormatting>
  <conditionalFormatting sqref="Z495:Z497">
    <cfRule type="cellIs" dxfId="114" priority="7" operator="greaterThan">
      <formula>0</formula>
    </cfRule>
  </conditionalFormatting>
  <conditionalFormatting sqref="AC425:AC427">
    <cfRule type="cellIs" dxfId="113" priority="28" operator="greaterThan">
      <formula>0</formula>
    </cfRule>
  </conditionalFormatting>
  <conditionalFormatting sqref="AC432">
    <cfRule type="cellIs" dxfId="112" priority="24" operator="greaterThan">
      <formula>0</formula>
    </cfRule>
  </conditionalFormatting>
  <conditionalFormatting sqref="AC449:AC451">
    <cfRule type="cellIs" dxfId="111" priority="20" operator="greaterThan">
      <formula>0</formula>
    </cfRule>
  </conditionalFormatting>
  <conditionalFormatting sqref="AC463:AC465">
    <cfRule type="cellIs" dxfId="110" priority="16" operator="greaterThan">
      <formula>0</formula>
    </cfRule>
  </conditionalFormatting>
  <conditionalFormatting sqref="AC478:AC479">
    <cfRule type="cellIs" dxfId="109" priority="12" operator="greaterThan">
      <formula>0</formula>
    </cfRule>
  </conditionalFormatting>
  <conditionalFormatting sqref="AC495:AC497">
    <cfRule type="cellIs" dxfId="108" priority="8" operator="greaterThan">
      <formula>0</formula>
    </cfRule>
  </conditionalFormatting>
  <conditionalFormatting sqref="AG409:AI418">
    <cfRule type="cellIs" dxfId="107" priority="47" operator="greaterThan">
      <formula>0</formula>
    </cfRule>
  </conditionalFormatting>
  <conditionalFormatting sqref="AH449:AH452">
    <cfRule type="cellIs" dxfId="106" priority="21" operator="greaterThan">
      <formula>0</formula>
    </cfRule>
  </conditionalFormatting>
  <conditionalFormatting sqref="AH461:AH466">
    <cfRule type="cellIs" dxfId="105" priority="17" operator="greaterThan">
      <formula>0</formula>
    </cfRule>
  </conditionalFormatting>
  <conditionalFormatting sqref="AH420:AI448">
    <cfRule type="cellIs" dxfId="104" priority="25" operator="greaterThan">
      <formula>0</formula>
    </cfRule>
  </conditionalFormatting>
  <conditionalFormatting sqref="AH453:AI460 AH467:AI468">
    <cfRule type="cellIs" dxfId="103" priority="599" operator="greaterThan">
      <formula>0</formula>
    </cfRule>
  </conditionalFormatting>
  <conditionalFormatting sqref="AH469:AI477 AH480:AI480">
    <cfRule type="cellIs" dxfId="102" priority="600" operator="lessThan">
      <formula>0</formula>
    </cfRule>
  </conditionalFormatting>
  <conditionalFormatting sqref="AH478:AI479">
    <cfRule type="cellIs" dxfId="101" priority="13" operator="greaterThan">
      <formula>0</formula>
    </cfRule>
  </conditionalFormatting>
  <conditionalFormatting sqref="AH491:AI497">
    <cfRule type="cellIs" dxfId="100" priority="9" operator="greaterThan">
      <formula>0</formula>
    </cfRule>
  </conditionalFormatting>
  <conditionalFormatting sqref="AI449:AI451">
    <cfRule type="cellIs" dxfId="99" priority="22" operator="greaterThan">
      <formula>0</formula>
    </cfRule>
  </conditionalFormatting>
  <conditionalFormatting sqref="AI463:AI465">
    <cfRule type="cellIs" dxfId="98" priority="18" operator="greaterThan">
      <formula>0</formula>
    </cfRule>
  </conditionalFormatting>
  <conditionalFormatting sqref="AO409:AO418">
    <cfRule type="cellIs" dxfId="97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8"/>
  <sheetViews>
    <sheetView topLeftCell="U486" zoomScale="70" zoomScaleNormal="70" workbookViewId="0">
      <selection activeCell="U507" sqref="U507"/>
    </sheetView>
  </sheetViews>
  <sheetFormatPr baseColWidth="10" defaultColWidth="12.625" defaultRowHeight="15" customHeight="1" outlineLevelRow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4.625" bestFit="1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.625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Avril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1194" t="s">
        <v>271</v>
      </c>
      <c r="E2" s="1194" t="s">
        <v>306</v>
      </c>
      <c r="F2" s="1194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1194" t="s">
        <v>271</v>
      </c>
      <c r="P2" s="1194" t="s">
        <v>306</v>
      </c>
      <c r="Q2" s="1194" t="s">
        <v>307</v>
      </c>
      <c r="R2" s="23"/>
      <c r="S2" s="23"/>
      <c r="T2" s="23"/>
      <c r="U2" s="23"/>
      <c r="X2" s="1194" t="s">
        <v>271</v>
      </c>
      <c r="Y2" s="1194" t="s">
        <v>306</v>
      </c>
      <c r="Z2" s="1194" t="s">
        <v>307</v>
      </c>
      <c r="AJ2" s="1194" t="s">
        <v>271</v>
      </c>
      <c r="AK2" s="1194" t="s">
        <v>306</v>
      </c>
      <c r="AL2" s="1194" t="s">
        <v>307</v>
      </c>
    </row>
    <row r="3" spans="1:40" ht="21" thickTop="1">
      <c r="B3" s="24"/>
      <c r="C3" s="255"/>
      <c r="D3" s="1243" t="s">
        <v>77</v>
      </c>
      <c r="E3" s="1244"/>
      <c r="F3" s="1245"/>
      <c r="G3" s="1246"/>
      <c r="H3" s="1244"/>
      <c r="I3" s="1245"/>
      <c r="J3" s="1246" t="s">
        <v>78</v>
      </c>
      <c r="K3" s="1244"/>
      <c r="L3" s="1245"/>
      <c r="M3" s="1246" t="s">
        <v>2451</v>
      </c>
      <c r="N3" s="1245"/>
      <c r="O3" s="1243" t="s">
        <v>79</v>
      </c>
      <c r="P3" s="1244"/>
      <c r="Q3" s="1245"/>
      <c r="R3" s="1247" t="s">
        <v>2455</v>
      </c>
      <c r="S3" s="124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7889975.7188772615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6459230.2600000016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7287504.6900000004</v>
      </c>
      <c r="R5" s="373"/>
      <c r="S5" s="375"/>
      <c r="T5" s="25"/>
      <c r="U5" s="25"/>
      <c r="V5" s="24"/>
      <c r="W5" s="1190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26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133768.3950617284</v>
      </c>
      <c r="G6" s="187"/>
      <c r="H6" s="184"/>
      <c r="I6" s="184"/>
      <c r="J6" s="187">
        <f>-SUMIFS(BV_Data_An_Cour!$P:$P,BV_Data_An_Cour!$U:$U,$B6,BV_Data_An_Cour!$V:$V,$C6,BV_Data_An_Cour!$W:$W,J$2)</f>
        <v>24</v>
      </c>
      <c r="K6" s="184">
        <f>IF(J6=0,0,L6/J6)</f>
        <v>5389.0008333333208</v>
      </c>
      <c r="L6" s="478">
        <f>-SUMIFS(BV_Data_An_Cour!$P:$P,BV_Data_An_Cour!$U:$U,$B6,BV_Data_An_Cour!$V:$V,$C6,BV_Data_An_Cour!$W:$W,L$2)</f>
        <v>129336.0199999997</v>
      </c>
      <c r="M6" s="187">
        <f t="shared" ref="M6:M12" si="3">J6-D6</f>
        <v>-2</v>
      </c>
      <c r="N6" s="185">
        <f t="shared" ref="N6:N12" si="4">L6-F6</f>
        <v>-4432.3750617287005</v>
      </c>
      <c r="O6" s="187" cm="1">
        <f t="array" ref="O6">+SUMPRODUCT(('Réel 2023'!$A$8:$A$501=$A6)*('Réel 2023'!$C$3:$AO$3=O$2),'Réel 2023'!$C$8:$AO$501)</f>
        <v>26</v>
      </c>
      <c r="P6" s="184">
        <f t="shared" ref="P6:P12" si="5">IF(O6=0,0,Q6/O6)</f>
        <v>5676.7119230769113</v>
      </c>
      <c r="Q6" s="478" cm="1">
        <f t="array" ref="Q6">+SUMPRODUCT(('Réel 2023'!$A$8:$A$501=$A6)*('Réel 2023'!$C$3:$AO$3=Q$2),'Réel 2023'!$C$8:$AO$501)</f>
        <v>147594.50999999969</v>
      </c>
      <c r="R6" s="187">
        <f>J6-O6</f>
        <v>-2</v>
      </c>
      <c r="S6" s="350">
        <f>L6-Q6</f>
        <v>-18258.489999999991</v>
      </c>
      <c r="T6" s="25"/>
      <c r="U6" s="25"/>
      <c r="V6" s="24"/>
      <c r="W6" s="1190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50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269321.19205298013</v>
      </c>
      <c r="G7" s="187"/>
      <c r="H7" s="184"/>
      <c r="I7" s="184"/>
      <c r="J7" s="187">
        <f>-SUMIFS(BV_Data_An_Cour!$P:$P,BV_Data_An_Cour!$U:$U,$B7,BV_Data_An_Cour!$V:$V,$C7,BV_Data_An_Cour!$W:$W,J$2)</f>
        <v>29</v>
      </c>
      <c r="K7" s="184">
        <f t="shared" ref="K7:K12" si="6">IF(J7=0,0,L7/J7)</f>
        <v>5047.0813793103662</v>
      </c>
      <c r="L7" s="478">
        <f>-SUMIFS(BV_Data_An_Cour!$P:$P,BV_Data_An_Cour!$U:$U,$B7,BV_Data_An_Cour!$V:$V,$C7,BV_Data_An_Cour!$W:$W,L$2)</f>
        <v>146365.36000000063</v>
      </c>
      <c r="M7" s="187">
        <f t="shared" si="3"/>
        <v>-21</v>
      </c>
      <c r="N7" s="185">
        <f t="shared" si="4"/>
        <v>-122955.8320529795</v>
      </c>
      <c r="O7" s="187" cm="1">
        <f t="array" ref="O7">+SUMPRODUCT(('Réel 2023'!$A$8:$A$501=$A7)*('Réel 2023'!$C$3:$AO$3=O$2),'Réel 2023'!$C$8:$AO$501)</f>
        <v>39</v>
      </c>
      <c r="P7" s="184">
        <f t="shared" si="5"/>
        <v>5665.9597435897467</v>
      </c>
      <c r="Q7" s="478" cm="1">
        <f t="array" ref="Q7">+SUMPRODUCT(('Réel 2023'!$A$8:$A$501=$A7)*('Réel 2023'!$C$3:$AO$3=Q$2),'Réel 2023'!$C$8:$AO$501)</f>
        <v>220972.43000000011</v>
      </c>
      <c r="R7" s="187">
        <f t="shared" ref="R7:R12" si="7">J7-O7</f>
        <v>-10</v>
      </c>
      <c r="S7" s="350">
        <f t="shared" ref="S7:S12" si="8">L7-Q7</f>
        <v>-74607.069999999483</v>
      </c>
      <c r="T7" s="25"/>
      <c r="U7" s="25"/>
      <c r="V7" s="24"/>
      <c r="W7" s="1190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1190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1190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1190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1190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1190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76</v>
      </c>
      <c r="E13" s="351">
        <f>IF(D13&lt;=0,0,F13/D13)</f>
        <v>5303.8103567724802</v>
      </c>
      <c r="F13" s="352">
        <f t="shared" ref="F13" si="9">+SUM(F6:F12)</f>
        <v>403089.5871147085</v>
      </c>
      <c r="G13" s="353"/>
      <c r="H13" s="351"/>
      <c r="I13" s="352"/>
      <c r="J13" s="353">
        <f>+SUM(J6:J12)</f>
        <v>53</v>
      </c>
      <c r="K13" s="351">
        <f>IF(J13&lt;=0,0,L13/J13)</f>
        <v>5201.9128301886858</v>
      </c>
      <c r="L13" s="352">
        <f>+SUM(L6:L12)</f>
        <v>275701.38000000035</v>
      </c>
      <c r="M13" s="353">
        <f>+SUM(M6:M12)</f>
        <v>-23</v>
      </c>
      <c r="N13" s="352">
        <f t="shared" ref="N13" si="10">+SUM(N6:N12)</f>
        <v>-127388.2071147082</v>
      </c>
      <c r="O13" s="353">
        <f>+SUM(O6:O12)</f>
        <v>65</v>
      </c>
      <c r="P13" s="351">
        <f>IF(O13&lt;=0,0,Q13/O13)</f>
        <v>5670.2606153846127</v>
      </c>
      <c r="Q13" s="352">
        <f t="shared" ref="Q13" si="11">+SUM(Q6:Q12)</f>
        <v>368566.93999999983</v>
      </c>
      <c r="R13" s="353">
        <f>+SUM(R6:R12)</f>
        <v>-12</v>
      </c>
      <c r="S13" s="354">
        <f>+SUM(S6:S12)</f>
        <v>-92865.559999999474</v>
      </c>
      <c r="T13" s="25"/>
      <c r="U13" s="25"/>
      <c r="V13" s="24"/>
      <c r="W13" s="1190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-0.30263157894736842</v>
      </c>
      <c r="N14" s="239">
        <f>IF(F13=0,0,N13/F13)</f>
        <v>-0.31602951598562862</v>
      </c>
      <c r="O14" s="228"/>
      <c r="P14" s="184"/>
      <c r="Q14" s="270"/>
      <c r="R14" s="240">
        <f>R13/O13</f>
        <v>-0.18461538461538463</v>
      </c>
      <c r="S14" s="267">
        <f>IF(Q13=0,0,(S13/Q13))</f>
        <v>-0.25196389019590176</v>
      </c>
      <c r="T14" s="25"/>
      <c r="U14" s="25"/>
      <c r="V14" s="24"/>
      <c r="W14" s="1190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8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20000</v>
      </c>
      <c r="G15" s="188"/>
      <c r="H15" s="357"/>
      <c r="I15" s="355"/>
      <c r="J15" s="471">
        <f>-SUMIFS(BV_Data_An_Cour!$P:$P,BV_Data_An_Cour!$U:$U,$B15,BV_Data_An_Cour!$V:$V,$C15,BV_Data_An_Cour!$W:$W,J$2)</f>
        <v>15</v>
      </c>
      <c r="K15" s="472">
        <f>IF(J15=0,0,L15/J15)</f>
        <v>2940.3066666666728</v>
      </c>
      <c r="L15" s="472">
        <f>-SUMIFS(BV_Data_An_Cour!$P:$P,BV_Data_An_Cour!$U:$U,$B15,BV_Data_An_Cour!$V:$V,$C15,BV_Data_An_Cour!$W:$W,L$2)</f>
        <v>44104.600000000093</v>
      </c>
      <c r="M15" s="356">
        <f>J15-D15</f>
        <v>7</v>
      </c>
      <c r="N15" s="355">
        <f>L15-F15</f>
        <v>24104.600000000093</v>
      </c>
      <c r="O15" s="471" cm="1">
        <f t="array" ref="O15">+SUMPRODUCT(('Réel 2023'!$A$8:$A$501=$A15)*('Réel 2023'!$C$3:$AO$3=O$2),'Réel 2023'!$C$8:$AO$501)</f>
        <v>3</v>
      </c>
      <c r="P15" s="472">
        <f>IF(O15=0,0,Q15/O15)</f>
        <v>2666.6666666666601</v>
      </c>
      <c r="Q15" s="472" cm="1">
        <f t="array" ref="Q15">+SUMPRODUCT(('Réel 2023'!$A$8:$A$501=$A15)*('Réel 2023'!$C$3:$AO$3=Q$2),'Réel 2023'!$C$8:$AO$501)</f>
        <v>7999.99999999998</v>
      </c>
      <c r="R15" s="356">
        <f>J15-O15</f>
        <v>12</v>
      </c>
      <c r="S15" s="377">
        <f>L15-Q15</f>
        <v>36104.600000000115</v>
      </c>
      <c r="T15" s="25"/>
      <c r="U15" s="25"/>
      <c r="V15" s="24"/>
      <c r="W15" s="1190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1190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2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5000</v>
      </c>
      <c r="G17" s="187"/>
      <c r="H17" s="184"/>
      <c r="I17" s="184"/>
      <c r="J17" s="356">
        <f>-SUMIFS(BV_Data_An_Cour!$P:$P,BV_Data_An_Cour!$U:$U,$B17,BV_Data_An_Cour!$V:$V,$C17,BV_Data_An_Cour!$W:$W,J$2)</f>
        <v>1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-1</v>
      </c>
      <c r="N17" s="185">
        <f>L17-F17</f>
        <v>-5000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-3</v>
      </c>
      <c r="S17" s="350">
        <f>L17-Q17</f>
        <v>-12545.210000000021</v>
      </c>
      <c r="T17" s="25"/>
      <c r="U17" s="25"/>
      <c r="V17" s="24"/>
      <c r="W17" s="1190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1190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14113.171595340671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11435.159999999974</v>
      </c>
      <c r="M19" s="187"/>
      <c r="N19" s="185">
        <f>L19-F19</f>
        <v>-2678.0115953406967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26772.840000000022</v>
      </c>
      <c r="R19" s="187">
        <f>O19-K19</f>
        <v>0</v>
      </c>
      <c r="S19" s="350">
        <f>L19-Q19</f>
        <v>-15337.680000000048</v>
      </c>
      <c r="T19" s="25"/>
      <c r="U19" s="25"/>
      <c r="V19" s="24"/>
      <c r="W19" s="1190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1190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7140</v>
      </c>
      <c r="G21" s="228"/>
      <c r="H21" s="184"/>
      <c r="I21" s="184"/>
      <c r="J21" s="187"/>
      <c r="K21" s="184">
        <f>IF(J13=0,0,L21/(J13+J15))</f>
        <v>41.892499999999998</v>
      </c>
      <c r="L21" s="185">
        <f>-SUMIFS(BV_Data_An_Cour!$P:$P,BV_Data_An_Cour!$U:$U,$B21,BV_Data_An_Cour!$V:$V,$C21,BV_Data_An_Cour!$W:$W,L$2)</f>
        <v>2848.69</v>
      </c>
      <c r="M21" s="187"/>
      <c r="N21" s="185">
        <f>L21-F21</f>
        <v>-4291.3099999999995</v>
      </c>
      <c r="O21" s="187"/>
      <c r="P21" s="184"/>
      <c r="Q21" s="185" cm="1">
        <f t="array" ref="Q21">+SUMPRODUCT(('Réel 2023'!$A$8:$A$501=$A21)*('Réel 2023'!$C$3:$AO$3=Q$2),'Réel 2023'!$C$8:$AO$501)</f>
        <v>2905.4700000000003</v>
      </c>
      <c r="R21" s="187">
        <f>O21-K21</f>
        <v>-41.892499999999998</v>
      </c>
      <c r="S21" s="350">
        <f>L21-Q21</f>
        <v>-56.7800000000002</v>
      </c>
      <c r="T21" s="25"/>
      <c r="U21" s="25"/>
      <c r="V21" s="24"/>
      <c r="W21" s="1190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85680</v>
      </c>
      <c r="G22" s="228"/>
      <c r="H22" s="184"/>
      <c r="I22" s="184"/>
      <c r="J22" s="187"/>
      <c r="K22" s="184">
        <f>IF(J13=0,0,L22/(J13+J15))</f>
        <v>1225.725588235294</v>
      </c>
      <c r="L22" s="185">
        <f>-SUMIFS(BV_Data_An_Cour!$P:$P,BV_Data_An_Cour!$U:$U,$B22,BV_Data_An_Cour!$V:$V,$C22,BV_Data_An_Cour!$W:$W,L$2)</f>
        <v>83349.34</v>
      </c>
      <c r="M22" s="187"/>
      <c r="N22" s="185">
        <f>L22-F22</f>
        <v>-2330.6600000000035</v>
      </c>
      <c r="O22" s="187"/>
      <c r="P22" s="184"/>
      <c r="Q22" s="185" cm="1">
        <f t="array" ref="Q22">+SUMPRODUCT(('Réel 2023'!$A$8:$A$501=$A22)*('Réel 2023'!$C$3:$AO$3=Q$2),'Réel 2023'!$C$8:$AO$501)</f>
        <v>77170.659999999902</v>
      </c>
      <c r="R22" s="187">
        <f>O22-K22</f>
        <v>-1225.725588235294</v>
      </c>
      <c r="S22" s="350">
        <f>L22-Q22</f>
        <v>6178.6800000000949</v>
      </c>
      <c r="T22" s="25"/>
      <c r="U22" s="25"/>
      <c r="V22" s="24"/>
      <c r="W22" s="1190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41580</v>
      </c>
      <c r="G23" s="228"/>
      <c r="H23" s="184"/>
      <c r="I23" s="184"/>
      <c r="J23" s="187"/>
      <c r="K23" s="184">
        <f>IF(J13=0,0,L23/(J13+J15))</f>
        <v>479.70044117647063</v>
      </c>
      <c r="L23" s="185">
        <f>-SUMIFS(BV_Data_An_Cour!$P:$P,BV_Data_An_Cour!$U:$U,$B23,BV_Data_An_Cour!$V:$V,$C23,BV_Data_An_Cour!$W:$W,L$2)</f>
        <v>32619.630000000005</v>
      </c>
      <c r="M23" s="356"/>
      <c r="N23" s="185">
        <f>L23-F23</f>
        <v>-8960.3699999999953</v>
      </c>
      <c r="O23" s="187"/>
      <c r="P23" s="184"/>
      <c r="Q23" s="185" cm="1">
        <f t="array" ref="Q23">+SUMPRODUCT(('Réel 2023'!$A$8:$A$501=$A23)*('Réel 2023'!$C$3:$AO$3=Q$2),'Réel 2023'!$C$8:$AO$501)</f>
        <v>33743.839999999902</v>
      </c>
      <c r="R23" s="187">
        <f>O23-K23</f>
        <v>-479.70044117647063</v>
      </c>
      <c r="S23" s="350">
        <f>L23-Q23</f>
        <v>-1124.2099999998973</v>
      </c>
      <c r="T23" s="25"/>
      <c r="U23" s="25"/>
      <c r="V23" s="24"/>
      <c r="W23" s="1190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84</v>
      </c>
      <c r="E24" s="351">
        <f>IF(D24&lt;=0,0,F24/D24)</f>
        <v>1600</v>
      </c>
      <c r="F24" s="352">
        <f>F21+F22+F23</f>
        <v>134400</v>
      </c>
      <c r="G24" s="353"/>
      <c r="H24" s="351"/>
      <c r="I24" s="352"/>
      <c r="J24" s="353">
        <f>+J15+J13</f>
        <v>68</v>
      </c>
      <c r="K24" s="351">
        <f>IF(J24&lt;=0,0,L24/J24)</f>
        <v>1747.3185294117648</v>
      </c>
      <c r="L24" s="352">
        <f>L21+L22+L23</f>
        <v>118817.66</v>
      </c>
      <c r="M24" s="381">
        <f>J24-D24</f>
        <v>-16</v>
      </c>
      <c r="N24" s="352">
        <f>L24-F24</f>
        <v>-15582.339999999997</v>
      </c>
      <c r="O24" s="353">
        <f>+O15+O13</f>
        <v>68</v>
      </c>
      <c r="P24" s="351">
        <f>IF(O24&lt;=0,0,Q24/O24)</f>
        <v>1673.8230882352912</v>
      </c>
      <c r="Q24" s="352">
        <f>Q21+Q22+Q23</f>
        <v>113819.9699999998</v>
      </c>
      <c r="R24" s="361"/>
      <c r="S24" s="354">
        <f>L24-Q24</f>
        <v>4997.6900000002061</v>
      </c>
      <c r="T24" s="25"/>
      <c r="U24" s="25"/>
      <c r="V24" s="24"/>
      <c r="W24" s="1190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-0.11594002976190473</v>
      </c>
      <c r="O25" s="228"/>
      <c r="P25" s="183"/>
      <c r="Q25" s="230"/>
      <c r="R25" s="229"/>
      <c r="S25" s="267">
        <f>IF(Q24=0,0,(S24/Q24))</f>
        <v>4.3908727088930129E-2</v>
      </c>
      <c r="T25" s="25"/>
      <c r="U25" s="25"/>
      <c r="V25" s="24"/>
      <c r="W25" s="1190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1190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86</v>
      </c>
      <c r="E27" s="27">
        <f>IF(D27&lt;=0,0,F27/D27)</f>
        <v>6704.6832408145256</v>
      </c>
      <c r="F27" s="28">
        <f>F13+F17+F24+F19+F15</f>
        <v>576602.75871004921</v>
      </c>
      <c r="G27" s="29"/>
      <c r="H27" s="30"/>
      <c r="I27" s="28"/>
      <c r="J27" s="29">
        <f>+J13+J15+J17</f>
        <v>69</v>
      </c>
      <c r="K27" s="30">
        <f>IF(J27&lt;=0,0,L27/J27)</f>
        <v>6522.5913043478331</v>
      </c>
      <c r="L27" s="28">
        <f>L13+L17+L24+L19+L15</f>
        <v>450058.80000000045</v>
      </c>
      <c r="M27" s="29">
        <f>J27-D27</f>
        <v>-17</v>
      </c>
      <c r="N27" s="28">
        <f>L27-F27</f>
        <v>-126543.95871004876</v>
      </c>
      <c r="O27" s="29">
        <f>+O13+O15+O17</f>
        <v>72</v>
      </c>
      <c r="P27" s="30">
        <f>IF(O27&lt;=0,0,Q27/O27)</f>
        <v>7357.0133333333279</v>
      </c>
      <c r="Q27" s="28">
        <f>Q13+Q17+Q24+Q19+Q15</f>
        <v>529704.95999999961</v>
      </c>
      <c r="R27" s="29">
        <f>J27-O27</f>
        <v>-3</v>
      </c>
      <c r="S27" s="326">
        <f>L27-Q27</f>
        <v>-79646.159999999159</v>
      </c>
      <c r="T27" s="25"/>
      <c r="U27" s="25"/>
      <c r="V27" s="24"/>
      <c r="W27" s="1190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-0.19767441860465115</v>
      </c>
      <c r="N28" s="34">
        <f>N27/F27</f>
        <v>-0.21946471257464573</v>
      </c>
      <c r="O28" s="31"/>
      <c r="P28" s="328"/>
      <c r="Q28" s="32"/>
      <c r="R28" s="33">
        <f>R27/O27</f>
        <v>-4.1666666666666664E-2</v>
      </c>
      <c r="S28" s="264">
        <f>IF(Q27=0,0,S27/Q27)</f>
        <v>-0.15035947558429361</v>
      </c>
      <c r="T28" s="25"/>
      <c r="U28" s="25"/>
      <c r="V28" s="24"/>
      <c r="W28" s="1190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1190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1190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1500.6577341761524</v>
      </c>
      <c r="F31" s="184" cm="1">
        <f t="array" ref="F31">+SUMPRODUCT(('Budget original'!$A$8:$A$501=$A31)*('Budget original'!$C$3:$AO$3=F$2),'Budget original'!$C$8:$AO$501)</f>
        <v>126055.24967079681</v>
      </c>
      <c r="G31" s="298"/>
      <c r="H31" s="200"/>
      <c r="I31" s="184"/>
      <c r="J31" s="298">
        <f>L31/(L13+L15)</f>
        <v>0.2781880126194009</v>
      </c>
      <c r="K31" s="200">
        <f t="shared" ref="K31:K36" si="13">IF(L31=0,0,L31/J$24)</f>
        <v>1308.3263235294119</v>
      </c>
      <c r="L31" s="184">
        <f>SUMIFS(BV_Data_An_Cour!$P:$P,BV_Data_An_Cour!$U:$U,$B31,BV_Data_An_Cour!$V:$V,$C31,BV_Data_An_Cour!$W:$W,L$2)</f>
        <v>88966.19</v>
      </c>
      <c r="M31" s="228"/>
      <c r="N31" s="230">
        <f t="shared" ref="N31:N53" si="14">L31-F31</f>
        <v>-37089.059670796807</v>
      </c>
      <c r="O31" s="298"/>
      <c r="P31" s="200">
        <f t="shared" ref="P31:P40" si="15">Q31/O$24</f>
        <v>1611.860588235294</v>
      </c>
      <c r="Q31" s="185" cm="1">
        <f t="array" ref="Q31">+SUMPRODUCT(('Réel 2023'!$A$8:$A$501=$A31)*('Réel 2023'!$C$3:$AO$3=Q$2),'Réel 2023'!$C$8:$AO$501)</f>
        <v>109606.51999999999</v>
      </c>
      <c r="R31" s="228"/>
      <c r="S31" s="202">
        <f t="shared" ref="S31:S41" si="16">L31-Q31</f>
        <v>-20640.329999999987</v>
      </c>
      <c r="T31" s="25"/>
      <c r="U31" s="25"/>
      <c r="V31" s="24"/>
      <c r="W31" s="1190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33600</v>
      </c>
      <c r="G32" s="325"/>
      <c r="H32" s="193"/>
      <c r="I32" s="182"/>
      <c r="J32" s="325">
        <f>L32/L24</f>
        <v>0.41124913586078032</v>
      </c>
      <c r="K32" s="363">
        <f t="shared" si="13"/>
        <v>718.58323529411769</v>
      </c>
      <c r="L32" s="182">
        <f>SUMIFS(BV_Data_An_Cour!$P:$P,BV_Data_An_Cour!$U:$U,$B32,BV_Data_An_Cour!$V:$V,$C32,BV_Data_An_Cour!$W:$W,L$2)</f>
        <v>48863.66</v>
      </c>
      <c r="M32" s="283"/>
      <c r="N32" s="284">
        <f t="shared" si="14"/>
        <v>15263.660000000003</v>
      </c>
      <c r="O32" s="325"/>
      <c r="P32" s="363">
        <f t="shared" si="15"/>
        <v>416.87838235294123</v>
      </c>
      <c r="Q32" s="182" cm="1">
        <f t="array" ref="Q32">+SUMPRODUCT(('Réel 2023'!$A$8:$A$501=$A32)*('Réel 2023'!$C$3:$AO$3=Q$2),'Réel 2023'!$C$8:$AO$501)</f>
        <v>28347.730000000003</v>
      </c>
      <c r="R32" s="283"/>
      <c r="S32" s="205">
        <f t="shared" si="16"/>
        <v>20515.93</v>
      </c>
      <c r="T32" s="25"/>
      <c r="U32" s="25"/>
      <c r="V32" s="24"/>
      <c r="W32" s="1190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8400</v>
      </c>
      <c r="G33" s="274"/>
      <c r="H33" s="200"/>
      <c r="I33" s="184"/>
      <c r="J33" s="228"/>
      <c r="K33" s="200">
        <f t="shared" si="13"/>
        <v>113.44382352941177</v>
      </c>
      <c r="L33" s="184">
        <f>SUMIFS(BV_Data_An_Cour!$P:$P,BV_Data_An_Cour!$U:$U,$B33,BV_Data_An_Cour!$V:$V,$C33,BV_Data_An_Cour!$W:$W,L$2)</f>
        <v>7714.18</v>
      </c>
      <c r="M33" s="228"/>
      <c r="N33" s="230">
        <f t="shared" si="14"/>
        <v>-685.81999999999971</v>
      </c>
      <c r="O33" s="228"/>
      <c r="P33" s="200">
        <f t="shared" si="15"/>
        <v>84.402941176470577</v>
      </c>
      <c r="Q33" s="185" cm="1">
        <f t="array" ref="Q33">+SUMPRODUCT(('Réel 2023'!$A$8:$A$501=$A33)*('Réel 2023'!$C$3:$AO$3=Q$2),'Réel 2023'!$C$8:$AO$501)</f>
        <v>5739.4</v>
      </c>
      <c r="R33" s="228"/>
      <c r="S33" s="202">
        <f t="shared" si="16"/>
        <v>1974.7800000000007</v>
      </c>
      <c r="T33" s="25"/>
      <c r="U33" s="25"/>
      <c r="V33" s="24"/>
      <c r="W33" s="1190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3780</v>
      </c>
      <c r="G34" s="274"/>
      <c r="H34" s="200"/>
      <c r="I34" s="184"/>
      <c r="J34" s="228"/>
      <c r="K34" s="200">
        <f t="shared" si="13"/>
        <v>39.178970588235295</v>
      </c>
      <c r="L34" s="184">
        <f>SUMIFS(BV_Data_An_Cour!$P:$P,BV_Data_An_Cour!$U:$U,$B34,BV_Data_An_Cour!$V:$V,$C34,BV_Data_An_Cour!$W:$W,L$2)</f>
        <v>2664.17</v>
      </c>
      <c r="M34" s="228"/>
      <c r="N34" s="230">
        <f t="shared" si="14"/>
        <v>-1115.83</v>
      </c>
      <c r="O34" s="228"/>
      <c r="P34" s="200">
        <f t="shared" si="15"/>
        <v>44.496176470588232</v>
      </c>
      <c r="Q34" s="185" cm="1">
        <f t="array" ref="Q34">+SUMPRODUCT(('Réel 2023'!$A$8:$A$501=$A34)*('Réel 2023'!$C$3:$AO$3=Q$2),'Réel 2023'!$C$8:$AO$501)</f>
        <v>3025.74</v>
      </c>
      <c r="R34" s="228"/>
      <c r="S34" s="202">
        <f t="shared" si="16"/>
        <v>-361.56999999999971</v>
      </c>
      <c r="T34" s="25"/>
      <c r="U34" s="25"/>
      <c r="V34" s="24"/>
      <c r="W34" s="1190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47.142857142857146</v>
      </c>
      <c r="F35" s="182" cm="1">
        <f t="array" ref="F35">+SUMPRODUCT(('Budget original'!$A$8:$A$501=$A35)*('Budget original'!$C$3:$AO$3=F$2),'Budget original'!$C$8:$AO$501)</f>
        <v>3960</v>
      </c>
      <c r="G35" s="282"/>
      <c r="H35" s="193"/>
      <c r="I35" s="182"/>
      <c r="J35" s="283"/>
      <c r="K35" s="363">
        <f t="shared" si="13"/>
        <v>72.974705882352936</v>
      </c>
      <c r="L35" s="182">
        <f>SUMIFS(BV_Data_An_Cour!$P:$P,BV_Data_An_Cour!$U:$U,$B35,BV_Data_An_Cour!$V:$V,$C35,BV_Data_An_Cour!$W:$W,L$2)</f>
        <v>4962.28</v>
      </c>
      <c r="M35" s="283"/>
      <c r="N35" s="284">
        <f t="shared" si="14"/>
        <v>1002.2799999999997</v>
      </c>
      <c r="O35" s="283"/>
      <c r="P35" s="363">
        <f t="shared" si="15"/>
        <v>43.35441176470588</v>
      </c>
      <c r="Q35" s="185" cm="1">
        <f t="array" ref="Q35">+SUMPRODUCT(('Réel 2023'!$A$8:$A$501=$A35)*('Réel 2023'!$C$3:$AO$3=Q$2),'Réel 2023'!$C$8:$AO$501)</f>
        <v>2948.1</v>
      </c>
      <c r="R35" s="283"/>
      <c r="S35" s="205">
        <f t="shared" si="16"/>
        <v>2014.1799999999998</v>
      </c>
      <c r="T35" s="25"/>
      <c r="U35" s="25"/>
      <c r="V35" s="24"/>
      <c r="W35" s="1190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41715.1875</v>
      </c>
      <c r="G36" s="274"/>
      <c r="H36" s="200"/>
      <c r="I36" s="184"/>
      <c r="J36" s="228"/>
      <c r="K36" s="200">
        <f t="shared" si="13"/>
        <v>622.98779411764713</v>
      </c>
      <c r="L36" s="553">
        <f>SUMIFS(BV_Data_An_Cour!$P:$P,BV_Data_An_Cour!$U:$U,$B36,BV_Data_An_Cour!$V:$V,$C36,BV_Data_An_Cour!$W:$W,L$2)</f>
        <v>42363.170000000006</v>
      </c>
      <c r="M36" s="183"/>
      <c r="N36" s="230">
        <f t="shared" si="14"/>
        <v>647.98250000000553</v>
      </c>
      <c r="O36" s="228"/>
      <c r="P36" s="200">
        <f t="shared" si="15"/>
        <v>769.65044117647051</v>
      </c>
      <c r="Q36" s="379" cm="1">
        <f t="array" ref="Q36">+SUMPRODUCT(('Réel 2023'!$A$8:$A$501=$A36)*('Réel 2023'!$C$3:$AO$3=Q$2),'Réel 2023'!$C$8:$AO$501)</f>
        <v>52336.229999999996</v>
      </c>
      <c r="R36" s="228"/>
      <c r="S36" s="202">
        <f t="shared" si="16"/>
        <v>-9973.0599999999904</v>
      </c>
      <c r="T36" s="25"/>
      <c r="U36" s="25"/>
      <c r="V36" s="24"/>
      <c r="W36" s="1190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1313.7858889501897</v>
      </c>
      <c r="F37" s="184" cm="1">
        <f t="array" ref="F37">+SUMPRODUCT(('Budget original'!$A$8:$A$501=$A37)*('Budget original'!$C$3:$AO$3=F$2),'Budget original'!$C$8:$AO$501)</f>
        <v>110358.01467181594</v>
      </c>
      <c r="G37" s="274"/>
      <c r="H37" s="200"/>
      <c r="I37" s="184"/>
      <c r="J37" s="228"/>
      <c r="K37" s="200">
        <f>IF(L37=0,0,L37/J$24)</f>
        <v>1897.5864705882354</v>
      </c>
      <c r="L37" s="554">
        <f>SUMIFS(BV_Data_An_Cour!$P:$P,BV_Data_An_Cour!$U:$U,$B37,BV_Data_An_Cour!$V:$V,$C37,BV_Data_An_Cour!$W:$W,L$2)</f>
        <v>129035.88</v>
      </c>
      <c r="M37" s="183"/>
      <c r="N37" s="230">
        <f t="shared" si="14"/>
        <v>18677.865328184067</v>
      </c>
      <c r="O37" s="228"/>
      <c r="P37" s="200">
        <f t="shared" si="15"/>
        <v>290.55235294117642</v>
      </c>
      <c r="Q37" s="185" cm="1">
        <f t="array" ref="Q37">+SUMPRODUCT(('Réel 2023'!$A$8:$A$501=$A37)*('Réel 2023'!$C$3:$AO$3=Q$2),'Réel 2023'!$C$8:$AO$501)</f>
        <v>19757.559999999998</v>
      </c>
      <c r="R37" s="228"/>
      <c r="S37" s="202">
        <f>L37-Q37</f>
        <v>109278.32</v>
      </c>
      <c r="T37" s="25"/>
      <c r="U37" s="25"/>
      <c r="V37" s="24"/>
      <c r="W37" s="119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1190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1190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1190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0.56862102528976077</v>
      </c>
      <c r="F41" s="41">
        <f>SUM(F31:F40)</f>
        <v>327868.4518426127</v>
      </c>
      <c r="G41" s="42"/>
      <c r="H41" s="40"/>
      <c r="I41" s="41"/>
      <c r="J41" s="42" t="s">
        <v>108</v>
      </c>
      <c r="K41" s="40">
        <f>L41/L$27</f>
        <v>0.72117138916070456</v>
      </c>
      <c r="L41" s="41">
        <f>SUM(L31:L40)</f>
        <v>324569.53000000003</v>
      </c>
      <c r="M41" s="512"/>
      <c r="N41" s="41">
        <f t="shared" si="14"/>
        <v>-3298.9218426126754</v>
      </c>
      <c r="O41" s="42" t="s">
        <v>108</v>
      </c>
      <c r="P41" s="40">
        <f>Q41/Q$27</f>
        <v>0.41865056351369662</v>
      </c>
      <c r="Q41" s="511">
        <f>SUM(Q31:Q40)</f>
        <v>221761.27999999997</v>
      </c>
      <c r="R41" s="44"/>
      <c r="S41" s="290">
        <f t="shared" si="16"/>
        <v>102808.25000000006</v>
      </c>
      <c r="T41" s="25"/>
      <c r="U41" s="25"/>
      <c r="V41" s="24"/>
      <c r="W41" s="1190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50008.30890585242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48542.42</v>
      </c>
      <c r="M42" s="228"/>
      <c r="N42" s="230">
        <f t="shared" si="14"/>
        <v>-1465.8889058524219</v>
      </c>
      <c r="O42" s="228"/>
      <c r="P42" s="183"/>
      <c r="Q42" s="185" cm="1">
        <f t="array" ref="Q42">+SUMPRODUCT(('Réel 2023'!$A$8:$A$501=$A42)*('Réel 2023'!$C$3:$AO$3=Q$2),'Réel 2023'!$C$8:$AO$501)</f>
        <v>61086.33</v>
      </c>
      <c r="R42" s="228"/>
      <c r="S42" s="202"/>
      <c r="T42" s="25"/>
      <c r="U42" s="25"/>
      <c r="V42" s="25"/>
      <c r="W42" s="1190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34613.582061068701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33263.99</v>
      </c>
      <c r="M43" s="228"/>
      <c r="N43" s="230">
        <f t="shared" si="14"/>
        <v>-1349.5920610687026</v>
      </c>
      <c r="O43" s="228"/>
      <c r="P43" s="183"/>
      <c r="Q43" s="185" cm="1">
        <f t="array" ref="Q43">+SUMPRODUCT(('Réel 2023'!$A$8:$A$501=$A43)*('Réel 2023'!$C$3:$AO$3=Q$2),'Réel 2023'!$C$8:$AO$501)</f>
        <v>27658.1</v>
      </c>
      <c r="R43" s="228"/>
      <c r="S43" s="202">
        <f t="shared" ref="S43:S53" si="17">L43-Q43</f>
        <v>5605.8899999999994</v>
      </c>
      <c r="T43" s="25"/>
      <c r="U43" s="25"/>
      <c r="V43" s="24"/>
      <c r="W43" s="1190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1368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1368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1368</v>
      </c>
      <c r="R44" s="278"/>
      <c r="S44" s="204">
        <f t="shared" si="17"/>
        <v>0</v>
      </c>
      <c r="T44" s="25"/>
      <c r="U44" s="25"/>
      <c r="V44" s="24"/>
      <c r="W44" s="1190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1190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1190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1190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1190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27147.548365905801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31183.279999999999</v>
      </c>
      <c r="M49" s="228"/>
      <c r="N49" s="230">
        <f t="shared" si="14"/>
        <v>4035.7316340941979</v>
      </c>
      <c r="O49" s="228"/>
      <c r="P49" s="183"/>
      <c r="Q49" s="182" cm="1">
        <f t="array" ref="Q49">+SUMPRODUCT(('Réel 2023'!$A$8:$A$501=$A49)*('Réel 2023'!$C$3:$AO$3=Q$2),'Réel 2023'!$C$8:$AO$501)</f>
        <v>19638.88</v>
      </c>
      <c r="R49" s="228"/>
      <c r="S49" s="202">
        <f t="shared" si="17"/>
        <v>11544.399999999998</v>
      </c>
      <c r="T49" s="25"/>
      <c r="U49" s="25"/>
      <c r="V49" s="25"/>
      <c r="W49" s="1190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37070.887862607502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39328.01</v>
      </c>
      <c r="M50" s="278"/>
      <c r="N50" s="279">
        <f t="shared" si="14"/>
        <v>2257.1221373925</v>
      </c>
      <c r="O50" s="278"/>
      <c r="P50" s="276"/>
      <c r="Q50" s="185" cm="1">
        <f t="array" ref="Q50">+SUMPRODUCT(('Réel 2023'!$A$8:$A$501=$A50)*('Réel 2023'!$C$3:$AO$3=Q$2),'Réel 2023'!$C$8:$AO$501)</f>
        <v>35619.230000000003</v>
      </c>
      <c r="R50" s="278"/>
      <c r="S50" s="204">
        <f t="shared" si="17"/>
        <v>3708.7799999999988</v>
      </c>
      <c r="T50" s="25"/>
      <c r="U50" s="25"/>
      <c r="V50" s="25"/>
      <c r="W50" s="1190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16899.963584424004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16432.439999999999</v>
      </c>
      <c r="M51" s="228"/>
      <c r="N51" s="230">
        <f t="shared" si="14"/>
        <v>-467.52358442400509</v>
      </c>
      <c r="O51" s="228"/>
      <c r="P51" s="183"/>
      <c r="Q51" s="185" cm="1">
        <f t="array" ref="Q51">+SUMPRODUCT(('Réel 2023'!$A$8:$A$501=$A51)*('Réel 2023'!$C$3:$AO$3=Q$2),'Réel 2023'!$C$8:$AO$501)</f>
        <v>11948.070000000002</v>
      </c>
      <c r="R51" s="228"/>
      <c r="S51" s="202">
        <f t="shared" si="17"/>
        <v>4484.3699999999972</v>
      </c>
      <c r="T51" s="25"/>
      <c r="U51" s="25"/>
      <c r="V51" s="25"/>
      <c r="W51" s="1190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3816.1208093860664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4727.58</v>
      </c>
      <c r="M52" s="228"/>
      <c r="N52" s="230">
        <f t="shared" si="14"/>
        <v>911.45919061393352</v>
      </c>
      <c r="O52" s="228"/>
      <c r="P52" s="183"/>
      <c r="Q52" s="185" cm="1">
        <f t="array" ref="Q52">+SUMPRODUCT(('Réel 2023'!$A$8:$A$501=$A52)*('Réel 2023'!$C$3:$AO$3=Q$2),'Réel 2023'!$C$8:$AO$501)</f>
        <v>3470.51</v>
      </c>
      <c r="R52" s="228"/>
      <c r="S52" s="202">
        <f t="shared" si="17"/>
        <v>1257.0699999999997</v>
      </c>
      <c r="T52" s="25"/>
      <c r="U52" s="25"/>
      <c r="V52" s="25"/>
      <c r="W52" s="1190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1190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0.29643356540927623</v>
      </c>
      <c r="F54" s="41">
        <f>+SUM(F42:F53)</f>
        <v>170924.4115892445</v>
      </c>
      <c r="G54" s="42"/>
      <c r="H54" s="40"/>
      <c r="I54" s="41"/>
      <c r="J54" s="42" t="s">
        <v>108</v>
      </c>
      <c r="K54" s="40">
        <f>L54/L$27</f>
        <v>0.38849528106105208</v>
      </c>
      <c r="L54" s="41">
        <f>+SUM(L42:L53)</f>
        <v>174845.72</v>
      </c>
      <c r="M54" s="44"/>
      <c r="N54" s="41">
        <f>+SUM(N42:N53)</f>
        <v>3921.3084107555019</v>
      </c>
      <c r="O54" s="42" t="s">
        <v>108</v>
      </c>
      <c r="P54" s="40">
        <f>Q54/Q$27</f>
        <v>0.30354467513387101</v>
      </c>
      <c r="Q54" s="41">
        <f>+SUM(Q42:Q53)</f>
        <v>160789.12000000002</v>
      </c>
      <c r="R54" s="44"/>
      <c r="S54" s="290">
        <f>+SUM(S42:S53)</f>
        <v>26600.509999999995</v>
      </c>
      <c r="T54" s="37"/>
      <c r="U54" s="25"/>
      <c r="V54" s="24"/>
      <c r="W54" s="1190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1190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1190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20320.333333333336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21142.27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16512.920000000002</v>
      </c>
      <c r="R57" s="283"/>
      <c r="S57" s="205">
        <f t="shared" si="19"/>
        <v>4629.3499999999985</v>
      </c>
      <c r="T57" s="45"/>
      <c r="U57" s="25"/>
      <c r="V57" s="24"/>
      <c r="W57" s="1190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19972.2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18029.82</v>
      </c>
      <c r="M58" s="228"/>
      <c r="N58" s="230">
        <f t="shared" si="18"/>
        <v>-1942.380000000001</v>
      </c>
      <c r="O58" s="228"/>
      <c r="P58" s="183"/>
      <c r="Q58" s="185" cm="1">
        <f t="array" ref="Q58">+SUMPRODUCT(('Réel 2023'!$A$8:$A$501=$A58)*('Réel 2023'!$C$3:$AO$3=Q$2),'Réel 2023'!$C$8:$AO$501)</f>
        <v>18613.690000000002</v>
      </c>
      <c r="R58" s="228"/>
      <c r="S58" s="202">
        <f t="shared" si="19"/>
        <v>-583.87000000000262</v>
      </c>
      <c r="T58" s="37"/>
      <c r="U58" s="25"/>
      <c r="V58" s="24"/>
      <c r="W58" s="1190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3290.4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3986.53</v>
      </c>
      <c r="M59" s="228"/>
      <c r="N59" s="230">
        <f t="shared" si="18"/>
        <v>696.13000000000011</v>
      </c>
      <c r="O59" s="228"/>
      <c r="P59" s="183"/>
      <c r="Q59" s="185" cm="1">
        <f t="array" ref="Q59">+SUMPRODUCT(('Réel 2023'!$A$8:$A$501=$A59)*('Réel 2023'!$C$3:$AO$3=Q$2),'Réel 2023'!$C$8:$AO$501)</f>
        <v>2571.34</v>
      </c>
      <c r="R59" s="228"/>
      <c r="S59" s="202">
        <f t="shared" si="19"/>
        <v>1415.19</v>
      </c>
      <c r="T59" s="25"/>
      <c r="U59" s="25"/>
      <c r="V59" s="24"/>
      <c r="W59" s="1190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11017.800000000001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12188.38</v>
      </c>
      <c r="M60" s="283"/>
      <c r="N60" s="284">
        <f t="shared" si="18"/>
        <v>1170.5799999999981</v>
      </c>
      <c r="O60" s="283"/>
      <c r="P60" s="281"/>
      <c r="Q60" s="182" cm="1">
        <f t="array" ref="Q60">+SUMPRODUCT(('Réel 2023'!$A$8:$A$501=$A60)*('Réel 2023'!$C$3:$AO$3=Q$2),'Réel 2023'!$C$8:$AO$501)</f>
        <v>11383.7</v>
      </c>
      <c r="R60" s="283"/>
      <c r="S60" s="205">
        <f t="shared" si="19"/>
        <v>804.67999999999847</v>
      </c>
      <c r="T60" s="25"/>
      <c r="U60" s="25"/>
      <c r="V60" s="24"/>
      <c r="W60" s="1190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262.5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9.99</v>
      </c>
      <c r="M61" s="228"/>
      <c r="N61" s="230">
        <f t="shared" si="18"/>
        <v>-252.51</v>
      </c>
      <c r="O61" s="228"/>
      <c r="P61" s="183"/>
      <c r="Q61" s="185" cm="1">
        <f t="array" ref="Q61">+SUMPRODUCT(('Réel 2023'!$A$8:$A$501=$A61)*('Réel 2023'!$C$3:$AO$3=Q$2),'Réel 2023'!$C$8:$AO$501)</f>
        <v>254.32</v>
      </c>
      <c r="R61" s="228"/>
      <c r="S61" s="202">
        <f t="shared" si="19"/>
        <v>-244.32999999999998</v>
      </c>
      <c r="T61" s="25"/>
      <c r="U61" s="25"/>
      <c r="V61" s="25"/>
      <c r="W61" s="1190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60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0</v>
      </c>
      <c r="M62" s="228"/>
      <c r="N62" s="230">
        <f t="shared" si="18"/>
        <v>-60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-155.03</v>
      </c>
      <c r="T62" s="25"/>
      <c r="U62" s="25"/>
      <c r="V62" s="25"/>
      <c r="W62" s="1190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3150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1742.09</v>
      </c>
      <c r="M63" s="228"/>
      <c r="N63" s="230">
        <f t="shared" si="18"/>
        <v>-1407.91</v>
      </c>
      <c r="O63" s="228"/>
      <c r="P63" s="183"/>
      <c r="Q63" s="478" cm="1">
        <f t="array" ref="Q63">+SUMPRODUCT(('Réel 2023'!$A$8:$A$501=$A63)*('Réel 2023'!$C$3:$AO$3=Q$2),'Réel 2023'!$C$8:$AO$501)</f>
        <v>2161.6999999999998</v>
      </c>
      <c r="R63" s="228"/>
      <c r="S63" s="202">
        <f t="shared" si="19"/>
        <v>-419.6099999999999</v>
      </c>
      <c r="T63" s="25"/>
      <c r="U63" s="25"/>
      <c r="V63" s="25"/>
      <c r="W63" s="1190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841.6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897.81</v>
      </c>
      <c r="M64" s="228"/>
      <c r="N64" s="230">
        <f t="shared" si="18"/>
        <v>56.209999999999923</v>
      </c>
      <c r="O64" s="228"/>
      <c r="P64" s="183"/>
      <c r="Q64" s="185" cm="1">
        <f t="array" ref="Q64">+SUMPRODUCT(('Réel 2023'!$A$8:$A$501=$A64)*('Réel 2023'!$C$3:$AO$3=Q$2),'Réel 2023'!$C$8:$AO$501)</f>
        <v>933.11</v>
      </c>
      <c r="R64" s="228"/>
      <c r="S64" s="202">
        <f t="shared" si="19"/>
        <v>-35.300000000000068</v>
      </c>
      <c r="T64" s="25"/>
      <c r="U64" s="25"/>
      <c r="V64" s="25"/>
      <c r="W64" s="1190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900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805.09</v>
      </c>
      <c r="M65" s="228"/>
      <c r="N65" s="230">
        <f t="shared" si="18"/>
        <v>-94.909999999999968</v>
      </c>
      <c r="O65" s="228"/>
      <c r="P65" s="183"/>
      <c r="Q65" s="185" cm="1">
        <f t="array" ref="Q65">+SUMPRODUCT(('Réel 2023'!$A$8:$A$501=$A65)*('Réel 2023'!$C$3:$AO$3=Q$2),'Réel 2023'!$C$8:$AO$501)</f>
        <v>1104.9000000000001</v>
      </c>
      <c r="R65" s="228"/>
      <c r="S65" s="202">
        <f t="shared" si="19"/>
        <v>-299.81000000000006</v>
      </c>
      <c r="T65" s="25"/>
      <c r="U65" s="25"/>
      <c r="V65" s="25"/>
      <c r="W65" s="1190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3344.4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3174.2200000000003</v>
      </c>
      <c r="M66" s="228"/>
      <c r="N66" s="230">
        <f t="shared" si="18"/>
        <v>-170.17999999999984</v>
      </c>
      <c r="O66" s="228"/>
      <c r="P66" s="183"/>
      <c r="Q66" s="185" cm="1">
        <f t="array" ref="Q66">+SUMPRODUCT(('Réel 2023'!$A$8:$A$501=$A66)*('Réel 2023'!$C$3:$AO$3=Q$2),'Réel 2023'!$C$8:$AO$501)</f>
        <v>2967.66</v>
      </c>
      <c r="R66" s="228"/>
      <c r="S66" s="202">
        <f t="shared" si="19"/>
        <v>206.5600000000004</v>
      </c>
      <c r="T66" s="25"/>
      <c r="U66" s="25"/>
      <c r="V66" s="25"/>
      <c r="W66" s="1190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1928.6552533333327</v>
      </c>
      <c r="G67" s="274"/>
      <c r="H67" s="183"/>
      <c r="I67" s="184"/>
      <c r="J67" s="228"/>
      <c r="K67" s="183"/>
      <c r="L67" s="185">
        <f>SUMIFS(BV_Data_An_Cour!$P:$P,BV_Data_An_Cour!$U:$U,$B67,BV_Data_An_Cour!$V:$V,$C67,BV_Data_An_Cour!$W:$W,L$2)</f>
        <v>567.88</v>
      </c>
      <c r="M67" s="228"/>
      <c r="N67" s="230">
        <f t="shared" si="18"/>
        <v>-1360.7752533333328</v>
      </c>
      <c r="O67" s="228"/>
      <c r="P67" s="183"/>
      <c r="Q67" s="185" cm="1">
        <f t="array" ref="Q67">+SUMPRODUCT(('Réel 2023'!$A$8:$A$501=$A67)*('Réel 2023'!$C$3:$AO$3=Q$2),'Réel 2023'!$C$8:$AO$501)</f>
        <v>819.82</v>
      </c>
      <c r="R67" s="228"/>
      <c r="S67" s="202">
        <f>L67-Q67</f>
        <v>-251.94000000000005</v>
      </c>
      <c r="T67" s="25"/>
      <c r="U67" s="25"/>
      <c r="V67" s="25"/>
      <c r="W67" s="1190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9511.206426511646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10362.06</v>
      </c>
      <c r="M68" s="228"/>
      <c r="N68" s="230">
        <f t="shared" si="18"/>
        <v>850.8535734883535</v>
      </c>
      <c r="O68" s="228"/>
      <c r="P68" s="183"/>
      <c r="Q68" s="185" cm="1">
        <f t="array" ref="Q68">+SUMPRODUCT(('Réel 2023'!$A$8:$A$501=$A68)*('Réel 2023'!$C$3:$AO$3=Q$2),'Réel 2023'!$C$8:$AO$501)</f>
        <v>9342.5499999999993</v>
      </c>
      <c r="R68" s="228"/>
      <c r="S68" s="202">
        <f>L68-Q68</f>
        <v>1019.5100000000002</v>
      </c>
      <c r="T68" s="25"/>
      <c r="U68" s="25"/>
      <c r="V68" s="25"/>
      <c r="W68" s="1190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1190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1190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1190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0.12937693045393711</v>
      </c>
      <c r="F72" s="41">
        <f>+SUM(F55:F71)</f>
        <v>74599.095013178317</v>
      </c>
      <c r="G72" s="42"/>
      <c r="H72" s="40"/>
      <c r="I72" s="41"/>
      <c r="J72" s="42" t="s">
        <v>108</v>
      </c>
      <c r="K72" s="40">
        <f>L72/L$27</f>
        <v>0.16199247742739373</v>
      </c>
      <c r="L72" s="41">
        <f>+SUM(L55:L71)</f>
        <v>72906.139999999985</v>
      </c>
      <c r="M72" s="44"/>
      <c r="N72" s="41">
        <f>+SUM(N55:N71)</f>
        <v>-2514.8916798449818</v>
      </c>
      <c r="O72" s="42" t="s">
        <v>108</v>
      </c>
      <c r="P72" s="40">
        <f>Q72/Q$27</f>
        <v>0.12614709139215921</v>
      </c>
      <c r="Q72" s="41">
        <f>+SUM(Q55:Q71)</f>
        <v>66820.739999999991</v>
      </c>
      <c r="R72" s="44"/>
      <c r="S72" s="290">
        <f>+SUM(S55:S71)</f>
        <v>6085.399999999996</v>
      </c>
      <c r="T72" s="25"/>
      <c r="U72" s="25"/>
      <c r="V72" s="24"/>
      <c r="W72" s="1190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1190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0.99443152115297406</v>
      </c>
      <c r="F74" s="41">
        <f>F41+F54+F72</f>
        <v>573391.9584450355</v>
      </c>
      <c r="G74" s="42"/>
      <c r="H74" s="40"/>
      <c r="I74" s="41"/>
      <c r="J74" s="42" t="s">
        <v>108</v>
      </c>
      <c r="K74" s="40">
        <f>L74/L$27</f>
        <v>1.2716591476491503</v>
      </c>
      <c r="L74" s="41">
        <f>L41+L54+L72</f>
        <v>572321.39</v>
      </c>
      <c r="M74" s="44"/>
      <c r="N74" s="46">
        <f t="shared" ref="N74:N82" si="20">L74-F74</f>
        <v>-1070.5684450354893</v>
      </c>
      <c r="O74" s="42" t="s">
        <v>108</v>
      </c>
      <c r="P74" s="40">
        <f>Q74/Q$27</f>
        <v>0.84834233003972692</v>
      </c>
      <c r="Q74" s="41">
        <f>Q41+Q54+Q72</f>
        <v>449371.14</v>
      </c>
      <c r="R74" s="44"/>
      <c r="S74" s="286">
        <f>L74-Q74</f>
        <v>122950.25</v>
      </c>
      <c r="T74" s="25"/>
      <c r="U74" s="25"/>
      <c r="V74" s="24"/>
      <c r="W74" s="1190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125219.79723076928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110662.43</v>
      </c>
      <c r="M75" s="228"/>
      <c r="N75" s="230">
        <f t="shared" si="20"/>
        <v>-14557.36723076929</v>
      </c>
      <c r="O75" s="228"/>
      <c r="P75" s="183"/>
      <c r="Q75" s="478" cm="1">
        <f t="array" ref="Q75">+SUMPRODUCT(('Réel 2023'!$A$8:$A$501=$A75)*('Réel 2023'!$C$3:$AO$3=Q$2),'Réel 2023'!$C$8:$AO$501)</f>
        <v>114797.08000000002</v>
      </c>
      <c r="R75" s="228"/>
      <c r="S75" s="202"/>
      <c r="T75" s="25"/>
      <c r="U75" s="25"/>
      <c r="V75" s="24"/>
      <c r="W75" s="1190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1190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1190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143108.33969230775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121402.4</v>
      </c>
      <c r="M78" s="228"/>
      <c r="N78" s="230">
        <f t="shared" si="20"/>
        <v>-21705.939692307758</v>
      </c>
      <c r="O78" s="228"/>
      <c r="P78" s="183"/>
      <c r="Q78" s="478" cm="1">
        <f t="array" ref="Q78">+SUMPRODUCT(('Réel 2023'!$A$8:$A$501=$A78)*('Réel 2023'!$C$3:$AO$3=Q$2),'Réel 2023'!$C$8:$AO$501)</f>
        <v>125811.70000000001</v>
      </c>
      <c r="R78" s="228"/>
      <c r="S78" s="202">
        <f t="shared" si="21"/>
        <v>-4409.3000000000175</v>
      </c>
      <c r="T78" s="25"/>
      <c r="U78" s="25"/>
      <c r="V78" s="24"/>
      <c r="W78" s="1190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1190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1190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1190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49480.2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39270</v>
      </c>
      <c r="M82" s="228"/>
      <c r="N82" s="230">
        <f t="shared" si="20"/>
        <v>-10210.199999999997</v>
      </c>
      <c r="O82" s="228"/>
      <c r="P82" s="183"/>
      <c r="Q82" s="478" cm="1">
        <f t="array" ref="Q82">+SUMPRODUCT(('Réel 2023'!$A$8:$A$501=$A82)*('Réel 2023'!$C$3:$AO$3=Q$2),'Réel 2023'!$C$8:$AO$501)</f>
        <v>39865</v>
      </c>
      <c r="R82" s="228"/>
      <c r="S82" s="202">
        <f t="shared" si="21"/>
        <v>-595</v>
      </c>
      <c r="T82" s="25"/>
      <c r="U82" s="25"/>
      <c r="V82" s="24"/>
      <c r="W82" s="1190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317808.33692307706</v>
      </c>
      <c r="G83" s="42"/>
      <c r="H83" s="40"/>
      <c r="I83" s="41"/>
      <c r="J83" s="42"/>
      <c r="K83" s="40"/>
      <c r="L83" s="41">
        <f>+SUM(L75:L82)</f>
        <v>271334.82999999996</v>
      </c>
      <c r="M83" s="44"/>
      <c r="N83" s="41">
        <f>+SUM(N75:N82)</f>
        <v>-46473.506923077046</v>
      </c>
      <c r="O83" s="42"/>
      <c r="P83" s="40"/>
      <c r="Q83" s="41">
        <f>+SUM(Q75:Q82)</f>
        <v>280473.78000000003</v>
      </c>
      <c r="R83" s="44"/>
      <c r="S83" s="290">
        <f>+SUM(S75:S82)</f>
        <v>-5004.3000000000175</v>
      </c>
      <c r="T83" s="25"/>
      <c r="U83" s="25"/>
      <c r="V83" s="24"/>
      <c r="W83" s="1190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1190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321019.13718809077</v>
      </c>
      <c r="G85" s="384"/>
      <c r="H85" s="314"/>
      <c r="I85" s="311"/>
      <c r="J85" s="384"/>
      <c r="K85" s="310"/>
      <c r="L85" s="311">
        <f>L27-L74+L83</f>
        <v>149072.2400000004</v>
      </c>
      <c r="M85" s="384"/>
      <c r="N85" s="311">
        <f>N27-N41-N54-N72+N83</f>
        <v>-171124.96052142367</v>
      </c>
      <c r="O85" s="384"/>
      <c r="P85" s="310"/>
      <c r="Q85" s="311">
        <f>Q27-Q74+Q83</f>
        <v>360807.59999999963</v>
      </c>
      <c r="R85" s="384"/>
      <c r="S85" s="315">
        <f>S27-S41-S54-S72+S83</f>
        <v>-220144.61999999924</v>
      </c>
      <c r="T85" s="25"/>
      <c r="U85" s="25"/>
      <c r="V85" s="24"/>
      <c r="W85" s="1190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1190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1190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20.2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W88" s="1190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Avril 2024 AAD</v>
      </c>
      <c r="T89" s="21"/>
      <c r="U89" s="21"/>
      <c r="V89" s="18"/>
      <c r="W89" s="1190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W90" s="1190"/>
    </row>
    <row r="91" spans="1:40" ht="21" thickTop="1">
      <c r="B91" s="24"/>
      <c r="C91" s="255"/>
      <c r="D91" s="1243" t="s">
        <v>77</v>
      </c>
      <c r="E91" s="1244"/>
      <c r="F91" s="1245"/>
      <c r="G91" s="1246"/>
      <c r="H91" s="1244"/>
      <c r="I91" s="1245"/>
      <c r="J91" s="1246" t="s">
        <v>78</v>
      </c>
      <c r="K91" s="1244"/>
      <c r="L91" s="1245"/>
      <c r="M91" s="1246" t="s">
        <v>2451</v>
      </c>
      <c r="N91" s="1245"/>
      <c r="O91" s="1243" t="s">
        <v>79</v>
      </c>
      <c r="P91" s="1244"/>
      <c r="Q91" s="1245"/>
      <c r="R91" s="1247" t="s">
        <v>2455</v>
      </c>
      <c r="S91" s="1248"/>
      <c r="T91" s="25"/>
      <c r="U91" s="25"/>
      <c r="V91" s="24"/>
      <c r="W91" s="1190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1190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4565000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4874227.919999999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4940937.4799999902</v>
      </c>
      <c r="R93" s="346"/>
      <c r="S93" s="349"/>
      <c r="T93" s="25"/>
      <c r="U93" s="25"/>
      <c r="V93" s="24"/>
      <c r="W93" s="1190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19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57000</v>
      </c>
      <c r="G94" s="187"/>
      <c r="H94" s="184"/>
      <c r="I94" s="184"/>
      <c r="J94" s="187">
        <f>-SUMIFS(BV_Data_An_Cour!$P:$P,BV_Data_An_Cour!$U:$U,$B94,BV_Data_An_Cour!$V:$V,$C94,BV_Data_An_Cour!$W:$W,J$2)</f>
        <v>24</v>
      </c>
      <c r="K94" s="184">
        <f>IF(J94=0,0,L94/J94)</f>
        <v>2466.0008333333285</v>
      </c>
      <c r="L94" s="185">
        <f>-SUMIFS(BV_Data_An_Cour!$P:$P,BV_Data_An_Cour!$U:$U,$B94,BV_Data_An_Cour!$V:$V,$C94,BV_Data_An_Cour!$W:$W,$L2)</f>
        <v>59184.019999999888</v>
      </c>
      <c r="M94" s="187">
        <f>J94-D94</f>
        <v>5</v>
      </c>
      <c r="N94" s="185">
        <f>L94-F94</f>
        <v>2184.0199999998877</v>
      </c>
      <c r="O94" s="187" cm="1">
        <f t="array" ref="O94">+SUMPRODUCT(('Réel 2023'!$A$8:$A$501=$A94)*('Réel 2023'!$C$3:$AO$3=O$2),'Réel 2023'!$C$8:$AO$501)</f>
        <v>14</v>
      </c>
      <c r="P94" s="184">
        <f t="shared" ref="P94:P100" si="24">IF(O94=0,0,Q94/O94)</f>
        <v>3134.9214285714293</v>
      </c>
      <c r="Q94" s="185" cm="1">
        <f t="array" ref="Q94">+SUMPRODUCT(('Réel 2023'!$A$8:$A$501=$A94)*('Réel 2023'!$C$3:$AO$3=Q$2),'Réel 2023'!$C$8:$AO$501)</f>
        <v>43888.900000000009</v>
      </c>
      <c r="R94" s="187">
        <f>J94-O94</f>
        <v>10</v>
      </c>
      <c r="S94" s="350">
        <f>L94-Q94</f>
        <v>15295.119999999879</v>
      </c>
      <c r="T94" s="25"/>
      <c r="U94" s="25"/>
      <c r="V94" s="24"/>
      <c r="W94" s="1190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14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30800</v>
      </c>
      <c r="G95" s="187"/>
      <c r="H95" s="184"/>
      <c r="I95" s="184"/>
      <c r="J95" s="187">
        <f>-SUMIFS(BV_Data_An_Cour!$P:$P,BV_Data_An_Cour!$U:$U,$B95,BV_Data_An_Cour!$V:$V,$C95,BV_Data_An_Cour!$W:$W,J$2)</f>
        <v>22</v>
      </c>
      <c r="K95" s="184">
        <f>IF(J95=0,0,L95/J95)</f>
        <v>2004.6486363636393</v>
      </c>
      <c r="L95" s="478">
        <f>-SUMIFS(BV_Data_An_Cour!$P:$P,BV_Data_An_Cour!$U:$U,$B95,BV_Data_An_Cour!$V:$V,$C95,BV_Data_An_Cour!$W:$W,$L2)</f>
        <v>44102.270000000062</v>
      </c>
      <c r="M95" s="187">
        <f>J95-D95</f>
        <v>8</v>
      </c>
      <c r="N95" s="185">
        <f>L95-F95</f>
        <v>13302.270000000062</v>
      </c>
      <c r="O95" s="187" cm="1">
        <f t="array" ref="O95">+SUMPRODUCT(('Réel 2023'!$A$8:$A$501=$A95)*('Réel 2023'!$C$3:$AO$3=O$2),'Réel 2023'!$C$8:$AO$501)</f>
        <v>44</v>
      </c>
      <c r="P95" s="184">
        <f t="shared" si="24"/>
        <v>1783.7770454545362</v>
      </c>
      <c r="Q95" s="478" cm="1">
        <f t="array" ref="Q95">+SUMPRODUCT(('Réel 2023'!$A$8:$A$501=$A95)*('Réel 2023'!$C$3:$AO$3=Q$2),'Réel 2023'!$C$8:$AO$501)</f>
        <v>78486.189999999595</v>
      </c>
      <c r="R95" s="187">
        <f>J95-O95</f>
        <v>-22</v>
      </c>
      <c r="S95" s="350">
        <f>L95-Q95</f>
        <v>-34383.919999999533</v>
      </c>
      <c r="T95" s="25"/>
      <c r="U95" s="25"/>
      <c r="V95" s="454"/>
      <c r="W95" s="1190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2822</v>
      </c>
      <c r="D96" s="184" cm="1">
        <f t="array" ref="D96">+SUMPRODUCT(('Budget original'!$A$8:$A$501=$A96)*('Budget original'!$C$3:$AO$3=D$2),'Budget original'!$C$8:$AO$501)</f>
        <v>25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46250</v>
      </c>
      <c r="G96" s="187"/>
      <c r="H96" s="184"/>
      <c r="I96" s="184"/>
      <c r="J96" s="187">
        <f>-SUMIFS(BV_Data_An_Cour!$P:$P,BV_Data_An_Cour!$U:$U,$B96,BV_Data_An_Cour!$V:$V,$C96,BV_Data_An_Cour!$W:$W,J$2)</f>
        <v>21</v>
      </c>
      <c r="K96" s="184">
        <f>IF(J96=0,0,L96/J96)</f>
        <v>1027.3219047619041</v>
      </c>
      <c r="L96" s="478">
        <f>-SUMIFS(BV_Data_An_Cour!$P:$P,BV_Data_An_Cour!$U:$U,$B96,BV_Data_An_Cour!$V:$V,$C96,BV_Data_An_Cour!$W:$W,$L2)</f>
        <v>21573.759999999987</v>
      </c>
      <c r="M96" s="187">
        <f>J96-D96</f>
        <v>-4</v>
      </c>
      <c r="N96" s="185">
        <f>L96-F96</f>
        <v>-24676.240000000013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21</v>
      </c>
      <c r="S96" s="350">
        <f>L96-Q96</f>
        <v>21573.759999999987</v>
      </c>
      <c r="T96" s="25"/>
      <c r="U96" s="25"/>
      <c r="V96" s="454"/>
      <c r="W96" s="1190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58</v>
      </c>
      <c r="E97" s="184">
        <f t="shared" si="23"/>
        <v>2311.2068965517242</v>
      </c>
      <c r="F97" s="352">
        <f>+F94+F95+F96</f>
        <v>134050</v>
      </c>
      <c r="G97" s="353"/>
      <c r="H97" s="351"/>
      <c r="I97" s="352"/>
      <c r="J97" s="353">
        <f>+J94+J95+J96</f>
        <v>67</v>
      </c>
      <c r="K97" s="351">
        <f>IF(J97&lt;=0,0,L97/J97)</f>
        <v>1863.5828358208944</v>
      </c>
      <c r="L97" s="352">
        <f>+L94+L95+L96</f>
        <v>124860.04999999993</v>
      </c>
      <c r="M97" s="353">
        <f>J97-D97</f>
        <v>9</v>
      </c>
      <c r="N97" s="352">
        <f>L97-F97</f>
        <v>-9189.9500000000698</v>
      </c>
      <c r="O97" s="353">
        <f>+O95+O94+O96</f>
        <v>58</v>
      </c>
      <c r="P97" s="351">
        <f t="shared" si="24"/>
        <v>2109.9153448275792</v>
      </c>
      <c r="Q97" s="352">
        <f>+Q94+Q95+Q96</f>
        <v>122375.0899999996</v>
      </c>
      <c r="R97" s="353">
        <f>R94+R95</f>
        <v>-12</v>
      </c>
      <c r="S97" s="354">
        <f>S94+S95</f>
        <v>-19088.799999999654</v>
      </c>
      <c r="T97" s="25"/>
      <c r="U97" s="25"/>
      <c r="V97" s="25"/>
      <c r="W97" s="119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0.15517241379310345</v>
      </c>
      <c r="N98" s="239">
        <f>N97/F97</f>
        <v>-6.8556135770235505E-2</v>
      </c>
      <c r="O98" s="228"/>
      <c r="P98" s="183">
        <f t="shared" si="24"/>
        <v>0</v>
      </c>
      <c r="Q98" s="270"/>
      <c r="R98" s="240">
        <f>R97/O97</f>
        <v>-0.20689655172413793</v>
      </c>
      <c r="S98" s="267">
        <f>IF(Q97=0,0,(S97/Q97))</f>
        <v>-0.15598599355473172</v>
      </c>
      <c r="T98" s="25"/>
      <c r="U98" s="25"/>
      <c r="V98" s="25"/>
      <c r="W98" s="1190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1190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63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23625</v>
      </c>
      <c r="G100" s="187"/>
      <c r="H100" s="184"/>
      <c r="I100" s="184"/>
      <c r="J100" s="187">
        <f>-SUMIFS(BV_Data_An_Cour!$P:$P,BV_Data_An_Cour!$U:$U,$B100,BV_Data_An_Cour!$V:$V,$C100,BV_Data_An_Cour!$W:$W,J$2)</f>
        <v>53</v>
      </c>
      <c r="K100" s="184">
        <f>IF(J100=0,0,L100/J100)</f>
        <v>358.05716981132127</v>
      </c>
      <c r="L100" s="185">
        <f>-SUMIFS(BV_Data_An_Cour!$P:$P,BV_Data_An_Cour!$U:$U,$B100,BV_Data_An_Cour!$V:$V,$C100,BV_Data_An_Cour!$W:$W,L$2)</f>
        <v>18977.030000000028</v>
      </c>
      <c r="M100" s="187">
        <f>J100-D100</f>
        <v>-10</v>
      </c>
      <c r="N100" s="185">
        <f>L100-F100</f>
        <v>-4647.9699999999721</v>
      </c>
      <c r="O100" s="187" cm="1">
        <f t="array" ref="O100">+SUMPRODUCT(('Réel 2023'!$A$8:$A$501=$A100)*('Réel 2023'!$C$3:$AO$3=O$2),'Réel 2023'!$C$8:$AO$501)</f>
        <v>65</v>
      </c>
      <c r="P100" s="184">
        <f t="shared" si="24"/>
        <v>155.01861538461475</v>
      </c>
      <c r="Q100" s="185" cm="1">
        <f t="array" ref="Q100">+SUMPRODUCT(('Réel 2023'!$A$8:$A$501=$A100)*('Réel 2023'!$C$3:$AO$3=Q$2),'Réel 2023'!$C$8:$AO$501)</f>
        <v>10076.209999999959</v>
      </c>
      <c r="R100" s="187">
        <f>J100-O100</f>
        <v>-12</v>
      </c>
      <c r="S100" s="350">
        <f>L100-Q100</f>
        <v>8900.8200000000688</v>
      </c>
      <c r="T100" s="25"/>
      <c r="U100" s="25"/>
      <c r="V100" s="25"/>
      <c r="W100" s="1190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1190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34800</v>
      </c>
      <c r="G102" s="187"/>
      <c r="H102" s="184"/>
      <c r="I102" s="184"/>
      <c r="J102" s="187"/>
      <c r="K102" s="184">
        <f>IF(J97=0,0,L102/J97)</f>
        <v>403.44119402985069</v>
      </c>
      <c r="L102" s="185">
        <f>-SUMIFS(BV_Data_An_Cour!$P:$P,BV_Data_An_Cour!$U:$U,$B102,BV_Data_An_Cour!$V:$V,$C102,BV_Data_An_Cour!$W:$W,$L2)</f>
        <v>27030.559999999998</v>
      </c>
      <c r="M102" s="187"/>
      <c r="N102" s="185">
        <f>L102-F102</f>
        <v>-7769.4400000000023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39178.050000000003</v>
      </c>
      <c r="R102" s="187">
        <f>O102-K102</f>
        <v>-403.44119402985069</v>
      </c>
      <c r="S102" s="350">
        <f>L102-Q102</f>
        <v>-12147.490000000005</v>
      </c>
      <c r="T102" s="25"/>
      <c r="U102" s="25"/>
      <c r="V102" s="25"/>
      <c r="W102" s="1190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51040</v>
      </c>
      <c r="G103" s="187"/>
      <c r="H103" s="184"/>
      <c r="I103" s="184"/>
      <c r="J103" s="187"/>
      <c r="K103" s="184">
        <f>IF(J97=0,0,L103/J97)</f>
        <v>839.57402985074611</v>
      </c>
      <c r="L103" s="185">
        <f>-SUMIFS(BV_Data_An_Cour!$P:$P,BV_Data_An_Cour!$U:$U,$B103,BV_Data_An_Cour!$V:$V,$C103,BV_Data_An_Cour!$W:$W,$L2)</f>
        <v>56251.459999999992</v>
      </c>
      <c r="M103" s="187"/>
      <c r="N103" s="185">
        <f>L103-F103</f>
        <v>5211.4599999999919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41702.89</v>
      </c>
      <c r="R103" s="187">
        <f>O103-K103</f>
        <v>-839.57402985074611</v>
      </c>
      <c r="S103" s="350">
        <f>L103-Q103</f>
        <v>14548.569999999992</v>
      </c>
      <c r="T103" s="25"/>
      <c r="U103" s="25"/>
      <c r="V103" s="25"/>
      <c r="W103" s="1190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9860</v>
      </c>
      <c r="G104" s="187"/>
      <c r="H104" s="357"/>
      <c r="I104" s="184"/>
      <c r="J104" s="187"/>
      <c r="K104" s="357">
        <f>IF(J97=0,0,L104/J97)</f>
        <v>173.98567164179107</v>
      </c>
      <c r="L104" s="185">
        <f>-SUMIFS(BV_Data_An_Cour!$P:$P,BV_Data_An_Cour!$U:$U,$B104,BV_Data_An_Cour!$V:$V,$C104,BV_Data_An_Cour!$W:$W,$L$2)</f>
        <v>11657.04</v>
      </c>
      <c r="M104" s="356"/>
      <c r="N104" s="185">
        <f>L104-F104</f>
        <v>1797.0400000000009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8843.0400000000009</v>
      </c>
      <c r="R104" s="187">
        <f>O104-K104</f>
        <v>-173.98567164179107</v>
      </c>
      <c r="S104" s="350">
        <f>L104-Q104</f>
        <v>2814</v>
      </c>
      <c r="T104" s="25"/>
      <c r="U104" s="25"/>
      <c r="V104" s="25"/>
      <c r="W104" s="1190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58</v>
      </c>
      <c r="E105" s="184">
        <f t="shared" si="26"/>
        <v>1650</v>
      </c>
      <c r="F105" s="352">
        <f>F102+F103+F104</f>
        <v>95700</v>
      </c>
      <c r="G105" s="353"/>
      <c r="H105" s="351"/>
      <c r="I105" s="352"/>
      <c r="J105" s="353">
        <f>J97</f>
        <v>67</v>
      </c>
      <c r="K105" s="351">
        <f>IF(J105&lt;=0,0,L105/J105)</f>
        <v>1417.000895522388</v>
      </c>
      <c r="L105" s="352">
        <f>L102+L103+L104</f>
        <v>94939.06</v>
      </c>
      <c r="M105" s="187">
        <f>J105-D105</f>
        <v>9</v>
      </c>
      <c r="N105" s="352">
        <f>L105-F105</f>
        <v>-760.94000000000233</v>
      </c>
      <c r="O105" s="353">
        <f>O97</f>
        <v>58</v>
      </c>
      <c r="P105" s="351">
        <f t="shared" si="27"/>
        <v>1546.9651724137932</v>
      </c>
      <c r="Q105" s="352">
        <f>Q102+Q103+Q104</f>
        <v>89723.98000000001</v>
      </c>
      <c r="R105" s="361"/>
      <c r="S105" s="354">
        <f>L105-Q105</f>
        <v>5215.0799999999872</v>
      </c>
      <c r="T105" s="25"/>
      <c r="U105" s="25"/>
      <c r="V105" s="25"/>
      <c r="W105" s="1190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-7.9513061650992936E-3</v>
      </c>
      <c r="O106" s="228"/>
      <c r="P106" s="183"/>
      <c r="Q106" s="230"/>
      <c r="R106" s="229"/>
      <c r="S106" s="267">
        <f>IF(Q105=0,0,(S105/Q105))</f>
        <v>5.8123591931610555E-2</v>
      </c>
      <c r="T106" s="25"/>
      <c r="U106" s="25"/>
      <c r="V106" s="25"/>
      <c r="W106" s="1190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1190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121</v>
      </c>
      <c r="E108" s="30">
        <f>IF(D108&lt;=0,0,F108/D108)</f>
        <v>2094.0082644628101</v>
      </c>
      <c r="F108" s="28">
        <f>F97+F105+F100</f>
        <v>253375</v>
      </c>
      <c r="G108" s="29"/>
      <c r="H108" s="30"/>
      <c r="I108" s="28"/>
      <c r="J108" s="29">
        <f>J97+J100</f>
        <v>120</v>
      </c>
      <c r="K108" s="30">
        <f>IF(J108&lt;=0,0,L108/J108)</f>
        <v>1989.8011666666664</v>
      </c>
      <c r="L108" s="28">
        <f>L97+L105+L100</f>
        <v>238776.13999999996</v>
      </c>
      <c r="M108" s="29">
        <f>J108-D108</f>
        <v>-1</v>
      </c>
      <c r="N108" s="28">
        <f>L108-F108</f>
        <v>-14598.860000000044</v>
      </c>
      <c r="O108" s="29">
        <f>O97+O100</f>
        <v>123</v>
      </c>
      <c r="P108" s="30">
        <f>IF(O108&lt;=0,0,Q108/O108)</f>
        <v>1806.3030894308909</v>
      </c>
      <c r="Q108" s="28">
        <f>Q97+Q105+Q100</f>
        <v>222175.27999999956</v>
      </c>
      <c r="R108" s="29">
        <f>J108-O108</f>
        <v>-3</v>
      </c>
      <c r="S108" s="326">
        <f>L108-Q108</f>
        <v>16600.860000000393</v>
      </c>
      <c r="T108" s="25"/>
      <c r="U108" s="25"/>
      <c r="V108" s="25"/>
      <c r="W108" s="1190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-8.2644628099173556E-3</v>
      </c>
      <c r="N109" s="34">
        <f>N108/F108</f>
        <v>-5.7617602368031748E-2</v>
      </c>
      <c r="O109" s="31"/>
      <c r="P109" s="328"/>
      <c r="Q109" s="32"/>
      <c r="R109" s="33">
        <f>O108/R108</f>
        <v>-41</v>
      </c>
      <c r="S109" s="362">
        <f>IF(Q108=0,0,(S108/Q108))</f>
        <v>7.4719653779666328E-2</v>
      </c>
      <c r="T109" s="25"/>
      <c r="U109" s="25"/>
      <c r="V109" s="25"/>
      <c r="W109" s="1190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1190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1190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0.34508400932772604</v>
      </c>
      <c r="E112" s="200">
        <f t="shared" ref="E112:E121" si="28">F112/D$97</f>
        <v>797.56054224795992</v>
      </c>
      <c r="F112" s="184" cm="1">
        <f t="array" ref="F112">+SUMPRODUCT(('Budget original'!$A$8:$A$501=$A112)*('Budget original'!$C$3:$AO$3=F$2),'Budget original'!$C$8:$AO$501)</f>
        <v>46258.511450381673</v>
      </c>
      <c r="G112" s="298"/>
      <c r="H112" s="200"/>
      <c r="I112" s="184"/>
      <c r="J112" s="298">
        <f>L112/L97</f>
        <v>0.37436417813383882</v>
      </c>
      <c r="K112" s="200">
        <f>IF($J$97=0,0,L112/(J$94+J$95+J96))</f>
        <v>697.65865671641791</v>
      </c>
      <c r="L112" s="185">
        <f>SUMIFS(BV_Data_An_Cour!$P:$P,BV_Data_An_Cour!$U:$U,$B112,BV_Data_An_Cour!$V:$V,$C112,BV_Data_An_Cour!$W:$W,$L$2)</f>
        <v>46743.13</v>
      </c>
      <c r="M112" s="228"/>
      <c r="N112" s="230">
        <f t="shared" ref="N112:N153" si="29">L112-F112</f>
        <v>484.61854961832432</v>
      </c>
      <c r="O112" s="298">
        <f>Q112/Q97</f>
        <v>0.39091648471923618</v>
      </c>
      <c r="P112" s="200">
        <f t="shared" ref="P112:P121" si="30">Q112/O$97</f>
        <v>824.80068965517228</v>
      </c>
      <c r="Q112" s="185" cm="1">
        <f t="array" ref="Q112">+SUMPRODUCT(('Réel 2023'!$A$8:$A$501=$A112)*('Réel 2023'!$C$3:$AO$3=Q$2),'Réel 2023'!$C$8:$AO$501)</f>
        <v>47838.439999999995</v>
      </c>
      <c r="R112" s="228"/>
      <c r="S112" s="202">
        <f t="shared" ref="S112:S122" si="31">L112-Q112</f>
        <v>-1095.3099999999977</v>
      </c>
      <c r="T112" s="25"/>
      <c r="U112" s="25"/>
      <c r="V112" s="25"/>
      <c r="W112" s="1190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0.21787003919860493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23925</v>
      </c>
      <c r="G113" s="325"/>
      <c r="H113" s="363"/>
      <c r="I113" s="182"/>
      <c r="J113" s="325">
        <f>L113/L105</f>
        <v>0.35286487985029558</v>
      </c>
      <c r="K113" s="363">
        <f>IF($J$97=0,0,L113/(J$94+J$95+J96))</f>
        <v>500.00985074626868</v>
      </c>
      <c r="L113" s="185">
        <f>SUMIFS(BV_Data_An_Cour!$P:$P,BV_Data_An_Cour!$U:$U,$B113,BV_Data_An_Cour!$V:$V,$C113,BV_Data_An_Cour!$W:$W,$L$2)</f>
        <v>33500.660000000003</v>
      </c>
      <c r="M113" s="283"/>
      <c r="N113" s="284">
        <f t="shared" si="29"/>
        <v>9575.6600000000035</v>
      </c>
      <c r="O113" s="325">
        <f>Q113/(Q105+Q19)</f>
        <v>0.18578644464286659</v>
      </c>
      <c r="P113" s="363">
        <f t="shared" si="30"/>
        <v>373.16431034482758</v>
      </c>
      <c r="Q113" s="185" cm="1">
        <f t="array" ref="Q113">+SUMPRODUCT(('Réel 2023'!$A$8:$A$501=$A113)*('Réel 2023'!$C$3:$AO$3=Q$2),'Réel 2023'!$C$8:$AO$501)</f>
        <v>21643.53</v>
      </c>
      <c r="R113" s="283"/>
      <c r="S113" s="205">
        <f t="shared" si="31"/>
        <v>11857.130000000005</v>
      </c>
      <c r="T113" s="25"/>
      <c r="U113" s="25"/>
      <c r="V113" s="25"/>
      <c r="W113" s="1190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6380</v>
      </c>
      <c r="G114" s="274"/>
      <c r="H114" s="200"/>
      <c r="I114" s="184"/>
      <c r="J114" s="228"/>
      <c r="K114" s="200">
        <f>IF($J$97=0,0,L114/(J$94+J$95+J96))</f>
        <v>80.199999999999989</v>
      </c>
      <c r="L114" s="186">
        <f>SUMIFS(BV_Data_An_Cour!$P:$P,BV_Data_An_Cour!$U:$U,$B114,BV_Data_An_Cour!$V:$V,$C114,BV_Data_An_Cour!$W:$W,$L$2)</f>
        <v>5373.4</v>
      </c>
      <c r="M114" s="228"/>
      <c r="N114" s="230">
        <f t="shared" si="29"/>
        <v>-1006.6000000000004</v>
      </c>
      <c r="O114" s="228"/>
      <c r="P114" s="200">
        <f t="shared" si="30"/>
        <v>113.23706896551724</v>
      </c>
      <c r="Q114" s="186" cm="1">
        <f t="array" ref="Q114">+SUMPRODUCT(('Réel 2023'!$A$8:$A$501=$A114)*('Réel 2023'!$C$3:$AO$3=Q$2),'Réel 2023'!$C$8:$AO$501)</f>
        <v>6567.75</v>
      </c>
      <c r="R114" s="228"/>
      <c r="S114" s="202">
        <f t="shared" si="31"/>
        <v>-1194.3500000000004</v>
      </c>
      <c r="T114" s="25"/>
      <c r="U114" s="25"/>
      <c r="V114" s="25"/>
      <c r="W114" s="1190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5220</v>
      </c>
      <c r="G115" s="274"/>
      <c r="H115" s="200"/>
      <c r="I115" s="184"/>
      <c r="J115" s="228"/>
      <c r="K115" s="200">
        <f>IF($J$97=0,0,L115/(J$94+J$95+J96))</f>
        <v>73.798059701492548</v>
      </c>
      <c r="L115" s="185">
        <f>SUMIFS(BV_Data_An_Cour!$P:$P,BV_Data_An_Cour!$U:$U,$B115,BV_Data_An_Cour!$V:$V,$C115,BV_Data_An_Cour!$W:$W,$L$2)</f>
        <v>4944.47</v>
      </c>
      <c r="M115" s="228"/>
      <c r="N115" s="230">
        <f t="shared" si="29"/>
        <v>-275.52999999999975</v>
      </c>
      <c r="O115" s="228"/>
      <c r="P115" s="200">
        <f t="shared" si="30"/>
        <v>68.223620689655178</v>
      </c>
      <c r="Q115" s="185" cm="1">
        <f t="array" ref="Q115">+SUMPRODUCT(('Réel 2023'!$A$8:$A$501=$A115)*('Réel 2023'!$C$3:$AO$3=Q$2),'Réel 2023'!$C$8:$AO$501)</f>
        <v>3956.9700000000003</v>
      </c>
      <c r="R115" s="228"/>
      <c r="S115" s="202">
        <f t="shared" si="31"/>
        <v>987.5</v>
      </c>
      <c r="T115" s="25"/>
      <c r="U115" s="25"/>
      <c r="V115" s="25"/>
      <c r="W115" s="1190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135.34482758620689</v>
      </c>
      <c r="F116" s="182" cm="1">
        <f t="array" ref="F116">+SUMPRODUCT(('Budget original'!$A$8:$A$501=$A116)*('Budget original'!$C$3:$AO$3=F$2),'Budget original'!$C$8:$AO$501)</f>
        <v>7850</v>
      </c>
      <c r="G116" s="282"/>
      <c r="H116" s="363"/>
      <c r="I116" s="182"/>
      <c r="J116" s="283"/>
      <c r="K116" s="363">
        <f>IF($J$97=0,0,L116/(J$94+J$95+J96))</f>
        <v>99.993432835820897</v>
      </c>
      <c r="L116" s="355">
        <f>SUMIFS(BV_Data_An_Cour!$P:$P,BV_Data_An_Cour!$U:$U,$B116,BV_Data_An_Cour!$V:$V,$C116,BV_Data_An_Cour!$W:$W,$L$2)</f>
        <v>6699.56</v>
      </c>
      <c r="M116" s="283"/>
      <c r="N116" s="284">
        <f t="shared" si="29"/>
        <v>-1150.4399999999996</v>
      </c>
      <c r="O116" s="283"/>
      <c r="P116" s="363">
        <f t="shared" si="30"/>
        <v>117.25586206896551</v>
      </c>
      <c r="Q116" s="355" cm="1">
        <f t="array" ref="Q116">+SUMPRODUCT(('Réel 2023'!$A$8:$A$501=$A116)*('Réel 2023'!$C$3:$AO$3=Q$2),'Réel 2023'!$C$8:$AO$501)</f>
        <v>6800.84</v>
      </c>
      <c r="R116" s="283"/>
      <c r="S116" s="205">
        <f t="shared" si="31"/>
        <v>-101.27999999999975</v>
      </c>
      <c r="T116" s="25"/>
      <c r="U116" s="25"/>
      <c r="V116" s="25"/>
      <c r="W116" s="1190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481.79885057471267</v>
      </c>
      <c r="F117" s="184" cm="1">
        <f t="array" ref="F117">+SUMPRODUCT(('Budget original'!$A$8:$A$501=$A117)*('Budget original'!$C$3:$AO$3=F$2),'Budget original'!$C$8:$AO$501)</f>
        <v>27944.333333333336</v>
      </c>
      <c r="G117" s="274"/>
      <c r="H117" s="200"/>
      <c r="I117" s="184"/>
      <c r="J117" s="228"/>
      <c r="K117" s="200">
        <f t="shared" ref="K117:K121" si="32">IF($J$97=0,0,L117/(J$94+J$95))</f>
        <v>593.17782608695654</v>
      </c>
      <c r="L117" s="185">
        <f>SUMIFS(BV_Data_An_Cour!$P:$P,BV_Data_An_Cour!$U:$U,$B117,BV_Data_An_Cour!$V:$V,$C117,BV_Data_An_Cour!$W:$W,$L$2)</f>
        <v>27286.18</v>
      </c>
      <c r="M117" s="228"/>
      <c r="N117" s="230">
        <f t="shared" si="29"/>
        <v>-658.15333333333547</v>
      </c>
      <c r="O117" s="228"/>
      <c r="P117" s="200">
        <f t="shared" si="30"/>
        <v>379.73931034482729</v>
      </c>
      <c r="Q117" s="185" cm="1">
        <f t="array" ref="Q117">+SUMPRODUCT(('Réel 2023'!$A$8:$A$501=$A117)*('Réel 2023'!$C$3:$AO$3=Q$2),'Réel 2023'!$C$8:$AO$501)</f>
        <v>22024.879999999983</v>
      </c>
      <c r="R117" s="228"/>
      <c r="S117" s="202">
        <f t="shared" si="31"/>
        <v>5261.3000000000175</v>
      </c>
      <c r="T117" s="25"/>
      <c r="U117" s="25"/>
      <c r="V117" s="25"/>
      <c r="W117" s="1190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539.79732696734243</v>
      </c>
      <c r="F118" s="184" cm="1">
        <f t="array" ref="F118">+SUMPRODUCT(('Budget original'!$A$8:$A$501=$A118)*('Budget original'!$C$3:$AO$3=F$2),'Budget original'!$C$8:$AO$501)</f>
        <v>31308.244964105863</v>
      </c>
      <c r="G118" s="274"/>
      <c r="H118" s="200"/>
      <c r="I118" s="184"/>
      <c r="J118" s="228"/>
      <c r="K118" s="200">
        <f t="shared" si="32"/>
        <v>761.9021739130435</v>
      </c>
      <c r="L118" s="185">
        <f>SUMIFS(BV_Data_An_Cour!$P:$P,BV_Data_An_Cour!$U:$U,$B118,BV_Data_An_Cour!$V:$V,$C118,BV_Data_An_Cour!$W:$W,$L$2)</f>
        <v>35047.5</v>
      </c>
      <c r="M118" s="228"/>
      <c r="N118" s="230">
        <f t="shared" si="29"/>
        <v>3739.2550358941371</v>
      </c>
      <c r="O118" s="228"/>
      <c r="P118" s="200">
        <f t="shared" si="30"/>
        <v>445.9512068965517</v>
      </c>
      <c r="Q118" s="185" cm="1">
        <f t="array" ref="Q118">+SUMPRODUCT(('Réel 2023'!$A$8:$A$501=$A118)*('Réel 2023'!$C$3:$AO$3=Q$2),'Réel 2023'!$C$8:$AO$501)</f>
        <v>25865.17</v>
      </c>
      <c r="R118" s="228"/>
      <c r="S118" s="202">
        <f>L118-Q118</f>
        <v>9182.3300000000017</v>
      </c>
      <c r="T118" s="25"/>
      <c r="U118" s="25"/>
      <c r="V118" s="25"/>
      <c r="W118" s="1190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119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1190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1190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0.58761160235943111</v>
      </c>
      <c r="F122" s="41">
        <f>SUM(F112:F121)</f>
        <v>148886.08974782086</v>
      </c>
      <c r="G122" s="42"/>
      <c r="H122" s="40"/>
      <c r="I122" s="41"/>
      <c r="J122" s="42" t="s">
        <v>108</v>
      </c>
      <c r="K122" s="40">
        <f>L122/L$108</f>
        <v>0.66838713449342146</v>
      </c>
      <c r="L122" s="41">
        <f>SUM(L112:L121)</f>
        <v>159594.9</v>
      </c>
      <c r="M122" s="44"/>
      <c r="N122" s="41">
        <f t="shared" si="29"/>
        <v>10708.81025217913</v>
      </c>
      <c r="O122" s="42" t="s">
        <v>108</v>
      </c>
      <c r="P122" s="40">
        <f>Q122/Q$108</f>
        <v>0.60626717787865614</v>
      </c>
      <c r="Q122" s="41">
        <f>SUM(Q112:Q121)</f>
        <v>134697.57999999996</v>
      </c>
      <c r="R122" s="44"/>
      <c r="S122" s="290">
        <f t="shared" si="31"/>
        <v>24897.320000000036</v>
      </c>
      <c r="T122" s="25"/>
      <c r="U122" s="25"/>
      <c r="V122" s="25"/>
      <c r="W122" s="1190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19999.443256997456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17029.310000000001</v>
      </c>
      <c r="M123" s="228"/>
      <c r="N123" s="230">
        <f t="shared" si="29"/>
        <v>-2970.1332569974547</v>
      </c>
      <c r="O123" s="228"/>
      <c r="P123" s="183"/>
      <c r="Q123" s="185" cm="1">
        <f t="array" ref="Q123">+SUMPRODUCT(('Réel 2023'!$A$8:$A$501=$A123)*('Réel 2023'!$C$3:$AO$3=Q$2),'Réel 2023'!$C$8:$AO$501)</f>
        <v>6168.4</v>
      </c>
      <c r="R123" s="228"/>
      <c r="S123" s="202"/>
      <c r="T123" s="183"/>
      <c r="U123" s="183"/>
      <c r="V123" s="183"/>
      <c r="W123" s="1190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10800.603816793893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10774.81</v>
      </c>
      <c r="M124" s="228"/>
      <c r="N124" s="230">
        <f t="shared" si="29"/>
        <v>-25.793816793893711</v>
      </c>
      <c r="O124" s="228"/>
      <c r="P124" s="183"/>
      <c r="Q124" s="182" cm="1">
        <f t="array" ref="Q124">+SUMPRODUCT(('Réel 2023'!$A$8:$A$501=$A124)*('Réel 2023'!$C$3:$AO$3=Q$2),'Réel 2023'!$C$8:$AO$501)</f>
        <v>19139.190000000002</v>
      </c>
      <c r="R124" s="228"/>
      <c r="S124" s="202">
        <f t="shared" ref="S124:S153" si="33">L124-Q124</f>
        <v>-8364.3800000000028</v>
      </c>
      <c r="T124" s="183"/>
      <c r="U124" s="183"/>
      <c r="V124" s="183"/>
      <c r="W124" s="1190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11236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11236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11236</v>
      </c>
      <c r="R125" s="278"/>
      <c r="S125" s="204">
        <f t="shared" si="33"/>
        <v>0</v>
      </c>
      <c r="T125" s="183"/>
      <c r="U125" s="183"/>
      <c r="V125" s="183"/>
      <c r="W125" s="1190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190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190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190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190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11792.303325532643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14402.86</v>
      </c>
      <c r="M130" s="228"/>
      <c r="N130" s="230">
        <f t="shared" si="29"/>
        <v>2610.5566744673579</v>
      </c>
      <c r="O130" s="228"/>
      <c r="P130" s="183"/>
      <c r="Q130" s="185" cm="1">
        <f t="array" ref="Q130">+SUMPRODUCT(('Réel 2023'!$A$8:$A$501=$A130)*('Réel 2023'!$C$3:$AO$3=Q$2),'Réel 2023'!$C$8:$AO$501)</f>
        <v>11432.69</v>
      </c>
      <c r="R130" s="228"/>
      <c r="S130" s="202">
        <f>L130-Q130</f>
        <v>2970.17</v>
      </c>
      <c r="T130" s="25"/>
      <c r="U130" s="25"/>
      <c r="V130" s="25"/>
      <c r="W130" s="1190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16075.893011704833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16365.76</v>
      </c>
      <c r="M131" s="278"/>
      <c r="N131" s="279">
        <f t="shared" si="29"/>
        <v>289.86698829516718</v>
      </c>
      <c r="O131" s="278"/>
      <c r="P131" s="276"/>
      <c r="Q131" s="379" cm="1">
        <f t="array" ref="Q131">+SUMPRODUCT(('Réel 2023'!$A$8:$A$501=$A131)*('Réel 2023'!$C$3:$AO$3=Q$2),'Réel 2023'!$C$8:$AO$501)</f>
        <v>19297.2</v>
      </c>
      <c r="R131" s="278"/>
      <c r="S131" s="204">
        <f t="shared" si="33"/>
        <v>-2931.4400000000005</v>
      </c>
      <c r="T131" s="25"/>
      <c r="U131" s="25"/>
      <c r="V131" s="25"/>
      <c r="W131" s="1190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7328.715931806616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7471.57</v>
      </c>
      <c r="M132" s="228"/>
      <c r="N132" s="230">
        <f t="shared" si="29"/>
        <v>142.85406819338368</v>
      </c>
      <c r="O132" s="228"/>
      <c r="P132" s="183"/>
      <c r="Q132" s="185" cm="1">
        <f t="array" ref="Q132">+SUMPRODUCT(('Réel 2023'!$A$8:$A$501=$A132)*('Réel 2023'!$C$3:$AO$3=Q$2),'Réel 2023'!$C$8:$AO$501)</f>
        <v>6429.27</v>
      </c>
      <c r="R132" s="228"/>
      <c r="S132" s="202">
        <f t="shared" si="33"/>
        <v>1042.2999999999993</v>
      </c>
      <c r="T132" s="183"/>
      <c r="U132" s="183"/>
      <c r="V132" s="183"/>
      <c r="W132" s="1190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1654.8713394402034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2153.6799999999998</v>
      </c>
      <c r="M133" s="228"/>
      <c r="N133" s="230">
        <f t="shared" si="29"/>
        <v>498.80866055979641</v>
      </c>
      <c r="O133" s="228"/>
      <c r="P133" s="183"/>
      <c r="Q133" s="185" cm="1">
        <f t="array" ref="Q133">+SUMPRODUCT(('Réel 2023'!$A$8:$A$501=$A133)*('Réel 2023'!$C$3:$AO$3=Q$2),'Réel 2023'!$C$8:$AO$501)</f>
        <v>2243.35</v>
      </c>
      <c r="R133" s="228"/>
      <c r="S133" s="202">
        <f t="shared" si="33"/>
        <v>-89.670000000000073</v>
      </c>
      <c r="T133" s="183"/>
      <c r="U133" s="183"/>
      <c r="V133" s="183"/>
      <c r="W133" s="1190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83"/>
      <c r="N134" s="199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190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0.31134812306768878</v>
      </c>
      <c r="F135" s="41">
        <f>+SUM(F123:F134)</f>
        <v>78887.830682275642</v>
      </c>
      <c r="G135" s="42"/>
      <c r="H135" s="40"/>
      <c r="I135" s="41"/>
      <c r="J135" s="42" t="s">
        <v>108</v>
      </c>
      <c r="K135" s="40">
        <f>L135/L$108</f>
        <v>0.33267138835563725</v>
      </c>
      <c r="L135" s="41">
        <f>SUM(L123:L134)</f>
        <v>79433.989999999991</v>
      </c>
      <c r="M135" s="43"/>
      <c r="N135" s="46">
        <f t="shared" si="29"/>
        <v>546.15931772434851</v>
      </c>
      <c r="O135" s="42" t="s">
        <v>108</v>
      </c>
      <c r="P135" s="40">
        <f>Q135/Q$108</f>
        <v>0.34182965809697718</v>
      </c>
      <c r="Q135" s="41">
        <f>+SUM(Q123:Q134)</f>
        <v>75946.10000000002</v>
      </c>
      <c r="R135" s="43"/>
      <c r="S135" s="286">
        <f t="shared" si="33"/>
        <v>3487.8899999999703</v>
      </c>
      <c r="T135" s="25"/>
      <c r="U135" s="25"/>
      <c r="V135" s="25"/>
      <c r="W135" s="1190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1190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1190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3431.333333333333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4350.92</v>
      </c>
      <c r="M138" s="283"/>
      <c r="N138" s="284">
        <f t="shared" si="29"/>
        <v>919.58666666666704</v>
      </c>
      <c r="O138" s="283"/>
      <c r="P138" s="281"/>
      <c r="Q138" s="182" cm="1">
        <f t="array" ref="Q138">+SUMPRODUCT(('Réel 2023'!$A$8:$A$501=$A138)*('Réel 2023'!$C$3:$AO$3=Q$2),'Réel 2023'!$C$8:$AO$501)</f>
        <v>3015.8399999999997</v>
      </c>
      <c r="R138" s="283"/>
      <c r="S138" s="205">
        <f t="shared" si="33"/>
        <v>1335.0800000000004</v>
      </c>
      <c r="T138" s="25"/>
      <c r="U138" s="25"/>
      <c r="V138" s="25"/>
      <c r="W138" s="1190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5679.6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5123.3999999999996</v>
      </c>
      <c r="M139" s="228"/>
      <c r="N139" s="230">
        <f t="shared" si="29"/>
        <v>-556.20000000000073</v>
      </c>
      <c r="O139" s="228"/>
      <c r="P139" s="183"/>
      <c r="Q139" s="185" cm="1">
        <f t="array" ref="Q139">+SUMPRODUCT(('Réel 2023'!$A$8:$A$501=$A139)*('Réel 2023'!$C$3:$AO$3=Q$2),'Réel 2023'!$C$8:$AO$501)</f>
        <v>5458.41</v>
      </c>
      <c r="R139" s="228"/>
      <c r="S139" s="202">
        <f t="shared" si="33"/>
        <v>-335.01000000000022</v>
      </c>
      <c r="T139" s="25"/>
      <c r="U139" s="25"/>
      <c r="V139" s="25"/>
      <c r="W139" s="1190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731.2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1008.36</v>
      </c>
      <c r="M140" s="228"/>
      <c r="N140" s="230">
        <f t="shared" si="29"/>
        <v>277.15999999999997</v>
      </c>
      <c r="O140" s="228"/>
      <c r="P140" s="183"/>
      <c r="Q140" s="185" cm="1">
        <f t="array" ref="Q140">+SUMPRODUCT(('Réel 2023'!$A$8:$A$501=$A140)*('Réel 2023'!$C$3:$AO$3=Q$2),'Réel 2023'!$C$8:$AO$501)</f>
        <v>602.42000000000007</v>
      </c>
      <c r="R140" s="228"/>
      <c r="S140" s="202">
        <f t="shared" si="33"/>
        <v>405.93999999999994</v>
      </c>
      <c r="T140" s="458"/>
      <c r="U140" s="25"/>
      <c r="V140" s="25"/>
      <c r="W140" s="1190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2448.4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2869.28</v>
      </c>
      <c r="M141" s="283"/>
      <c r="N141" s="284">
        <f t="shared" si="29"/>
        <v>420.88000000000011</v>
      </c>
      <c r="O141" s="283"/>
      <c r="P141" s="281"/>
      <c r="Q141" s="182" cm="1">
        <f t="array" ref="Q141">+SUMPRODUCT(('Réel 2023'!$A$8:$A$501=$A141)*('Réel 2023'!$C$3:$AO$3=Q$2),'Réel 2023'!$C$8:$AO$501)</f>
        <v>2564.92</v>
      </c>
      <c r="R141" s="283"/>
      <c r="S141" s="205">
        <f t="shared" si="33"/>
        <v>304.36000000000013</v>
      </c>
      <c r="T141" s="25"/>
      <c r="U141" s="25"/>
      <c r="V141" s="25"/>
      <c r="W141" s="1190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127.94117647058825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5</v>
      </c>
      <c r="M142" s="228"/>
      <c r="N142" s="230">
        <f t="shared" si="29"/>
        <v>-122.94117647058825</v>
      </c>
      <c r="O142" s="228"/>
      <c r="P142" s="183"/>
      <c r="Q142" s="185" cm="1">
        <f t="array" ref="Q142">+SUMPRODUCT(('Réel 2023'!$A$8:$A$501=$A142)*('Réel 2023'!$C$3:$AO$3=Q$2),'Réel 2023'!$C$8:$AO$501)</f>
        <v>162.89999999999998</v>
      </c>
      <c r="R142" s="228"/>
      <c r="S142" s="202">
        <f t="shared" si="33"/>
        <v>-157.89999999999998</v>
      </c>
      <c r="T142" s="25"/>
      <c r="U142" s="25"/>
      <c r="V142" s="25"/>
      <c r="W142" s="1190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20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0</v>
      </c>
      <c r="M143" s="228"/>
      <c r="N143" s="230">
        <f t="shared" si="29"/>
        <v>-20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-34.46</v>
      </c>
      <c r="T143" s="25"/>
      <c r="U143" s="25"/>
      <c r="V143" s="25"/>
      <c r="W143" s="1190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700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544.16</v>
      </c>
      <c r="M144" s="228"/>
      <c r="N144" s="230">
        <f t="shared" si="29"/>
        <v>-155.84000000000003</v>
      </c>
      <c r="O144" s="228"/>
      <c r="P144" s="183"/>
      <c r="Q144" s="478" cm="1">
        <f t="array" ref="Q144">+SUMPRODUCT(('Réel 2023'!$A$8:$A$501=$A144)*('Réel 2023'!$C$3:$AO$3=Q$2),'Réel 2023'!$C$8:$AO$501)</f>
        <v>778.63</v>
      </c>
      <c r="R144" s="228"/>
      <c r="S144" s="202">
        <f t="shared" si="33"/>
        <v>-234.47000000000003</v>
      </c>
      <c r="T144" s="25"/>
      <c r="U144" s="25"/>
      <c r="V144" s="25"/>
      <c r="W144" s="1190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252.8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325.12</v>
      </c>
      <c r="M145" s="228"/>
      <c r="N145" s="230">
        <f t="shared" si="29"/>
        <v>72.319999999999993</v>
      </c>
      <c r="O145" s="228"/>
      <c r="P145" s="183"/>
      <c r="Q145" s="185" cm="1">
        <f t="array" ref="Q145">+SUMPRODUCT(('Réel 2023'!$A$8:$A$501=$A145)*('Réel 2023'!$C$3:$AO$3=Q$2),'Réel 2023'!$C$8:$AO$501)</f>
        <v>343.81</v>
      </c>
      <c r="R145" s="228"/>
      <c r="S145" s="202">
        <f t="shared" si="33"/>
        <v>-18.689999999999998</v>
      </c>
      <c r="T145" s="25"/>
      <c r="U145" s="25"/>
      <c r="V145" s="25"/>
      <c r="W145" s="1190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200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475.56</v>
      </c>
      <c r="M146" s="228"/>
      <c r="N146" s="230">
        <f t="shared" si="29"/>
        <v>275.56</v>
      </c>
      <c r="O146" s="228"/>
      <c r="P146" s="183"/>
      <c r="Q146" s="185" cm="1">
        <f t="array" ref="Q146">+SUMPRODUCT(('Réel 2023'!$A$8:$A$501=$A146)*('Réel 2023'!$C$3:$AO$3=Q$2),'Réel 2023'!$C$8:$AO$501)</f>
        <v>516.65</v>
      </c>
      <c r="R146" s="228"/>
      <c r="S146" s="202">
        <f t="shared" si="33"/>
        <v>-41.089999999999975</v>
      </c>
      <c r="T146" s="25"/>
      <c r="U146" s="25"/>
      <c r="V146" s="25"/>
      <c r="W146" s="1190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743.2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705.37999999999988</v>
      </c>
      <c r="M147" s="228"/>
      <c r="N147" s="230">
        <f t="shared" si="29"/>
        <v>-37.820000000000164</v>
      </c>
      <c r="O147" s="228"/>
      <c r="P147" s="183"/>
      <c r="Q147" s="185" cm="1">
        <f t="array" ref="Q147">+SUMPRODUCT(('Réel 2023'!$A$8:$A$501=$A147)*('Réel 2023'!$C$3:$AO$3=Q$2),'Réel 2023'!$C$8:$AO$501)</f>
        <v>657.7</v>
      </c>
      <c r="R147" s="228"/>
      <c r="S147" s="202">
        <f t="shared" si="33"/>
        <v>47.679999999999836</v>
      </c>
      <c r="T147" s="25"/>
      <c r="U147" s="25"/>
      <c r="V147" s="25"/>
      <c r="W147" s="1190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548.96042666666654</v>
      </c>
      <c r="G148" s="274"/>
      <c r="H148" s="183"/>
      <c r="I148" s="184"/>
      <c r="J148" s="228"/>
      <c r="K148" s="183"/>
      <c r="L148" s="185">
        <f>SUMIFS(BV_Data_An_Cour!$P:$P,BV_Data_An_Cour!$U:$U,$B148,BV_Data_An_Cour!$V:$V,$C148,BV_Data_An_Cour!$W:$W,$L$2)</f>
        <v>76.430000000000007</v>
      </c>
      <c r="M148" s="228"/>
      <c r="N148" s="230">
        <f t="shared" si="29"/>
        <v>-472.53042666666653</v>
      </c>
      <c r="O148" s="228"/>
      <c r="P148" s="183"/>
      <c r="Q148" s="185" cm="1">
        <f t="array" ref="Q148">+SUMPRODUCT(('Réel 2023'!$A$8:$A$501=$A148)*('Réel 2023'!$C$3:$AO$3=Q$2),'Réel 2023'!$C$8:$AO$501)</f>
        <v>182.18</v>
      </c>
      <c r="R148" s="228"/>
      <c r="S148" s="202">
        <f t="shared" si="33"/>
        <v>-105.75</v>
      </c>
      <c r="T148" s="25"/>
      <c r="U148" s="25"/>
      <c r="V148" s="25"/>
      <c r="W148" s="1190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2113.6014281136991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2302.69</v>
      </c>
      <c r="M149" s="228"/>
      <c r="N149" s="230">
        <f t="shared" si="29"/>
        <v>189.088571886301</v>
      </c>
      <c r="O149" s="228"/>
      <c r="P149" s="183"/>
      <c r="Q149" s="185" cm="1">
        <f t="array" ref="Q149">+SUMPRODUCT(('Réel 2023'!$A$8:$A$501=$A149)*('Réel 2023'!$C$3:$AO$3=Q$2),'Réel 2023'!$C$8:$AO$501)</f>
        <v>2000.21</v>
      </c>
      <c r="R149" s="228"/>
      <c r="S149" s="202">
        <f>L149-Q149</f>
        <v>302.48</v>
      </c>
      <c r="T149" s="37"/>
      <c r="U149" s="25"/>
      <c r="V149" s="25"/>
      <c r="W149" s="1190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1190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1190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1190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6.7082531285976466E-2</v>
      </c>
      <c r="F153" s="41">
        <f>+SUM(F136:F152)</f>
        <v>16997.036364584288</v>
      </c>
      <c r="G153" s="42"/>
      <c r="H153" s="40"/>
      <c r="I153" s="41"/>
      <c r="J153" s="42" t="s">
        <v>108</v>
      </c>
      <c r="K153" s="40">
        <f>L153/L$108</f>
        <v>7.448943600478676E-2</v>
      </c>
      <c r="L153" s="41">
        <f>+SUM(L136:L152)</f>
        <v>17786.3</v>
      </c>
      <c r="M153" s="44"/>
      <c r="N153" s="41">
        <f t="shared" si="29"/>
        <v>789.26363541571118</v>
      </c>
      <c r="O153" s="42" t="s">
        <v>108</v>
      </c>
      <c r="P153" s="40">
        <f>Q153/Q$108</f>
        <v>7.344709996539682E-2</v>
      </c>
      <c r="Q153" s="41">
        <f>+SUM(Q136:Q152)</f>
        <v>16318.129999999997</v>
      </c>
      <c r="R153" s="44"/>
      <c r="S153" s="290">
        <f t="shared" si="33"/>
        <v>1468.1700000000019</v>
      </c>
      <c r="T153" s="45"/>
      <c r="U153" s="25"/>
      <c r="V153" s="25"/>
      <c r="W153" s="1190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1190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0.9660422567130964</v>
      </c>
      <c r="F155" s="41">
        <f>F122+F135+F153</f>
        <v>244770.95679468079</v>
      </c>
      <c r="G155" s="42"/>
      <c r="H155" s="40"/>
      <c r="I155" s="41"/>
      <c r="J155" s="42" t="s">
        <v>108</v>
      </c>
      <c r="K155" s="40">
        <f>L155/L$108</f>
        <v>1.0755479588538455</v>
      </c>
      <c r="L155" s="41">
        <f>L122+L135+L153</f>
        <v>256815.18999999997</v>
      </c>
      <c r="M155" s="44"/>
      <c r="N155" s="46">
        <f t="shared" ref="N155:N162" si="34">L155-F155</f>
        <v>12044.233205319179</v>
      </c>
      <c r="O155" s="42" t="s">
        <v>108</v>
      </c>
      <c r="P155" s="40">
        <f>Q155/Q$108</f>
        <v>1.0215439359410301</v>
      </c>
      <c r="Q155" s="41">
        <f>Q122+Q135+Q153</f>
        <v>226961.81</v>
      </c>
      <c r="R155" s="44"/>
      <c r="S155" s="286">
        <f t="shared" ref="S155:S162" si="35">L155-Q155</f>
        <v>29853.379999999976</v>
      </c>
      <c r="T155" s="45"/>
      <c r="U155" s="25"/>
      <c r="V155" s="25"/>
      <c r="W155" s="1190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7125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7425</v>
      </c>
      <c r="M156" s="228"/>
      <c r="N156" s="230">
        <f t="shared" si="34"/>
        <v>300</v>
      </c>
      <c r="O156" s="366"/>
      <c r="P156" s="365"/>
      <c r="Q156" s="185" cm="1">
        <f t="array" ref="Q156">+SUMPRODUCT(('Réel 2023'!$A$8:$A$501=$A156)*('Réel 2023'!$C$3:$AO$3=Q$2),'Réel 2023'!$C$8:$AO$501)</f>
        <v>4400</v>
      </c>
      <c r="R156" s="228"/>
      <c r="S156" s="202">
        <f t="shared" si="35"/>
        <v>3025</v>
      </c>
      <c r="T156" s="45"/>
      <c r="U156" s="25"/>
      <c r="V156" s="25"/>
      <c r="W156" s="1190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5032.3529411764712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26075</v>
      </c>
      <c r="M157" s="228"/>
      <c r="N157" s="230">
        <f t="shared" si="34"/>
        <v>21042.647058823528</v>
      </c>
      <c r="O157" s="366"/>
      <c r="P157" s="365"/>
      <c r="Q157" s="185" cm="1">
        <f t="array" ref="Q157">+SUMPRODUCT(('Réel 2023'!$A$8:$A$501=$A157)*('Réel 2023'!$C$3:$AO$3=Q$2),'Réel 2023'!$C$8:$AO$501)</f>
        <v>-3750</v>
      </c>
      <c r="R157" s="228"/>
      <c r="S157" s="202">
        <f t="shared" si="35"/>
        <v>29825</v>
      </c>
      <c r="T157" s="45"/>
      <c r="U157" s="25"/>
      <c r="V157" s="25"/>
      <c r="W157" s="1190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1190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29333.5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32130</v>
      </c>
      <c r="M159" s="228"/>
      <c r="N159" s="230">
        <f t="shared" si="34"/>
        <v>2796.5</v>
      </c>
      <c r="O159" s="228"/>
      <c r="P159" s="183"/>
      <c r="Q159" s="185" cm="1">
        <f t="array" ref="Q159">+SUMPRODUCT(('Réel 2023'!$A$8:$A$501=$A159)*('Réel 2023'!$C$3:$AO$3=Q$2),'Réel 2023'!$C$8:$AO$501)</f>
        <v>28560</v>
      </c>
      <c r="R159" s="228"/>
      <c r="S159" s="202">
        <f t="shared" si="35"/>
        <v>3570</v>
      </c>
      <c r="T159" s="45"/>
      <c r="U159" s="25"/>
      <c r="V159" s="25"/>
      <c r="W159" s="1190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1190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1190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1190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41490.852941176476</v>
      </c>
      <c r="G163" s="42"/>
      <c r="H163" s="40"/>
      <c r="I163" s="41"/>
      <c r="J163" s="42"/>
      <c r="K163" s="40"/>
      <c r="L163" s="41">
        <f>+SUM(L156:L162)</f>
        <v>65630</v>
      </c>
      <c r="M163" s="44"/>
      <c r="N163" s="41">
        <f>SUM(N156:N159)</f>
        <v>24139.147058823528</v>
      </c>
      <c r="O163" s="42"/>
      <c r="P163" s="40"/>
      <c r="Q163" s="41">
        <f>+SUM(Q156:Q162)</f>
        <v>29210</v>
      </c>
      <c r="R163" s="44"/>
      <c r="S163" s="290">
        <f>+SUM(S156:S162)</f>
        <v>36420</v>
      </c>
      <c r="T163" s="45"/>
      <c r="U163" s="25"/>
      <c r="V163" s="25"/>
      <c r="W163" s="1190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1190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50094.896146495681</v>
      </c>
      <c r="G165" s="312"/>
      <c r="H165" s="310"/>
      <c r="I165" s="311"/>
      <c r="J165" s="313"/>
      <c r="K165" s="314"/>
      <c r="L165" s="311">
        <f>L108-L155+L163</f>
        <v>47590.949999999983</v>
      </c>
      <c r="M165" s="313"/>
      <c r="N165" s="311">
        <f>L165-F165</f>
        <v>-2503.9461464956985</v>
      </c>
      <c r="O165" s="313"/>
      <c r="P165" s="314"/>
      <c r="Q165" s="311">
        <f>Q108-Q155+Q163</f>
        <v>24423.469999999565</v>
      </c>
      <c r="R165" s="313"/>
      <c r="S165" s="315">
        <f>L165-Q165</f>
        <v>23167.480000000418</v>
      </c>
      <c r="T165" s="37"/>
      <c r="U165" s="25"/>
      <c r="V165" s="25"/>
      <c r="W165" s="1190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1190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1190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Avril 2024 AAD</v>
      </c>
      <c r="T168" s="19"/>
      <c r="U168" s="21"/>
      <c r="V168" s="23"/>
      <c r="W168" s="1190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1190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43" t="s">
        <v>77</v>
      </c>
      <c r="E170" s="1244"/>
      <c r="F170" s="1245"/>
      <c r="G170" s="1246"/>
      <c r="H170" s="1244"/>
      <c r="I170" s="1245"/>
      <c r="J170" s="1246" t="s">
        <v>78</v>
      </c>
      <c r="K170" s="1244"/>
      <c r="L170" s="1245"/>
      <c r="M170" s="1246" t="s">
        <v>2451</v>
      </c>
      <c r="N170" s="1245"/>
      <c r="O170" s="1243" t="s">
        <v>79</v>
      </c>
      <c r="P170" s="1244"/>
      <c r="Q170" s="1245"/>
      <c r="R170" s="1247" t="s">
        <v>2455</v>
      </c>
      <c r="S170" s="1248"/>
      <c r="T170" s="461"/>
      <c r="U170" s="25"/>
      <c r="V170" s="23"/>
      <c r="W170" s="1190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1190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199527.32802989736</v>
      </c>
      <c r="F172" s="200" cm="1">
        <f t="array" ref="F172">+SUMPRODUCT(('Budget original'!$A$8:$A$501=$A172)*('Budget original'!$C$3:$AO$3=F$2),'Budget original'!$C$8:$AO$501)</f>
        <v>158823.75311179829</v>
      </c>
      <c r="G172" s="316"/>
      <c r="H172" s="200"/>
      <c r="I172" s="200"/>
      <c r="J172" s="229">
        <f>-SUMIFS(BV_Data_An_Cour!$P:$P,BV_Data_An_Cour!$U:$U,$B172,BV_Data_An_Cour!$V:$V,$C172,BV_Data_An_Cour!$W:$W,J$2)</f>
        <v>643</v>
      </c>
      <c r="K172" s="184">
        <f>-SUMIFS(BV_Data_An_Cour!$P:$P,BV_Data_An_Cour!$X:$X,"Oui",BV_Data_An_Cour!$U:$U,$B172,BV_Data_An_Cour!$V:$V,$C172)</f>
        <v>185862.46</v>
      </c>
      <c r="L172" s="185">
        <f>-SUMIFS(BV_Data_An_Cour!$P:$P,BV_Data_An_Cour!$U:$U,$B172,BV_Data_An_Cour!$V:$V,$C172,BV_Data_An_Cour!$W:$W,$L$2)</f>
        <v>145050.9</v>
      </c>
      <c r="M172" s="298">
        <f>(K172-E172)/E172</f>
        <v>-6.8486197679396607E-2</v>
      </c>
      <c r="N172" s="230">
        <f>L172-F172</f>
        <v>-13772.853111798293</v>
      </c>
      <c r="O172" s="229" cm="1">
        <f t="array" ref="O172">+SUMPRODUCT(('Réel 2023'!$A$8:$A$501=$A172)*('Réel 2023'!$C$3:$AO$3=O$2),'Réel 2023'!$C$8:$AO$501)</f>
        <v>649</v>
      </c>
      <c r="P172" s="184" cm="1">
        <f t="array" ref="P172">+SUMPRODUCT(('Réel 2023'!$A$8:$A$501=$A172)*('Réel 2023'!$C$3:$AO$3=P$2),'Réel 2023'!$C$8:$AO$501)</f>
        <v>188272.97</v>
      </c>
      <c r="Q172" s="185" cm="1">
        <f t="array" ref="Q172">+SUMPRODUCT(('Réel 2023'!$A$8:$A$501=$A172)*('Réel 2023'!$C$3:$AO$3=Q$2),'Réel 2023'!$C$8:$AO$501)</f>
        <v>153573.72999999998</v>
      </c>
      <c r="R172" s="298">
        <f>IF(O172=0,0,J172/O172)</f>
        <v>0.99075500770416025</v>
      </c>
      <c r="S172" s="202">
        <f>L172-Q172</f>
        <v>-8522.8299999999872</v>
      </c>
      <c r="T172" s="37"/>
      <c r="U172" s="25"/>
      <c r="V172" s="25"/>
      <c r="W172" s="1190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0.79599999999999993</v>
      </c>
      <c r="G173" s="228"/>
      <c r="H173" s="231"/>
      <c r="I173" s="232"/>
      <c r="J173" s="229"/>
      <c r="K173" s="183"/>
      <c r="L173" s="232">
        <f>IF(L172=0,0,L172/K172)</f>
        <v>0.78042064007976653</v>
      </c>
      <c r="M173" s="298"/>
      <c r="N173" s="230"/>
      <c r="O173" s="229"/>
      <c r="P173" s="183"/>
      <c r="Q173" s="232">
        <f>Q172/P172</f>
        <v>0.8156971762861126</v>
      </c>
      <c r="R173" s="229"/>
      <c r="S173" s="202"/>
      <c r="T173" s="37"/>
      <c r="U173" s="25"/>
      <c r="V173" s="25"/>
      <c r="W173" s="1190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289.05514774494554</v>
      </c>
      <c r="L174" s="323"/>
      <c r="M174" s="325"/>
      <c r="N174" s="284"/>
      <c r="O174" s="307"/>
      <c r="P174" s="502">
        <f>IFERROR(P172/O172,0)</f>
        <v>290.09702619414486</v>
      </c>
      <c r="Q174" s="323"/>
      <c r="R174" s="307"/>
      <c r="S174" s="205"/>
      <c r="T174" s="37"/>
      <c r="U174" s="25"/>
      <c r="V174" s="25"/>
      <c r="W174" s="1190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104505.34842205609</v>
      </c>
      <c r="F175" s="200" cm="1">
        <f t="array" ref="F175">+SUMPRODUCT(('Budget original'!$A$8:$A$501=$A175)*('Budget original'!$C$3:$AO$3=F$2),'Budget original'!$C$8:$AO$501)</f>
        <v>75348.356212302446</v>
      </c>
      <c r="G175" s="319"/>
      <c r="H175" s="200"/>
      <c r="I175" s="200"/>
      <c r="J175" s="319">
        <f>-SUMIFS(BV_Data_An_Cour!$P:$P,BV_Data_An_Cour!$U:$U,$B175,BV_Data_An_Cour!$V:$V,$C175,BV_Data_An_Cour!$W:$W,J$2)</f>
        <v>544</v>
      </c>
      <c r="K175" s="191">
        <f>-SUMIFS(BV_Data_An_Cour!$P:$P,BV_Data_An_Cour!$X:$X,"Oui",BV_Data_An_Cour!$U:$U,$B175,BV_Data_An_Cour!$V:$V,$C175)</f>
        <v>78005.850000000006</v>
      </c>
      <c r="L175" s="185">
        <f>-SUMIFS(BV_Data_An_Cour!$P:$P,BV_Data_An_Cour!$U:$U,$B175,BV_Data_An_Cour!$V:$V,$C175,BV_Data_An_Cour!$W:$W,$L$2)</f>
        <v>49822.5</v>
      </c>
      <c r="M175" s="298">
        <f>(K175-E175)/E175</f>
        <v>-0.25357073893515009</v>
      </c>
      <c r="N175" s="279">
        <f>L175-F175</f>
        <v>-25525.856212302446</v>
      </c>
      <c r="O175" s="319" cm="1">
        <f t="array" ref="O175">+SUMPRODUCT(('Réel 2023'!$A$8:$A$501=$A175)*('Réel 2023'!$C$3:$AO$3=O$2),'Réel 2023'!$C$8:$AO$501)</f>
        <v>722</v>
      </c>
      <c r="P175" s="191" cm="1">
        <f t="array" ref="P175">+SUMPRODUCT(('Réel 2023'!$A$8:$A$501=$A175)*('Réel 2023'!$C$3:$AO$3=P$2),'Réel 2023'!$C$8:$AO$501)</f>
        <v>111245.8799999999</v>
      </c>
      <c r="Q175" s="185" cm="1">
        <f t="array" ref="Q175">+SUMPRODUCT(('Réel 2023'!$A$8:$A$501=$A175)*('Réel 2023'!$C$3:$AO$3=Q$2),'Réel 2023'!$C$8:$AO$501)</f>
        <v>81667.48000000001</v>
      </c>
      <c r="R175" s="298">
        <f>IF(O175=0,0,J175/O175)</f>
        <v>0.75346260387811637</v>
      </c>
      <c r="S175" s="202">
        <f>L175-Q175</f>
        <v>-31844.98000000001</v>
      </c>
      <c r="T175" s="37"/>
      <c r="U175" s="25"/>
      <c r="V175" s="25"/>
      <c r="W175" s="1190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0.63870209734269923</v>
      </c>
      <c r="M176" s="240"/>
      <c r="N176" s="239"/>
      <c r="O176" s="228"/>
      <c r="P176" s="183"/>
      <c r="Q176" s="232">
        <f>Q175/P175</f>
        <v>0.73411689493579524</v>
      </c>
      <c r="R176" s="240"/>
      <c r="S176" s="267"/>
      <c r="T176" s="25"/>
      <c r="U176" s="25"/>
      <c r="V176" s="25"/>
      <c r="W176" s="1190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1190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139314.77610049411</v>
      </c>
      <c r="F178" s="200" cm="1">
        <f t="array" ref="F178">+SUMPRODUCT(('Budget original'!$A$8:$A$501=$A178)*('Budget original'!$C$3:$AO$3=F$2),'Budget original'!$C$8:$AO$501)</f>
        <v>86096.531630105368</v>
      </c>
      <c r="G178" s="228"/>
      <c r="H178" s="200"/>
      <c r="I178" s="200"/>
      <c r="J178" s="229">
        <f>-SUMIFS(BV_Data_An_Cour!$P:$P,BV_Data_An_Cour!$U:$U,$B178,BV_Data_An_Cour!$V:$V,$C178,BV_Data_An_Cour!$W:$W,J$2)</f>
        <v>569</v>
      </c>
      <c r="K178" s="191">
        <f>-SUMIFS(BV_Data_An_Cour!$P:$P,BV_Data_An_Cour!$X:$X,"Oui",BV_Data_An_Cour!$U:$U,$B178,BV_Data_An_Cour!$V:$V,$C178)</f>
        <v>124717.42000000001</v>
      </c>
      <c r="L178" s="185">
        <f>-SUMIFS(BV_Data_An_Cour!$P:$P,BV_Data_An_Cour!$U:$U,$B178,BV_Data_An_Cour!$V:$V,$C178,BV_Data_An_Cour!$W:$W,$L$2)</f>
        <v>72995.91</v>
      </c>
      <c r="M178" s="298">
        <f>(K178-E178)/E178</f>
        <v>-0.10477966881247658</v>
      </c>
      <c r="N178" s="230">
        <f>L178-F178</f>
        <v>-13100.621630105365</v>
      </c>
      <c r="O178" s="229" cm="1">
        <f t="array" ref="O178">+SUMPRODUCT(('Réel 2023'!$A$8:$A$501=$A178)*('Réel 2023'!$C$3:$AO$3=O$2),'Réel 2023'!$C$8:$AO$501)</f>
        <v>579</v>
      </c>
      <c r="P178" s="191" cm="1">
        <f t="array" ref="P178">+SUMPRODUCT(('Réel 2023'!$A$8:$A$501=$A178)*('Réel 2023'!$C$3:$AO$3=P$2),'Réel 2023'!$C$8:$AO$501)</f>
        <v>114161.7699999999</v>
      </c>
      <c r="Q178" s="185" cm="1">
        <f t="array" ref="Q178">+SUMPRODUCT(('Réel 2023'!$A$8:$A$501=$A178)*('Réel 2023'!$C$3:$AO$3=Q$2),'Réel 2023'!$C$8:$AO$501)</f>
        <v>74918.449999999895</v>
      </c>
      <c r="R178" s="298">
        <f>IF(O178=0,0,J178/O178)</f>
        <v>0.98272884283246975</v>
      </c>
      <c r="S178" s="202">
        <f>L178-Q178</f>
        <v>-1922.5399999998917</v>
      </c>
      <c r="T178" s="37"/>
      <c r="U178" s="25"/>
      <c r="V178" s="25"/>
      <c r="W178" s="1190"/>
      <c r="X178" s="184"/>
      <c r="Y178" s="184"/>
      <c r="Z178" s="756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0.58529041091452982</v>
      </c>
      <c r="M179" s="298"/>
      <c r="N179" s="230">
        <f>L179-F179</f>
        <v>-3.270958908547017E-2</v>
      </c>
      <c r="O179" s="229"/>
      <c r="P179" s="231"/>
      <c r="Q179" s="232">
        <f>Q178/P178</f>
        <v>0.65624814681832599</v>
      </c>
      <c r="R179" s="229">
        <f>O179-K179</f>
        <v>0</v>
      </c>
      <c r="S179" s="202"/>
      <c r="T179" s="37"/>
      <c r="U179" s="25"/>
      <c r="V179" s="25"/>
      <c r="W179" s="1190"/>
      <c r="X179" s="184"/>
      <c r="Y179" s="1191"/>
      <c r="Z179" s="756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1190"/>
      <c r="X180" s="191"/>
      <c r="Y180" s="191"/>
      <c r="Z180" s="756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36394.861566648055</v>
      </c>
      <c r="F181" s="200" cm="1">
        <f t="array" ref="F181">+SUMPRODUCT(('Budget original'!$A$8:$A$501=$A181)*('Budget original'!$C$3:$AO$3=F$2),'Budget original'!$C$8:$AO$501)</f>
        <v>14557.944626659224</v>
      </c>
      <c r="G181" s="278"/>
      <c r="H181" s="200"/>
      <c r="I181" s="200"/>
      <c r="J181" s="319">
        <f>-SUMIFS(BV_Data_An_Cour!$P:$P,BV_Data_An_Cour!$U:$U,$B181,BV_Data_An_Cour!$V:$V,$C181,BV_Data_An_Cour!$W:$W,J$2)</f>
        <v>237</v>
      </c>
      <c r="K181" s="191">
        <f>-SUMIFS(BV_Data_An_Cour!$P:$P,BV_Data_An_Cour!$X:$X,"Oui",BV_Data_An_Cour!$U:$U,$B181,BV_Data_An_Cour!$V:$V,$C181)</f>
        <v>48084.759999999995</v>
      </c>
      <c r="L181" s="186">
        <f>-SUMIFS(BV_Data_An_Cour!$P:$P,BV_Data_An_Cour!$U:$U,$B181,BV_Data_An_Cour!$V:$V,$C181,BV_Data_An_Cour!$W:$W,$L$2)</f>
        <v>19395.249999999993</v>
      </c>
      <c r="M181" s="320">
        <f>IF(E181=0,0,(K181-E181)/E181)</f>
        <v>0.32119639779216702</v>
      </c>
      <c r="N181" s="279">
        <f>L181-F181</f>
        <v>4837.3053733407687</v>
      </c>
      <c r="O181" s="319" cm="1">
        <f t="array" ref="O181">+SUMPRODUCT(('Réel 2023'!$A$8:$A$501=$A181)*('Réel 2023'!$C$3:$AO$3=O$2),'Réel 2023'!$C$8:$AO$501)</f>
        <v>207</v>
      </c>
      <c r="P181" s="191" cm="1">
        <f t="array" ref="P181">+SUMPRODUCT(('Réel 2023'!$A$8:$A$501=$A181)*('Réel 2023'!$C$3:$AO$3=P$2),'Réel 2023'!$C$8:$AO$501)</f>
        <v>35829.939999999988</v>
      </c>
      <c r="Q181" s="186" cm="1">
        <f t="array" ref="Q181">+SUMPRODUCT(('Réel 2023'!$A$8:$A$501=$A181)*('Réel 2023'!$C$3:$AO$3=Q$2),'Réel 2023'!$C$8:$AO$501)</f>
        <v>15038.159999999991</v>
      </c>
      <c r="R181" s="298">
        <f>IF(O181=0,0,J181/O181)</f>
        <v>1.144927536231884</v>
      </c>
      <c r="S181" s="204">
        <f>L181-Q181</f>
        <v>4357.090000000002</v>
      </c>
      <c r="T181" s="37"/>
      <c r="U181" s="25"/>
      <c r="V181" s="25"/>
      <c r="W181" s="1190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0.40000000000000008</v>
      </c>
      <c r="G182" s="237"/>
      <c r="H182" s="234"/>
      <c r="I182" s="232"/>
      <c r="J182" s="233"/>
      <c r="K182" s="234">
        <f>IF(J181&lt;=0,0,L181/J181)</f>
        <v>81.836497890295334</v>
      </c>
      <c r="L182" s="232">
        <f>IF(L181=0,0,L181/K181)</f>
        <v>0.40335544983483324</v>
      </c>
      <c r="M182" s="229">
        <f>J182-D182</f>
        <v>0</v>
      </c>
      <c r="N182" s="235"/>
      <c r="O182" s="233"/>
      <c r="P182" s="234"/>
      <c r="Q182" s="232">
        <f>IFERROR(Q181/P181,0)</f>
        <v>0.41970932689253726</v>
      </c>
      <c r="R182" s="228"/>
      <c r="S182" s="331"/>
      <c r="T182" s="45"/>
      <c r="U182" s="25"/>
      <c r="V182" s="25"/>
      <c r="W182" s="1190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1190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-7245.7864269115107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-9542.5400000000009</v>
      </c>
      <c r="M184" s="233"/>
      <c r="N184" s="230">
        <f>L184-F184</f>
        <v>-2296.7535730884902</v>
      </c>
      <c r="O184" s="229"/>
      <c r="P184" s="200"/>
      <c r="Q184" s="200" cm="1">
        <f t="array" ref="Q184">+SUMPRODUCT(('Réel 2023'!$A$8:$A$501=$A184)*('Réel 2023'!$C$3:$AO$3=Q$2),'Réel 2023'!$C$8:$AO$501)</f>
        <v>-8579.119999999999</v>
      </c>
      <c r="R184" s="212"/>
      <c r="S184" s="202">
        <f>L184-Q184</f>
        <v>-963.42000000000189</v>
      </c>
      <c r="T184" s="25"/>
      <c r="U184" s="25"/>
      <c r="V184" s="25"/>
      <c r="W184" s="1190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479742.31411909562</v>
      </c>
      <c r="F185" s="59">
        <f t="shared" ref="F185" si="38">F172+F175+F178+F181+F184</f>
        <v>327580.79915395379</v>
      </c>
      <c r="G185" s="60"/>
      <c r="H185" s="58"/>
      <c r="I185" s="59"/>
      <c r="J185" s="60">
        <f>J172+J175+J178+J181+J184</f>
        <v>1993</v>
      </c>
      <c r="K185" s="58">
        <f>K172+K175+K178+K181+K184</f>
        <v>436670.49</v>
      </c>
      <c r="L185" s="59">
        <f>L172+L175+L178+L181+L184</f>
        <v>277722.02</v>
      </c>
      <c r="M185" s="61">
        <f>(K185-E185)/E185</f>
        <v>-8.9781165537136859E-2</v>
      </c>
      <c r="N185" s="59">
        <f>L185-F185</f>
        <v>-49858.779153953772</v>
      </c>
      <c r="O185" s="60">
        <f t="shared" ref="O185" si="39">O172+O175+O178+O181+O184</f>
        <v>2157</v>
      </c>
      <c r="P185" s="58">
        <f>P172+P175+P178+P181+P184</f>
        <v>449510.55999999982</v>
      </c>
      <c r="Q185" s="59">
        <f t="shared" ref="Q185" si="40">Q172+Q175+Q178+Q181+Q184</f>
        <v>316618.6999999999</v>
      </c>
      <c r="R185" s="339">
        <f>IF(O185=0,0,J185/O185)</f>
        <v>0.92396847473342603</v>
      </c>
      <c r="S185" s="340">
        <f>L185-Q185</f>
        <v>-38896.679999999877</v>
      </c>
      <c r="T185" s="236"/>
      <c r="U185" s="25"/>
      <c r="V185" s="25"/>
      <c r="W185" s="1190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0.68282657066733565</v>
      </c>
      <c r="G186" s="64"/>
      <c r="H186" s="62"/>
      <c r="I186" s="239"/>
      <c r="J186" s="64"/>
      <c r="K186" s="65">
        <f>IF(J185=0,0,K185/J185)</f>
        <v>219.10210235825389</v>
      </c>
      <c r="L186" s="239">
        <f>IF(L185=0,0,L185/K185)</f>
        <v>0.63599905732123097</v>
      </c>
      <c r="M186" s="64"/>
      <c r="N186" s="63">
        <f>N185/F185</f>
        <v>-0.15220299627671871</v>
      </c>
      <c r="O186" s="64"/>
      <c r="P186" s="65">
        <f>IF(O185=0,0,P185/O185)</f>
        <v>208.39617987946212</v>
      </c>
      <c r="Q186" s="239">
        <f>Q185/P185</f>
        <v>0.70436320784099049</v>
      </c>
      <c r="R186" s="64"/>
      <c r="S186" s="267">
        <f>IF(R185=0,0,S185/R185)</f>
        <v>-42097.410316106238</v>
      </c>
      <c r="T186" s="236"/>
      <c r="U186" s="25"/>
      <c r="V186" s="25"/>
      <c r="W186" s="1190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1190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19258.630282274298</v>
      </c>
      <c r="F188" s="200" cm="1">
        <f t="array" ref="F188">+SUMPRODUCT(('Budget original'!$A$8:$A$501=$A188)*('Budget original'!$C$3:$AO$3=F$2),'Budget original'!$C$8:$AO$501)</f>
        <v>3293.2257782689057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26128.720000000001</v>
      </c>
      <c r="L188" s="185">
        <f>-SUMIFS(BV_Data_An_Cour!$P:$P,BV_Data_An_Cour!$U:$U,$B188,BV_Data_An_Cour!$V:$V,$C188,BV_Data_An_Cour!$W:$W,$L$2)</f>
        <v>772.25</v>
      </c>
      <c r="M188" s="452">
        <f>IF(E188=0,0,(K188-E188)/E188)</f>
        <v>0.35672784704989918</v>
      </c>
      <c r="N188" s="230">
        <f>L188-F188</f>
        <v>-2520.9757782689057</v>
      </c>
      <c r="O188" s="229"/>
      <c r="P188" s="184" cm="1">
        <f t="array" ref="P188">+SUMPRODUCT(('Réel 2023'!$A$8:$A$501=$A188)*('Réel 2023'!$C$3:$AO$3=P$2),'Réel 2023'!$C$8:$AO$501)</f>
        <v>18639.839999999993</v>
      </c>
      <c r="Q188" s="185" cm="1">
        <f t="array" ref="Q188">+SUMPRODUCT(('Réel 2023'!$A$8:$A$501=$A188)*('Réel 2023'!$C$3:$AO$3=Q$2),'Réel 2023'!$C$8:$AO$501)</f>
        <v>690.68000000000006</v>
      </c>
      <c r="R188" s="298">
        <f>IF(O188=0,0,J188/O188)</f>
        <v>0</v>
      </c>
      <c r="S188" s="202">
        <f>L188-Q188</f>
        <v>81.569999999999936</v>
      </c>
      <c r="T188" s="236"/>
      <c r="U188" s="25"/>
      <c r="V188" s="25"/>
      <c r="W188" s="1190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2.9555600121245893E-2</v>
      </c>
      <c r="M189" s="233"/>
      <c r="N189" s="235"/>
      <c r="O189" s="233"/>
      <c r="P189" s="234"/>
      <c r="Q189" s="232">
        <f>IFERROR(Q188/P188,0)</f>
        <v>3.7053966128464642E-2</v>
      </c>
      <c r="R189" s="233"/>
      <c r="S189" s="331"/>
      <c r="T189" s="236"/>
      <c r="U189" s="25"/>
      <c r="V189" s="25"/>
      <c r="W189" s="1190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1190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1190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1190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1190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499000.9444013699</v>
      </c>
      <c r="F194" s="28">
        <f t="shared" si="41"/>
        <v>330874.02493222267</v>
      </c>
      <c r="G194" s="29"/>
      <c r="H194" s="26"/>
      <c r="I194" s="28"/>
      <c r="J194" s="29"/>
      <c r="K194" s="26">
        <f>K185+K188+K191</f>
        <v>462799.20999999996</v>
      </c>
      <c r="L194" s="28">
        <f>L185+L188+L191</f>
        <v>278494.27</v>
      </c>
      <c r="M194" s="70">
        <f>L195-F195</f>
        <v>-6.1312473607717077E-2</v>
      </c>
      <c r="N194" s="28">
        <f>L194-F194</f>
        <v>-52379.754932222655</v>
      </c>
      <c r="O194" s="29"/>
      <c r="P194" s="26">
        <f t="shared" ref="P194:Q194" si="42">P185+P188+P191</f>
        <v>468150.39999999979</v>
      </c>
      <c r="Q194" s="28">
        <f t="shared" si="42"/>
        <v>317309.37999999989</v>
      </c>
      <c r="R194" s="70">
        <f>L195-Q195</f>
        <v>-7.6033205123799186E-2</v>
      </c>
      <c r="S194" s="326">
        <f>L194-Q194</f>
        <v>-38815.10999999987</v>
      </c>
      <c r="T194" s="236"/>
      <c r="U194" s="25"/>
      <c r="V194" s="25"/>
      <c r="W194" s="1190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0.66307294333712752</v>
      </c>
      <c r="G195" s="31"/>
      <c r="H195" s="328"/>
      <c r="I195" s="34"/>
      <c r="J195" s="31"/>
      <c r="K195" s="328"/>
      <c r="L195" s="34">
        <f>L194/K194</f>
        <v>0.60176046972941044</v>
      </c>
      <c r="M195" s="33"/>
      <c r="N195" s="34">
        <f>N194/F194</f>
        <v>-0.15830724380057423</v>
      </c>
      <c r="O195" s="31"/>
      <c r="P195" s="328"/>
      <c r="Q195" s="34">
        <f>Q194/P194</f>
        <v>0.67779367485320963</v>
      </c>
      <c r="R195" s="33"/>
      <c r="S195" s="264">
        <f>L194/S194</f>
        <v>-7.1748932310123807</v>
      </c>
      <c r="T195" s="238"/>
      <c r="U195" s="25"/>
      <c r="V195" s="25"/>
      <c r="W195" s="1190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1190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1190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38623.721882951657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33327.480000000003</v>
      </c>
      <c r="M198" s="228"/>
      <c r="N198" s="230">
        <f t="shared" ref="N198:N229" si="43">L198-F198</f>
        <v>-5296.2418829516537</v>
      </c>
      <c r="O198" s="228"/>
      <c r="P198" s="183"/>
      <c r="Q198" s="185" cm="1">
        <f t="array" ref="Q198">+SUMPRODUCT(('Réel 2023'!$A$8:$A$501=$A198)*('Réel 2023'!$C$3:$AO$3=Q$2),'Réel 2023'!$C$8:$AO$501)</f>
        <v>40177.839999999997</v>
      </c>
      <c r="R198" s="228"/>
      <c r="S198" s="202">
        <f>L198-Q198</f>
        <v>-6850.3599999999933</v>
      </c>
      <c r="T198" s="183"/>
      <c r="U198" s="183"/>
      <c r="V198" s="183"/>
      <c r="W198" s="1190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20192.022837150129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18334.07</v>
      </c>
      <c r="M199" s="228"/>
      <c r="N199" s="230">
        <f t="shared" si="43"/>
        <v>-1857.9528371501292</v>
      </c>
      <c r="O199" s="228"/>
      <c r="P199" s="183"/>
      <c r="Q199" s="185" cm="1">
        <f t="array" ref="Q199">+SUMPRODUCT(('Réel 2023'!$A$8:$A$501=$A199)*('Réel 2023'!$C$3:$AO$3=Q$2),'Réel 2023'!$C$8:$AO$501)</f>
        <v>18652.91</v>
      </c>
      <c r="R199" s="228"/>
      <c r="S199" s="202">
        <f t="shared" ref="S199:S229" si="44">L199-Q199</f>
        <v>-318.84000000000015</v>
      </c>
      <c r="T199" s="25"/>
      <c r="U199" s="25"/>
      <c r="V199" s="25"/>
      <c r="W199" s="1190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17738.648854961833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21620.92</v>
      </c>
      <c r="M200" s="278"/>
      <c r="N200" s="279">
        <f t="shared" si="43"/>
        <v>3882.2711450381648</v>
      </c>
      <c r="O200" s="278"/>
      <c r="P200" s="276"/>
      <c r="Q200" s="186" cm="1">
        <f t="array" ref="Q200">+SUMPRODUCT(('Réel 2023'!$A$8:$A$501=$A200)*('Réel 2023'!$C$3:$AO$3=Q$2),'Réel 2023'!$C$8:$AO$501)</f>
        <v>17483</v>
      </c>
      <c r="R200" s="278"/>
      <c r="S200" s="204">
        <f t="shared" si="44"/>
        <v>4137.9199999999983</v>
      </c>
      <c r="T200" s="25"/>
      <c r="U200" s="25"/>
      <c r="V200" s="25"/>
      <c r="W200" s="1190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40491.403212684563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32598.25</v>
      </c>
      <c r="M201" s="228"/>
      <c r="N201" s="230">
        <f t="shared" si="43"/>
        <v>-7893.1532126845632</v>
      </c>
      <c r="O201" s="228"/>
      <c r="P201" s="183"/>
      <c r="Q201" s="185" cm="1">
        <f t="array" ref="Q201">+SUMPRODUCT(('Réel 2023'!$A$8:$A$501=$A201)*('Réel 2023'!$C$3:$AO$3=Q$2),'Réel 2023'!$C$8:$AO$501)</f>
        <v>29175.800000000003</v>
      </c>
      <c r="R201" s="228"/>
      <c r="S201" s="202">
        <f t="shared" si="44"/>
        <v>3422.4499999999971</v>
      </c>
      <c r="T201" s="25"/>
      <c r="U201" s="25"/>
      <c r="V201" s="25"/>
      <c r="W201" s="1190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1190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1190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1190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25745.589032328502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29716.57</v>
      </c>
      <c r="M205" s="228"/>
      <c r="N205" s="230">
        <f t="shared" si="43"/>
        <v>3970.9809676714976</v>
      </c>
      <c r="O205" s="228"/>
      <c r="P205" s="183"/>
      <c r="Q205" s="185" cm="1">
        <f t="array" ref="Q205">+SUMPRODUCT(('Réel 2023'!$A$8:$A$501=$A205)*('Réel 2023'!$C$3:$AO$3=Q$2),'Réel 2023'!$C$8:$AO$501)</f>
        <v>23305.9</v>
      </c>
      <c r="R205" s="228"/>
      <c r="S205" s="202">
        <f>L205-Q205</f>
        <v>6410.6699999999983</v>
      </c>
      <c r="T205" s="25"/>
      <c r="U205" s="25"/>
      <c r="V205" s="25"/>
      <c r="W205" s="1190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35074.531314386972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35386.76</v>
      </c>
      <c r="M206" s="278"/>
      <c r="N206" s="279">
        <f t="shared" si="43"/>
        <v>312.22868561303039</v>
      </c>
      <c r="O206" s="278"/>
      <c r="P206" s="276"/>
      <c r="Q206" s="186" cm="1">
        <f t="array" ref="Q206">+SUMPRODUCT(('Réel 2023'!$A$8:$A$501=$A206)*('Réel 2023'!$C$3:$AO$3=Q$2),'Réel 2023'!$C$8:$AO$501)</f>
        <v>35057.26</v>
      </c>
      <c r="R206" s="278"/>
      <c r="S206" s="204">
        <f t="shared" si="44"/>
        <v>329.5</v>
      </c>
      <c r="T206" s="25"/>
      <c r="U206" s="25"/>
      <c r="V206" s="25"/>
      <c r="W206" s="1190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15989.859863911708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18440.07</v>
      </c>
      <c r="M207" s="228"/>
      <c r="N207" s="230">
        <f t="shared" si="43"/>
        <v>2450.2101360882916</v>
      </c>
      <c r="O207" s="228"/>
      <c r="P207" s="183"/>
      <c r="Q207" s="185" cm="1">
        <f t="array" ref="Q207">+SUMPRODUCT(('Réel 2023'!$A$8:$A$501=$A207)*('Réel 2023'!$C$3:$AO$3=Q$2),'Réel 2023'!$C$8:$AO$501)</f>
        <v>14025.56</v>
      </c>
      <c r="R207" s="228"/>
      <c r="S207" s="202">
        <f t="shared" si="44"/>
        <v>4414.51</v>
      </c>
      <c r="T207" s="25"/>
      <c r="U207" s="25"/>
      <c r="V207" s="25"/>
      <c r="W207" s="1190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3610.6135176574826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4588.04</v>
      </c>
      <c r="M208" s="228"/>
      <c r="N208" s="230">
        <f t="shared" si="43"/>
        <v>977.42648234251737</v>
      </c>
      <c r="O208" s="228"/>
      <c r="P208" s="183"/>
      <c r="Q208" s="185" cm="1">
        <f t="array" ref="Q208">+SUMPRODUCT(('Réel 2023'!$A$8:$A$501=$A208)*('Réel 2023'!$C$3:$AO$3=Q$2),'Réel 2023'!$C$8:$AO$501)</f>
        <v>3966.6800000000003</v>
      </c>
      <c r="R208" s="228"/>
      <c r="S208" s="202">
        <f t="shared" si="44"/>
        <v>621.35999999999967</v>
      </c>
      <c r="T208" s="25"/>
      <c r="U208" s="25"/>
      <c r="V208" s="25"/>
      <c r="W208" s="1190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1190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0.59680233453346032</v>
      </c>
      <c r="F210" s="41">
        <f>+SUM(F198:F209)</f>
        <v>197466.39051603284</v>
      </c>
      <c r="G210" s="42"/>
      <c r="H210" s="40"/>
      <c r="I210" s="41"/>
      <c r="J210" s="42" t="s">
        <v>162</v>
      </c>
      <c r="K210" s="40">
        <f>L210/L$194</f>
        <v>0.69664686458360536</v>
      </c>
      <c r="L210" s="41">
        <f>+SUM(L198:L209)</f>
        <v>194012.16000000003</v>
      </c>
      <c r="M210" s="43"/>
      <c r="N210" s="46">
        <f t="shared" si="43"/>
        <v>-3454.2305160328106</v>
      </c>
      <c r="O210" s="42" t="s">
        <v>162</v>
      </c>
      <c r="P210" s="40">
        <f>Q210/Q$194</f>
        <v>0.57308406703892611</v>
      </c>
      <c r="Q210" s="41">
        <f>+SUM(Q198:Q209)</f>
        <v>181844.95</v>
      </c>
      <c r="R210" s="43"/>
      <c r="S210" s="286">
        <f t="shared" si="44"/>
        <v>12167.210000000021</v>
      </c>
      <c r="T210" s="183"/>
      <c r="U210" s="25"/>
      <c r="V210" s="25"/>
      <c r="W210" s="1190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21657.798767724198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23614.97</v>
      </c>
      <c r="M211" s="228"/>
      <c r="N211" s="230">
        <f t="shared" si="43"/>
        <v>1957.171232275803</v>
      </c>
      <c r="O211" s="228"/>
      <c r="P211" s="183"/>
      <c r="Q211" s="185" cm="1">
        <f t="array" ref="Q211">+SUMPRODUCT(('Réel 2023'!$A$8:$A$501=$A211)*('Réel 2023'!$C$3:$AO$3=Q$2),'Réel 2023'!$C$8:$AO$501)</f>
        <v>20491.97</v>
      </c>
      <c r="R211" s="228"/>
      <c r="S211" s="202">
        <f t="shared" si="44"/>
        <v>3123</v>
      </c>
      <c r="T211" s="183"/>
      <c r="U211" s="25"/>
      <c r="V211" s="25"/>
      <c r="W211" s="1190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14800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8614.34</v>
      </c>
      <c r="M212" s="228"/>
      <c r="N212" s="230">
        <f t="shared" si="43"/>
        <v>-6185.66</v>
      </c>
      <c r="O212" s="228"/>
      <c r="P212" s="183"/>
      <c r="Q212" s="185" cm="1">
        <f t="array" ref="Q212">+SUMPRODUCT(('Réel 2023'!$A$8:$A$501=$A212)*('Réel 2023'!$C$3:$AO$3=Q$2),'Réel 2023'!$C$8:$AO$501)</f>
        <v>9626.7999999999993</v>
      </c>
      <c r="R212" s="228"/>
      <c r="S212" s="202">
        <f t="shared" si="44"/>
        <v>-1012.4599999999991</v>
      </c>
      <c r="T212" s="183"/>
      <c r="U212" s="25"/>
      <c r="V212" s="25"/>
      <c r="W212" s="1190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19290.833333333336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10730.66</v>
      </c>
      <c r="M213" s="283"/>
      <c r="N213" s="284">
        <f t="shared" si="43"/>
        <v>-8560.1733333333359</v>
      </c>
      <c r="O213" s="283"/>
      <c r="P213" s="281"/>
      <c r="Q213" s="185" cm="1">
        <f t="array" ref="Q213">+SUMPRODUCT(('Réel 2023'!$A$8:$A$501=$A213)*('Réel 2023'!$C$3:$AO$3=Q$2),'Réel 2023'!$C$8:$AO$501)</f>
        <v>17759.63</v>
      </c>
      <c r="R213" s="283"/>
      <c r="S213" s="205">
        <f t="shared" si="44"/>
        <v>-7028.9700000000012</v>
      </c>
      <c r="T213" s="183"/>
      <c r="U213" s="25"/>
      <c r="V213" s="25"/>
      <c r="W213" s="1190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22108.1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21975.15</v>
      </c>
      <c r="M214" s="228"/>
      <c r="N214" s="230">
        <f t="shared" si="43"/>
        <v>-132.94999999999709</v>
      </c>
      <c r="O214" s="228"/>
      <c r="P214" s="183"/>
      <c r="Q214" s="186" cm="1">
        <f t="array" ref="Q214">+SUMPRODUCT(('Réel 2023'!$A$8:$A$501=$A214)*('Réel 2023'!$C$3:$AO$3=Q$2),'Réel 2023'!$C$8:$AO$501)</f>
        <v>19602.080000000002</v>
      </c>
      <c r="R214" s="228"/>
      <c r="S214" s="202">
        <f t="shared" si="44"/>
        <v>2373.0699999999997</v>
      </c>
      <c r="T214" s="183"/>
      <c r="U214" s="25"/>
      <c r="V214" s="25"/>
      <c r="W214" s="1190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1645.2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5260.96</v>
      </c>
      <c r="M215" s="228"/>
      <c r="N215" s="230">
        <f t="shared" si="43"/>
        <v>3615.76</v>
      </c>
      <c r="O215" s="228"/>
      <c r="P215" s="183"/>
      <c r="Q215" s="185" cm="1">
        <f t="array" ref="Q215">+SUMPRODUCT(('Réel 2023'!$A$8:$A$501=$A215)*('Réel 2023'!$C$3:$AO$3=Q$2),'Réel 2023'!$C$8:$AO$501)</f>
        <v>1594.42</v>
      </c>
      <c r="R215" s="228"/>
      <c r="S215" s="202">
        <f t="shared" si="44"/>
        <v>3666.54</v>
      </c>
      <c r="T215" s="183"/>
      <c r="U215" s="25"/>
      <c r="V215" s="25"/>
      <c r="W215" s="1190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21808.9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20004.09</v>
      </c>
      <c r="M216" s="283"/>
      <c r="N216" s="284">
        <f t="shared" si="43"/>
        <v>-1804.8100000000013</v>
      </c>
      <c r="O216" s="283"/>
      <c r="P216" s="281"/>
      <c r="Q216" s="185" cm="1">
        <f t="array" ref="Q216">+SUMPRODUCT(('Réel 2023'!$A$8:$A$501=$A216)*('Réel 2023'!$C$3:$AO$3=Q$2),'Réel 2023'!$C$8:$AO$501)</f>
        <v>23500.97</v>
      </c>
      <c r="R216" s="283"/>
      <c r="S216" s="205">
        <f t="shared" si="44"/>
        <v>-3496.880000000001</v>
      </c>
      <c r="T216" s="183"/>
      <c r="U216" s="25"/>
      <c r="V216" s="25"/>
      <c r="W216" s="1190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1190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4925.3012048192768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4264.2700000000004</v>
      </c>
      <c r="M218" s="228"/>
      <c r="N218" s="230">
        <f t="shared" si="43"/>
        <v>-661.03120481927635</v>
      </c>
      <c r="O218" s="228"/>
      <c r="P218" s="183"/>
      <c r="Q218" s="185" cm="1">
        <f t="array" ref="Q218">+SUMPRODUCT(('Réel 2023'!$A$8:$A$501=$A218)*('Réel 2023'!$C$3:$AO$3=Q$2),'Réel 2023'!$C$8:$AO$501)</f>
        <v>4540.42</v>
      </c>
      <c r="R218" s="228"/>
      <c r="S218" s="202">
        <f t="shared" si="44"/>
        <v>-276.14999999999964</v>
      </c>
      <c r="T218" s="183"/>
      <c r="U218" s="25"/>
      <c r="V218" s="25"/>
      <c r="W218" s="1190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3800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3825.57</v>
      </c>
      <c r="M219" s="228"/>
      <c r="N219" s="230">
        <f t="shared" si="43"/>
        <v>25.570000000000164</v>
      </c>
      <c r="O219" s="228"/>
      <c r="P219" s="183"/>
      <c r="Q219" s="185" cm="1">
        <f t="array" ref="Q219">+SUMPRODUCT(('Réel 2023'!$A$8:$A$501=$A219)*('Réel 2023'!$C$3:$AO$3=Q$2),'Réel 2023'!$C$8:$AO$501)</f>
        <v>3746.34</v>
      </c>
      <c r="R219" s="228"/>
      <c r="S219" s="202">
        <f t="shared" si="44"/>
        <v>79.230000000000018</v>
      </c>
      <c r="T219" s="183"/>
      <c r="U219" s="25"/>
      <c r="V219" s="25"/>
      <c r="W219" s="1190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1575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1586.92</v>
      </c>
      <c r="M220" s="228"/>
      <c r="N220" s="230">
        <f t="shared" si="43"/>
        <v>11.920000000000073</v>
      </c>
      <c r="O220" s="228"/>
      <c r="P220" s="183"/>
      <c r="Q220" s="478" cm="1">
        <f t="array" ref="Q220">+SUMPRODUCT(('Réel 2023'!$A$8:$A$501=$A220)*('Réel 2023'!$C$3:$AO$3=Q$2),'Réel 2023'!$C$8:$AO$501)</f>
        <v>3014.62</v>
      </c>
      <c r="R220" s="228"/>
      <c r="S220" s="202">
        <f t="shared" si="44"/>
        <v>-1427.6999999999998</v>
      </c>
      <c r="T220" s="25"/>
      <c r="U220" s="25"/>
      <c r="V220" s="25"/>
      <c r="W220" s="1190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444.8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433.23</v>
      </c>
      <c r="M221" s="228"/>
      <c r="N221" s="230">
        <f t="shared" si="43"/>
        <v>-11.569999999999993</v>
      </c>
      <c r="O221" s="228"/>
      <c r="P221" s="183"/>
      <c r="Q221" s="185" cm="1">
        <f t="array" ref="Q221">+SUMPRODUCT(('Réel 2023'!$A$8:$A$501=$A221)*('Réel 2023'!$C$3:$AO$3=Q$2),'Réel 2023'!$C$8:$AO$501)</f>
        <v>443.55000000000007</v>
      </c>
      <c r="R221" s="228"/>
      <c r="S221" s="202">
        <f t="shared" si="44"/>
        <v>-10.32000000000005</v>
      </c>
      <c r="T221" s="25"/>
      <c r="U221" s="25"/>
      <c r="V221" s="25"/>
      <c r="W221" s="1190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450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309.94</v>
      </c>
      <c r="M222" s="228"/>
      <c r="N222" s="230">
        <f t="shared" si="43"/>
        <v>-140.06</v>
      </c>
      <c r="O222" s="228"/>
      <c r="P222" s="183"/>
      <c r="Q222" s="185" cm="1">
        <f t="array" ref="Q222">+SUMPRODUCT(('Réel 2023'!$A$8:$A$501=$A222)*('Réel 2023'!$C$3:$AO$3=Q$2),'Réel 2023'!$C$8:$AO$501)</f>
        <v>654.63</v>
      </c>
      <c r="R222" s="228"/>
      <c r="S222" s="202">
        <f t="shared" si="44"/>
        <v>-344.69</v>
      </c>
      <c r="T222" s="25"/>
      <c r="U222" s="25"/>
      <c r="V222" s="25"/>
      <c r="W222" s="1190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1672.2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1587.15</v>
      </c>
      <c r="M223" s="228"/>
      <c r="N223" s="230">
        <f t="shared" si="43"/>
        <v>-85.049999999999955</v>
      </c>
      <c r="O223" s="228"/>
      <c r="P223" s="183"/>
      <c r="Q223" s="185" cm="1">
        <f t="array" ref="Q223">+SUMPRODUCT(('Réel 2023'!$A$8:$A$501=$A223)*('Réel 2023'!$C$3:$AO$3=Q$2),'Réel 2023'!$C$8:$AO$501)</f>
        <v>1623.3799999999999</v>
      </c>
      <c r="R223" s="228"/>
      <c r="S223" s="202">
        <f t="shared" si="44"/>
        <v>-36.229999999999791</v>
      </c>
      <c r="T223" s="25"/>
      <c r="U223" s="25"/>
      <c r="V223" s="25"/>
      <c r="W223" s="1190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6914.3276266666671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3156.15</v>
      </c>
      <c r="M224" s="228"/>
      <c r="N224" s="230">
        <f t="shared" si="43"/>
        <v>-3758.177626666667</v>
      </c>
      <c r="O224" s="228"/>
      <c r="P224" s="183"/>
      <c r="Q224" s="185" cm="1">
        <f t="array" ref="Q224">+SUMPRODUCT(('Réel 2023'!$A$8:$A$501=$A224)*('Réel 2023'!$C$3:$AO$3=Q$2),'Réel 2023'!$C$8:$AO$501)</f>
        <v>10153.5</v>
      </c>
      <c r="R224" s="228"/>
      <c r="S224" s="202">
        <f t="shared" si="44"/>
        <v>-6997.35</v>
      </c>
      <c r="T224" s="25"/>
      <c r="U224" s="25"/>
      <c r="V224" s="25"/>
      <c r="W224" s="1190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4755.603213255823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5181.04</v>
      </c>
      <c r="M225" s="228"/>
      <c r="N225" s="230">
        <f t="shared" si="43"/>
        <v>425.43678674417697</v>
      </c>
      <c r="O225" s="228"/>
      <c r="P225" s="183"/>
      <c r="Q225" s="185" cm="1">
        <f t="array" ref="Q225">+SUMPRODUCT(('Réel 2023'!$A$8:$A$501=$A225)*('Réel 2023'!$C$3:$AO$3=Q$2),'Réel 2023'!$C$8:$AO$501)</f>
        <v>4500.4400000000005</v>
      </c>
      <c r="R225" s="228"/>
      <c r="S225" s="202">
        <f t="shared" si="44"/>
        <v>680.59999999999945</v>
      </c>
      <c r="T225" s="25"/>
      <c r="U225" s="25"/>
      <c r="V225" s="25"/>
      <c r="W225" s="1190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1190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1190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1190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0.38035038915967623</v>
      </c>
      <c r="F229" s="41">
        <f>+SUM(F211:F228)</f>
        <v>125848.0641457993</v>
      </c>
      <c r="G229" s="42"/>
      <c r="H229" s="40"/>
      <c r="I229" s="41"/>
      <c r="J229" s="42" t="s">
        <v>162</v>
      </c>
      <c r="K229" s="40">
        <f>L229/L$194</f>
        <v>0.39693613803975208</v>
      </c>
      <c r="L229" s="41">
        <f>+SUM(L211:L228)</f>
        <v>110544.43999999999</v>
      </c>
      <c r="M229" s="44"/>
      <c r="N229" s="41">
        <f t="shared" si="43"/>
        <v>-15303.624145799316</v>
      </c>
      <c r="O229" s="42" t="s">
        <v>162</v>
      </c>
      <c r="P229" s="40">
        <f>Q229/Q$194</f>
        <v>0.38212784633092178</v>
      </c>
      <c r="Q229" s="41">
        <f>+SUM(Q211:Q228)</f>
        <v>121252.75000000001</v>
      </c>
      <c r="R229" s="44"/>
      <c r="S229" s="290">
        <f t="shared" si="44"/>
        <v>-10708.310000000027</v>
      </c>
      <c r="T229" s="183"/>
      <c r="U229" s="25"/>
      <c r="V229" s="25"/>
      <c r="W229" s="1190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1190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0.97715272369313644</v>
      </c>
      <c r="F231" s="41">
        <f>F210+F229</f>
        <v>323314.45466183213</v>
      </c>
      <c r="G231" s="42"/>
      <c r="H231" s="40"/>
      <c r="I231" s="41"/>
      <c r="J231" s="42" t="s">
        <v>108</v>
      </c>
      <c r="K231" s="40">
        <f>L231/L$194</f>
        <v>1.0935830026233575</v>
      </c>
      <c r="L231" s="41">
        <f>L210+L229</f>
        <v>304556.60000000003</v>
      </c>
      <c r="M231" s="44"/>
      <c r="N231" s="46">
        <f>L231-F231</f>
        <v>-18757.854661832098</v>
      </c>
      <c r="O231" s="42" t="s">
        <v>108</v>
      </c>
      <c r="P231" s="40">
        <f>Q231/Q$194</f>
        <v>0.95521191336984779</v>
      </c>
      <c r="Q231" s="41">
        <f>Q210+Q229</f>
        <v>303097.7</v>
      </c>
      <c r="R231" s="44"/>
      <c r="S231" s="286">
        <f>L231-Q231</f>
        <v>1458.9000000000233</v>
      </c>
      <c r="T231" s="183"/>
      <c r="U231" s="25"/>
      <c r="V231" s="25"/>
      <c r="W231" s="1190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1190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7559.5702703905408</v>
      </c>
      <c r="G233" s="312"/>
      <c r="H233" s="310"/>
      <c r="I233" s="311"/>
      <c r="J233" s="313"/>
      <c r="K233" s="314"/>
      <c r="L233" s="311">
        <f>L194-L231</f>
        <v>-26062.330000000016</v>
      </c>
      <c r="M233" s="313"/>
      <c r="N233" s="311">
        <f>L233-F233</f>
        <v>-33621.900270390557</v>
      </c>
      <c r="O233" s="313"/>
      <c r="P233" s="314"/>
      <c r="Q233" s="311">
        <f>Q194-Q231</f>
        <v>14211.679999999877</v>
      </c>
      <c r="R233" s="313"/>
      <c r="S233" s="315">
        <f>L233-Q233</f>
        <v>-40274.009999999893</v>
      </c>
      <c r="T233" s="183"/>
      <c r="U233" s="25"/>
      <c r="V233" s="25"/>
      <c r="W233" s="1190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756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1190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1190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Avril 2024 AAD</v>
      </c>
      <c r="T236" s="463"/>
      <c r="U236" s="456"/>
      <c r="V236" s="23"/>
      <c r="W236" s="1190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1190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43" t="s">
        <v>77</v>
      </c>
      <c r="E238" s="1244"/>
      <c r="F238" s="1245"/>
      <c r="G238" s="1246"/>
      <c r="H238" s="1244"/>
      <c r="I238" s="1245"/>
      <c r="J238" s="1246" t="s">
        <v>78</v>
      </c>
      <c r="K238" s="1244"/>
      <c r="L238" s="1245"/>
      <c r="M238" s="1246" t="s">
        <v>2451</v>
      </c>
      <c r="N238" s="1245"/>
      <c r="O238" s="1243" t="s">
        <v>79</v>
      </c>
      <c r="P238" s="1244"/>
      <c r="Q238" s="1245"/>
      <c r="R238" s="1247" t="s">
        <v>2455</v>
      </c>
      <c r="S238" s="1248"/>
      <c r="T238" s="364"/>
      <c r="U238" s="183"/>
      <c r="V238" s="387"/>
      <c r="W238" s="1190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190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190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6869.433160702536</v>
      </c>
      <c r="F241" s="200" cm="1">
        <f t="array" ref="F241">+SUMPRODUCT(('Budget original'!$A$8:$A$501=$A241)*('Budget original'!$C$3:$AO$3=F$2),'Budget original'!$C$8:$AO$501)</f>
        <v>1236.4979689264565</v>
      </c>
      <c r="G241" s="316"/>
      <c r="H241" s="200"/>
      <c r="I241" s="200"/>
      <c r="J241" s="229">
        <f>-SUMIFS(BV_Data_An_Cour!$P:$P,BV_Data_An_Cour!$U:$U,$B241,BV_Data_An_Cour!$V:$V,$C241,BV_Data_An_Cour!$W:$W,J$2)</f>
        <v>19</v>
      </c>
      <c r="K241" s="184">
        <f>-SUMIFS(BV_Data_An_Cour!$P:$P,BV_Data_An_Cour!$X:$X,"Oui",BV_Data_An_Cour!$U:$U,$B241,BV_Data_An_Cour!$V:$V,$C241)</f>
        <v>5880.32</v>
      </c>
      <c r="L241" s="185">
        <f>-SUMIFS(BV_Data_An_Cour!$P:$P,BV_Data_An_Cour!$U:$U,$B241,BV_Data_An_Cour!$V:$V,$C241,BV_Data_An_Cour!$W:$W,$L$2)</f>
        <v>525.00999999999931</v>
      </c>
      <c r="M241" s="298">
        <f>IFERROR((K241-E241)/E241,0)</f>
        <v>-0.14398759512806436</v>
      </c>
      <c r="N241" s="230">
        <f>L241-F241</f>
        <v>-711.48796892645714</v>
      </c>
      <c r="O241" s="229" cm="1">
        <f t="array" ref="O241">+SUMPRODUCT(('Réel 2023'!$A$8:$A$501=$A241)*('Réel 2023'!$C$3:$AO$3=O$2),'Réel 2023'!$C$8:$AO$501)</f>
        <v>45</v>
      </c>
      <c r="P241" s="184" cm="1">
        <f t="array" ref="P241">+SUMPRODUCT(('Réel 2023'!$A$8:$A$501=$A241)*('Réel 2023'!$C$3:$AO$3=P$2),'Réel 2023'!$C$8:$AO$501)</f>
        <v>10838.31</v>
      </c>
      <c r="Q241" s="185" cm="1">
        <f t="array" ref="Q241">+SUMPRODUCT(('Réel 2023'!$A$8:$A$501=$A241)*('Réel 2023'!$C$3:$AO$3=Q$2),'Réel 2023'!$C$8:$AO$501)</f>
        <v>1957.479999999998</v>
      </c>
      <c r="R241" s="298">
        <f>IF(O241=0,0,J241/O241)</f>
        <v>0.42222222222222222</v>
      </c>
      <c r="S241" s="202">
        <f>L241-Q241</f>
        <v>-1432.4699999999987</v>
      </c>
      <c r="T241" s="258"/>
      <c r="U241" s="183"/>
      <c r="V241" s="183"/>
      <c r="W241" s="1190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8.928255605137124E-2</v>
      </c>
      <c r="M242" s="298"/>
      <c r="N242" s="230">
        <f>IFERROR(N241/M241,0)</f>
        <v>4941.3143423476922</v>
      </c>
      <c r="O242" s="229"/>
      <c r="P242" s="183"/>
      <c r="Q242" s="232">
        <f>IFERROR(Q241/P241,0)</f>
        <v>0.18060749323464617</v>
      </c>
      <c r="R242" s="229"/>
      <c r="S242" s="202">
        <f>IFERROR(S241/R241,0)</f>
        <v>-3392.6921052631546</v>
      </c>
      <c r="T242" s="258"/>
      <c r="U242" s="183"/>
      <c r="V242" s="183"/>
      <c r="W242" s="1190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190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190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190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190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190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190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190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6869.433160702536</v>
      </c>
      <c r="F250" s="28">
        <f t="shared" si="46"/>
        <v>1236.4979689264565</v>
      </c>
      <c r="G250" s="29"/>
      <c r="H250" s="26"/>
      <c r="I250" s="28"/>
      <c r="J250" s="29"/>
      <c r="K250" s="26">
        <f>K244+K247+K241</f>
        <v>5880.32</v>
      </c>
      <c r="L250" s="28">
        <f>L244+L247+L241</f>
        <v>525.00999999999931</v>
      </c>
      <c r="M250" s="70">
        <f>L251-F251</f>
        <v>-9.0717443948628754E-2</v>
      </c>
      <c r="N250" s="28">
        <f>L250-F250</f>
        <v>-711.48796892645714</v>
      </c>
      <c r="O250" s="29"/>
      <c r="P250" s="26">
        <f t="shared" ref="P250:Q250" si="47">P244+P247+P241</f>
        <v>10838.31</v>
      </c>
      <c r="Q250" s="28">
        <f t="shared" si="47"/>
        <v>1957.479999999998</v>
      </c>
      <c r="R250" s="70">
        <f>L251-Q251</f>
        <v>-9.1324937183274932E-2</v>
      </c>
      <c r="S250" s="326">
        <f>L250-Q250</f>
        <v>-1432.4699999999987</v>
      </c>
      <c r="T250" s="213"/>
      <c r="U250" s="183"/>
      <c r="V250" s="183"/>
      <c r="W250" s="1190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8.928255605137124E-2</v>
      </c>
      <c r="M251" s="33"/>
      <c r="N251" s="34">
        <f>N250/F250</f>
        <v>-0.57540569156306842</v>
      </c>
      <c r="O251" s="31"/>
      <c r="P251" s="328"/>
      <c r="Q251" s="34">
        <f>Q250/P250</f>
        <v>0.18060749323464617</v>
      </c>
      <c r="R251" s="33"/>
      <c r="S251" s="264">
        <f>IF(R250=0,0,S250/R250)</f>
        <v>15685.420041683186</v>
      </c>
      <c r="T251" s="213"/>
      <c r="U251" s="183"/>
      <c r="V251" s="183"/>
      <c r="W251" s="1190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190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190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1217.1000000000001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1217.08</v>
      </c>
      <c r="M254" s="228"/>
      <c r="N254" s="230">
        <f t="shared" ref="N254:N284" si="48">L254-F254</f>
        <v>-2.0000000000209184E-2</v>
      </c>
      <c r="O254" s="228"/>
      <c r="P254" s="183"/>
      <c r="Q254" s="185" cm="1">
        <f t="array" ref="Q254">+SUMPRODUCT(('Réel 2023'!$A$8:$A$501=$A254)*('Réel 2023'!$C$3:$AO$3=Q$2),'Réel 2023'!$C$8:$AO$501)</f>
        <v>1217.08</v>
      </c>
      <c r="R254" s="228"/>
      <c r="S254" s="202">
        <f>L254-Q254</f>
        <v>0</v>
      </c>
      <c r="T254" s="183"/>
      <c r="U254" s="183"/>
      <c r="V254" s="183"/>
      <c r="W254" s="1190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1376.8543893129772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1253.6600000000001</v>
      </c>
      <c r="M255" s="228"/>
      <c r="N255" s="230">
        <f t="shared" si="48"/>
        <v>-123.19438931297714</v>
      </c>
      <c r="O255" s="228"/>
      <c r="P255" s="183"/>
      <c r="Q255" s="185" cm="1">
        <f t="array" ref="Q255">+SUMPRODUCT(('Réel 2023'!$A$8:$A$501=$A255)*('Réel 2023'!$C$3:$AO$3=Q$2),'Réel 2023'!$C$8:$AO$501)</f>
        <v>1345.3799999999999</v>
      </c>
      <c r="R255" s="228"/>
      <c r="S255" s="202">
        <f>L255-Q255</f>
        <v>-91.7199999999998</v>
      </c>
      <c r="T255" s="183"/>
      <c r="U255" s="183"/>
      <c r="V255" s="183"/>
      <c r="W255" s="1190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76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76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76</v>
      </c>
      <c r="R256" s="278"/>
      <c r="S256" s="204">
        <f t="shared" ref="S256:S285" si="49">L256-Q256</f>
        <v>0</v>
      </c>
      <c r="T256" s="183"/>
      <c r="U256" s="183"/>
      <c r="V256" s="183"/>
      <c r="W256" s="1190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190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190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190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1190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416.39241092359219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419.51</v>
      </c>
      <c r="M261" s="228"/>
      <c r="N261" s="230">
        <f t="shared" si="48"/>
        <v>3.1175890764077963</v>
      </c>
      <c r="O261" s="228"/>
      <c r="P261" s="183"/>
      <c r="Q261" s="185" cm="1">
        <f t="array" ref="Q261">+SUMPRODUCT(('Réel 2023'!$A$8:$A$501=$A261)*('Réel 2023'!$C$3:$AO$3=Q$2),'Réel 2023'!$C$8:$AO$501)</f>
        <v>395.29</v>
      </c>
      <c r="R261" s="228"/>
      <c r="S261" s="202">
        <f t="shared" si="49"/>
        <v>24.21999999999997</v>
      </c>
      <c r="T261" s="25"/>
      <c r="U261" s="25"/>
      <c r="V261" s="25"/>
      <c r="W261" s="1190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566.6220600508907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1516.72</v>
      </c>
      <c r="M262" s="278"/>
      <c r="N262" s="279">
        <f t="shared" si="48"/>
        <v>950.09793994910933</v>
      </c>
      <c r="O262" s="278"/>
      <c r="P262" s="276"/>
      <c r="Q262" s="186" cm="1">
        <f t="array" ref="Q262">+SUMPRODUCT(('Réel 2023'!$A$8:$A$501=$A262)*('Réel 2023'!$C$3:$AO$3=Q$2),'Réel 2023'!$C$8:$AO$501)</f>
        <v>885.3900000000001</v>
      </c>
      <c r="R262" s="278"/>
      <c r="S262" s="204">
        <f t="shared" si="49"/>
        <v>631.32999999999993</v>
      </c>
      <c r="T262" s="25"/>
      <c r="U262" s="25"/>
      <c r="V262" s="25"/>
      <c r="W262" s="1190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258.31299796437662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241.84</v>
      </c>
      <c r="M263" s="228"/>
      <c r="N263" s="230">
        <f t="shared" si="48"/>
        <v>-16.472997964376617</v>
      </c>
      <c r="O263" s="228"/>
      <c r="P263" s="183"/>
      <c r="Q263" s="185" cm="1">
        <f t="array" ref="Q263">+SUMPRODUCT(('Réel 2023'!$A$8:$A$501=$A263)*('Réel 2023'!$C$3:$AO$3=Q$2),'Réel 2023'!$C$8:$AO$501)</f>
        <v>112.30000000000001</v>
      </c>
      <c r="R263" s="228"/>
      <c r="S263" s="202">
        <f t="shared" si="49"/>
        <v>129.54</v>
      </c>
      <c r="T263" s="183"/>
      <c r="U263" s="183"/>
      <c r="V263" s="183"/>
      <c r="W263" s="1190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58.32874147582698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68.87</v>
      </c>
      <c r="M264" s="228"/>
      <c r="N264" s="230">
        <f t="shared" si="48"/>
        <v>10.541258524173024</v>
      </c>
      <c r="O264" s="228"/>
      <c r="P264" s="183"/>
      <c r="Q264" s="185" cm="1">
        <f t="array" ref="Q264">+SUMPRODUCT(('Réel 2023'!$A$8:$A$501=$A264)*('Réel 2023'!$C$3:$AO$3=Q$2),'Réel 2023'!$C$8:$AO$501)</f>
        <v>51.769999999999996</v>
      </c>
      <c r="R264" s="228"/>
      <c r="S264" s="202">
        <f t="shared" si="49"/>
        <v>17.100000000000009</v>
      </c>
      <c r="T264" s="183"/>
      <c r="U264" s="183"/>
      <c r="V264" s="183"/>
      <c r="W264" s="1190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190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3969.6105997276641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4793.68</v>
      </c>
      <c r="M266" s="43"/>
      <c r="N266" s="46">
        <f t="shared" si="48"/>
        <v>824.06940027233622</v>
      </c>
      <c r="O266" s="42" t="s">
        <v>108</v>
      </c>
      <c r="P266" s="40" t="e">
        <f>Q266/Q$244</f>
        <v>#DIV/0!</v>
      </c>
      <c r="Q266" s="41">
        <f>+SUM(Q254:Q265)</f>
        <v>4083.2100000000005</v>
      </c>
      <c r="R266" s="43"/>
      <c r="S266" s="286">
        <f t="shared" si="49"/>
        <v>710.4699999999998</v>
      </c>
      <c r="T266" s="183"/>
      <c r="U266" s="183"/>
      <c r="V266" s="183"/>
      <c r="W266" s="1190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20</v>
      </c>
      <c r="M267" s="228"/>
      <c r="N267" s="230">
        <f t="shared" si="48"/>
        <v>20</v>
      </c>
      <c r="O267" s="228"/>
      <c r="P267" s="183"/>
      <c r="Q267" s="185" cm="1">
        <f t="array" ref="Q267">+SUMPRODUCT(('Réel 2023'!$A$8:$A$501=$A267)*('Réel 2023'!$C$3:$AO$3=Q$2),'Réel 2023'!$C$8:$AO$501)</f>
        <v>12.97</v>
      </c>
      <c r="R267" s="228"/>
      <c r="S267" s="202">
        <f t="shared" si="49"/>
        <v>7.0299999999999994</v>
      </c>
      <c r="T267" s="183"/>
      <c r="U267" s="183"/>
      <c r="V267" s="183"/>
      <c r="W267" s="1190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89.67</v>
      </c>
      <c r="M268" s="228"/>
      <c r="N268" s="230">
        <f t="shared" si="48"/>
        <v>89.67</v>
      </c>
      <c r="O268" s="228"/>
      <c r="P268" s="183"/>
      <c r="Q268" s="185" cm="1">
        <f t="array" ref="Q268">+SUMPRODUCT(('Réel 2023'!$A$8:$A$501=$A268)*('Réel 2023'!$C$3:$AO$3=Q$2),'Réel 2023'!$C$8:$AO$501)</f>
        <v>2.99</v>
      </c>
      <c r="R268" s="228"/>
      <c r="S268" s="202">
        <f t="shared" si="49"/>
        <v>86.68</v>
      </c>
      <c r="T268" s="183"/>
      <c r="U268" s="183"/>
      <c r="V268" s="183"/>
      <c r="W268" s="1190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477.5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587.78</v>
      </c>
      <c r="M269" s="283"/>
      <c r="N269" s="284">
        <f t="shared" si="48"/>
        <v>110.27999999999997</v>
      </c>
      <c r="O269" s="283"/>
      <c r="P269" s="281"/>
      <c r="Q269" s="185" cm="1">
        <f t="array" ref="Q269">+SUMPRODUCT(('Réel 2023'!$A$8:$A$501=$A269)*('Réel 2023'!$C$3:$AO$3=Q$2),'Réel 2023'!$C$8:$AO$501)</f>
        <v>551.05999999999995</v>
      </c>
      <c r="R269" s="283"/>
      <c r="S269" s="205">
        <f t="shared" si="49"/>
        <v>36.720000000000027</v>
      </c>
      <c r="T269" s="183"/>
      <c r="U269" s="183"/>
      <c r="V269" s="183"/>
      <c r="W269" s="1190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956.90000000000009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862.04</v>
      </c>
      <c r="M270" s="228"/>
      <c r="N270" s="230">
        <f t="shared" si="48"/>
        <v>-94.860000000000127</v>
      </c>
      <c r="O270" s="228"/>
      <c r="P270" s="183"/>
      <c r="Q270" s="186" cm="1">
        <f t="array" ref="Q270">+SUMPRODUCT(('Réel 2023'!$A$8:$A$501=$A270)*('Réel 2023'!$C$3:$AO$3=Q$2),'Réel 2023'!$C$8:$AO$501)</f>
        <v>884.31000000000006</v>
      </c>
      <c r="R270" s="228"/>
      <c r="S270" s="202">
        <f t="shared" si="49"/>
        <v>-22.270000000000095</v>
      </c>
      <c r="T270" s="183"/>
      <c r="U270" s="183"/>
      <c r="V270" s="183"/>
      <c r="W270" s="1190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182.8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203.21</v>
      </c>
      <c r="M271" s="228"/>
      <c r="N271" s="230">
        <f t="shared" si="48"/>
        <v>20.409999999999997</v>
      </c>
      <c r="O271" s="228"/>
      <c r="P271" s="183"/>
      <c r="Q271" s="185" cm="1">
        <f t="array" ref="Q271">+SUMPRODUCT(('Réel 2023'!$A$8:$A$501=$A271)*('Réel 2023'!$C$3:$AO$3=Q$2),'Réel 2023'!$C$8:$AO$501)</f>
        <v>129.87</v>
      </c>
      <c r="R271" s="228"/>
      <c r="S271" s="202">
        <f t="shared" si="49"/>
        <v>73.34</v>
      </c>
      <c r="T271" s="183"/>
      <c r="U271" s="183"/>
      <c r="V271" s="183"/>
      <c r="W271" s="1190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612.1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656.88</v>
      </c>
      <c r="M272" s="283"/>
      <c r="N272" s="284">
        <f t="shared" si="48"/>
        <v>44.779999999999973</v>
      </c>
      <c r="O272" s="283"/>
      <c r="P272" s="281"/>
      <c r="Q272" s="182" cm="1">
        <f t="array" ref="Q272">+SUMPRODUCT(('Réel 2023'!$A$8:$A$501=$A272)*('Réel 2023'!$C$3:$AO$3=Q$2),'Réel 2023'!$C$8:$AO$501)</f>
        <v>627.94000000000005</v>
      </c>
      <c r="R272" s="283"/>
      <c r="S272" s="205">
        <f t="shared" si="49"/>
        <v>28.939999999999941</v>
      </c>
      <c r="T272" s="183"/>
      <c r="U272" s="183"/>
      <c r="V272" s="183"/>
      <c r="W272" s="1190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1190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10.120481927710843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-10.120481927710843</v>
      </c>
      <c r="O274" s="228"/>
      <c r="P274" s="183"/>
      <c r="Q274" s="185" cm="1">
        <f t="array" ref="Q274">+SUMPRODUCT(('Réel 2023'!$A$8:$A$501=$A274)*('Réel 2023'!$C$3:$AO$3=Q$2),'Réel 2023'!$C$8:$AO$501)</f>
        <v>0.7</v>
      </c>
      <c r="R274" s="228"/>
      <c r="S274" s="202">
        <f t="shared" si="49"/>
        <v>-0.7</v>
      </c>
      <c r="T274" s="183"/>
      <c r="U274" s="183"/>
      <c r="V274" s="183"/>
      <c r="W274" s="1190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-8.6000000000000014</v>
      </c>
      <c r="T275" s="183"/>
      <c r="U275" s="183"/>
      <c r="V275" s="183"/>
      <c r="W275" s="1190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175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77.14</v>
      </c>
      <c r="M276" s="228"/>
      <c r="N276" s="230">
        <f t="shared" si="48"/>
        <v>-97.86</v>
      </c>
      <c r="O276" s="228"/>
      <c r="P276" s="183"/>
      <c r="Q276" s="478" cm="1">
        <f t="array" ref="Q276">+SUMPRODUCT(('Réel 2023'!$A$8:$A$501=$A276)*('Réel 2023'!$C$3:$AO$3=Q$2),'Réel 2023'!$C$8:$AO$501)</f>
        <v>101.51</v>
      </c>
      <c r="R276" s="228"/>
      <c r="S276" s="202">
        <f t="shared" si="49"/>
        <v>-24.370000000000005</v>
      </c>
      <c r="T276" s="25"/>
      <c r="U276" s="25"/>
      <c r="V276" s="25"/>
      <c r="W276" s="1190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35.200000000000003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34.19</v>
      </c>
      <c r="M277" s="228"/>
      <c r="N277" s="230">
        <f t="shared" si="48"/>
        <v>-1.0100000000000051</v>
      </c>
      <c r="O277" s="228"/>
      <c r="P277" s="183"/>
      <c r="Q277" s="185" cm="1">
        <f t="array" ref="Q277">+SUMPRODUCT(('Réel 2023'!$A$8:$A$501=$A277)*('Réel 2023'!$C$3:$AO$3=Q$2),'Réel 2023'!$C$8:$AO$501)</f>
        <v>35.89</v>
      </c>
      <c r="R277" s="228"/>
      <c r="S277" s="202">
        <f t="shared" si="49"/>
        <v>-1.7000000000000028</v>
      </c>
      <c r="T277" s="25"/>
      <c r="U277" s="25"/>
      <c r="V277" s="25"/>
      <c r="W277" s="1190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50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18.190000000000001</v>
      </c>
      <c r="M278" s="228"/>
      <c r="N278" s="230">
        <f t="shared" si="48"/>
        <v>-31.81</v>
      </c>
      <c r="O278" s="228"/>
      <c r="P278" s="183"/>
      <c r="Q278" s="185" cm="1">
        <f t="array" ref="Q278">+SUMPRODUCT(('Réel 2023'!$A$8:$A$501=$A278)*('Réel 2023'!$C$3:$AO$3=Q$2),'Réel 2023'!$C$8:$AO$501)</f>
        <v>24.29</v>
      </c>
      <c r="R278" s="228"/>
      <c r="S278" s="202">
        <f t="shared" si="49"/>
        <v>-6.0999999999999979</v>
      </c>
      <c r="T278" s="25"/>
      <c r="U278" s="25"/>
      <c r="V278" s="25"/>
      <c r="W278" s="1190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185.8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176.3</v>
      </c>
      <c r="M279" s="228"/>
      <c r="N279" s="230">
        <f t="shared" si="48"/>
        <v>-9.5</v>
      </c>
      <c r="O279" s="228"/>
      <c r="P279" s="183"/>
      <c r="Q279" s="185" cm="1">
        <f t="array" ref="Q279">+SUMPRODUCT(('Réel 2023'!$A$8:$A$501=$A279)*('Réel 2023'!$C$3:$AO$3=Q$2),'Réel 2023'!$C$8:$AO$501)</f>
        <v>160.8499999999998</v>
      </c>
      <c r="R279" s="228"/>
      <c r="S279" s="202">
        <f t="shared" si="49"/>
        <v>15.450000000000216</v>
      </c>
      <c r="T279" s="25"/>
      <c r="U279" s="25"/>
      <c r="V279" s="25"/>
      <c r="W279" s="1190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83.073439999999977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19.09</v>
      </c>
      <c r="M280" s="228"/>
      <c r="N280" s="230">
        <f t="shared" si="48"/>
        <v>-63.983439999999973</v>
      </c>
      <c r="O280" s="228"/>
      <c r="P280" s="183"/>
      <c r="Q280" s="185" cm="1">
        <f t="array" ref="Q280">+SUMPRODUCT(('Réel 2023'!$A$8:$A$501=$A280)*('Réel 2023'!$C$3:$AO$3=Q$2),'Réel 2023'!$C$8:$AO$501)</f>
        <v>45.48</v>
      </c>
      <c r="R280" s="228"/>
      <c r="S280" s="202">
        <f t="shared" si="49"/>
        <v>-26.389999999999997</v>
      </c>
      <c r="T280" s="25"/>
      <c r="U280" s="25"/>
      <c r="V280" s="25"/>
      <c r="W280" s="1190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528.40035702842476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575.66999999999996</v>
      </c>
      <c r="M281" s="228"/>
      <c r="N281" s="230">
        <f t="shared" si="48"/>
        <v>47.269642971575195</v>
      </c>
      <c r="O281" s="228"/>
      <c r="P281" s="183"/>
      <c r="Q281" s="185" cm="1">
        <f t="array" ref="Q281">+SUMPRODUCT(('Réel 2023'!$A$8:$A$501=$A281)*('Réel 2023'!$C$3:$AO$3=Q$2),'Réel 2023'!$C$8:$AO$501)</f>
        <v>500.03</v>
      </c>
      <c r="R281" s="228"/>
      <c r="S281" s="202">
        <f t="shared" si="49"/>
        <v>75.639999999999986</v>
      </c>
      <c r="T281" s="25"/>
      <c r="U281" s="25"/>
      <c r="V281" s="25"/>
      <c r="W281" s="1190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1190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1190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1190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2.6663159680064354</v>
      </c>
      <c r="F285" s="41">
        <f>+SUM(F267:F284)</f>
        <v>3296.8942789561361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3320.1600000000003</v>
      </c>
      <c r="M285" s="44"/>
      <c r="N285" s="41">
        <f>+SUM(N267:N284)</f>
        <v>23.265721043864204</v>
      </c>
      <c r="O285" s="42" t="s">
        <v>108</v>
      </c>
      <c r="P285" s="40">
        <f>IF(Q250=0,0,Q285/Q$250)</f>
        <v>1.5767670678627639</v>
      </c>
      <c r="Q285" s="41">
        <f>+SUM(Q267:Q284)</f>
        <v>3086.49</v>
      </c>
      <c r="R285" s="44"/>
      <c r="S285" s="290">
        <f t="shared" si="49"/>
        <v>233.67000000000053</v>
      </c>
      <c r="T285" s="238"/>
      <c r="U285" s="183"/>
      <c r="V285" s="25"/>
      <c r="W285" s="1190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1190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5.8766816131470669</v>
      </c>
      <c r="F287" s="41">
        <f>F266+F285</f>
        <v>7266.5048786837997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8113.84</v>
      </c>
      <c r="M287" s="44"/>
      <c r="N287" s="46">
        <f>L287-F287</f>
        <v>847.33512131620046</v>
      </c>
      <c r="O287" s="42" t="s">
        <v>108</v>
      </c>
      <c r="P287" s="40">
        <f>IF(Q250=0,0,Q287/Q$250)</f>
        <v>3.662719414757754</v>
      </c>
      <c r="Q287" s="41">
        <f>Q266+Q285</f>
        <v>7169.7000000000007</v>
      </c>
      <c r="R287" s="44"/>
      <c r="S287" s="286">
        <f>L287-Q287</f>
        <v>944.13999999999942</v>
      </c>
      <c r="T287" s="238"/>
      <c r="U287" s="183"/>
      <c r="V287" s="25"/>
      <c r="W287" s="1190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1190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-6030.0069097573432</v>
      </c>
      <c r="G289" s="312"/>
      <c r="H289" s="310"/>
      <c r="I289" s="311"/>
      <c r="J289" s="313"/>
      <c r="K289" s="314"/>
      <c r="L289" s="311">
        <f>L250-L287</f>
        <v>-7588.8300000000008</v>
      </c>
      <c r="M289" s="313"/>
      <c r="N289" s="311">
        <f>L289-F289</f>
        <v>-1558.8230902426576</v>
      </c>
      <c r="O289" s="313"/>
      <c r="P289" s="314"/>
      <c r="Q289" s="311">
        <f>Q250-Q287</f>
        <v>-5212.220000000003</v>
      </c>
      <c r="R289" s="313"/>
      <c r="S289" s="315">
        <f>L289-Q289</f>
        <v>-2376.6099999999979</v>
      </c>
      <c r="T289" s="238"/>
      <c r="U289" s="183"/>
      <c r="V289" s="25"/>
      <c r="W289" s="1190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200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1190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756"/>
      <c r="M291" s="19"/>
      <c r="N291" s="18"/>
      <c r="O291" s="18"/>
      <c r="P291" s="19"/>
      <c r="Q291" s="18"/>
      <c r="R291" s="19"/>
      <c r="S291" s="6" t="str">
        <f>$S$1</f>
        <v>Réalisé, Avril 2024 AAD</v>
      </c>
      <c r="T291" s="25"/>
      <c r="U291" s="25"/>
      <c r="V291" s="25"/>
      <c r="W291" s="1190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1190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43" t="s">
        <v>77</v>
      </c>
      <c r="E293" s="1244"/>
      <c r="F293" s="1245"/>
      <c r="G293" s="1246"/>
      <c r="H293" s="1244"/>
      <c r="I293" s="1245"/>
      <c r="J293" s="1246" t="s">
        <v>78</v>
      </c>
      <c r="K293" s="1244"/>
      <c r="L293" s="1245"/>
      <c r="M293" s="1246" t="s">
        <v>2451</v>
      </c>
      <c r="N293" s="1245"/>
      <c r="O293" s="1243" t="s">
        <v>79</v>
      </c>
      <c r="P293" s="1244"/>
      <c r="Q293" s="1245"/>
      <c r="R293" s="1247" t="s">
        <v>2455</v>
      </c>
      <c r="S293" s="1248"/>
      <c r="T293" s="25"/>
      <c r="U293" s="25"/>
      <c r="V293" s="25"/>
      <c r="W293" s="1190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1190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173914.83557743835</v>
      </c>
      <c r="E295" s="213">
        <f t="shared" ref="E295:E303" si="51">IF(D295=0,0,F295/D295)</f>
        <v>0.41800000000000004</v>
      </c>
      <c r="F295" s="202" cm="1">
        <f t="array" ref="F295">+SUMPRODUCT(('Budget original'!$A$8:$A$501=$A295)*('Budget original'!$C$3:$AO$3=F$2),'Budget original'!$C$8:$AO$501)</f>
        <v>72696.401271369235</v>
      </c>
      <c r="G295" s="200"/>
      <c r="H295" s="213"/>
      <c r="I295" s="202"/>
      <c r="J295" s="184">
        <f>-SUMIFS(BV_Data_An_Cour!$P:$P,BV_Data_An_Cour!$X:$X,"Oui",BV_Data_An_Cour!$U:$U,$B295,BV_Data_An_Cour!$V:$V,$C295)</f>
        <v>187658.45</v>
      </c>
      <c r="K295" s="213">
        <f t="shared" ref="K295:K304" si="52">IF(J295&lt;=0,0,L295/J295)</f>
        <v>0.40160856065900585</v>
      </c>
      <c r="L295" s="185">
        <f>-SUMIFS(BV_Data_An_Cour!$P:$P,BV_Data_An_Cour!$U:$U,$B295,BV_Data_An_Cour!$V:$V,$C295,BV_Data_An_Cour!$W:$W,$L$2)</f>
        <v>75365.24000000002</v>
      </c>
      <c r="M295" s="298">
        <f t="shared" ref="M295:M301" si="53">(+J295-D295)/D295</f>
        <v>7.9024968611387358E-2</v>
      </c>
      <c r="N295" s="230">
        <f t="shared" ref="N295:N304" si="54">L295-F295</f>
        <v>2668.8387286307843</v>
      </c>
      <c r="O295" s="184" cm="1">
        <f t="array" ref="O295">+SUMPRODUCT(('Réel 2023'!$A$8:$A$501=$A295)*('Réel 2023'!$C$3:$AO$3=O$2),'Réel 2023'!$C$8:$AO$501)</f>
        <v>171750.64</v>
      </c>
      <c r="P295" s="213">
        <f t="shared" ref="P295:P303" si="55">IF(O295=0,0,Q295/O295)</f>
        <v>0.4057448053759799</v>
      </c>
      <c r="Q295" s="185" cm="1">
        <f t="array" ref="Q295">+SUMPRODUCT(('Réel 2023'!$A$8:$A$501=$A295)*('Réel 2023'!$C$3:$AO$3=Q$2),'Réel 2023'!$C$8:$AO$501)</f>
        <v>69686.929999999993</v>
      </c>
      <c r="R295" s="298">
        <f>IF(O295=0,0,(J295-O295)/O295)</f>
        <v>9.2621547145326485E-2</v>
      </c>
      <c r="S295" s="202">
        <f t="shared" ref="S295:S304" si="56">L295-Q295</f>
        <v>5678.3100000000268</v>
      </c>
      <c r="T295" s="25"/>
      <c r="U295" s="25"/>
      <c r="V295" s="25"/>
      <c r="W295" s="1190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3333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1133.22</v>
      </c>
      <c r="G296" s="200"/>
      <c r="H296" s="213"/>
      <c r="I296" s="202"/>
      <c r="J296" s="184">
        <f>-SUMIFS(BV_Data_An_Cour!$P:$P,BV_Data_An_Cour!$X:$X,"Oui",BV_Data_An_Cour!$U:$U,$B296,BV_Data_An_Cour!$V:$V,$C296)</f>
        <v>607.12</v>
      </c>
      <c r="K296" s="213">
        <f t="shared" si="52"/>
        <v>0.37600474370799847</v>
      </c>
      <c r="L296" s="185">
        <f>-SUMIFS(BV_Data_An_Cour!$P:$P,BV_Data_An_Cour!$U:$U,$B296,BV_Data_An_Cour!$V:$V,$C296,BV_Data_An_Cour!$W:$W,$L$2)</f>
        <v>228.28000000000003</v>
      </c>
      <c r="M296" s="298">
        <f t="shared" si="53"/>
        <v>-0.81784578457845791</v>
      </c>
      <c r="N296" s="230">
        <f t="shared" si="54"/>
        <v>-904.94</v>
      </c>
      <c r="O296" s="184" cm="1">
        <f t="array" ref="O296">+SUMPRODUCT(('Réel 2023'!$A$8:$A$501=$A296)*('Réel 2023'!$C$3:$AO$3=O$2),'Réel 2023'!$C$8:$AO$501)</f>
        <v>2222.9199999999901</v>
      </c>
      <c r="P296" s="213">
        <f t="shared" si="55"/>
        <v>0.3395263887139448</v>
      </c>
      <c r="Q296" s="185" cm="1">
        <f t="array" ref="Q296">+SUMPRODUCT(('Réel 2023'!$A$8:$A$501=$A296)*('Réel 2023'!$C$3:$AO$3=Q$2),'Réel 2023'!$C$8:$AO$501)</f>
        <v>754.73999999999887</v>
      </c>
      <c r="R296" s="298">
        <f t="shared" ref="R296:R303" si="57">IF(O296=0,0,(J296-O296)/O296)</f>
        <v>-0.72688175912763275</v>
      </c>
      <c r="S296" s="202">
        <f t="shared" si="56"/>
        <v>-526.4599999999989</v>
      </c>
      <c r="T296" s="25"/>
      <c r="U296" s="25"/>
      <c r="V296" s="25"/>
      <c r="W296" s="1190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229199.26619255269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66009.388663455175</v>
      </c>
      <c r="G297" s="200"/>
      <c r="H297" s="213"/>
      <c r="I297" s="202"/>
      <c r="J297" s="184">
        <f>-SUMIFS(BV_Data_An_Cour!$P:$P,BV_Data_An_Cour!$X:$X,"Oui",BV_Data_An_Cour!$U:$U,$B297,BV_Data_An_Cour!$V:$V,$C297)</f>
        <v>191823.71999999997</v>
      </c>
      <c r="K297" s="213">
        <f t="shared" si="52"/>
        <v>0.28857771082742001</v>
      </c>
      <c r="L297" s="185">
        <f>-SUMIFS(BV_Data_An_Cour!$P:$P,BV_Data_An_Cour!$U:$U,$B297,BV_Data_An_Cour!$V:$V,$C297,BV_Data_An_Cour!$W:$W,$L$2)</f>
        <v>55356.049999999974</v>
      </c>
      <c r="M297" s="298">
        <f t="shared" si="53"/>
        <v>-0.16307009535167155</v>
      </c>
      <c r="N297" s="230">
        <f t="shared" si="54"/>
        <v>-10653.338663455201</v>
      </c>
      <c r="O297" s="184" cm="1">
        <f t="array" ref="O297">+SUMPRODUCT(('Réel 2023'!$A$8:$A$501=$A297)*('Réel 2023'!$C$3:$AO$3=O$2),'Réel 2023'!$C$8:$AO$501)</f>
        <v>305294.48</v>
      </c>
      <c r="P297" s="213">
        <f t="shared" si="55"/>
        <v>0.28487229772382361</v>
      </c>
      <c r="Q297" s="185" cm="1">
        <f t="array" ref="Q297">+SUMPRODUCT(('Réel 2023'!$A$8:$A$501=$A297)*('Réel 2023'!$C$3:$AO$3=Q$2),'Réel 2023'!$C$8:$AO$501)</f>
        <v>86969.9399999999</v>
      </c>
      <c r="R297" s="298">
        <f t="shared" si="57"/>
        <v>-0.37167642205650103</v>
      </c>
      <c r="S297" s="202">
        <f t="shared" si="56"/>
        <v>-31613.889999999927</v>
      </c>
      <c r="T297" s="25"/>
      <c r="U297" s="25"/>
      <c r="V297" s="25"/>
      <c r="W297" s="1190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59006.763316709461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22717.603876933143</v>
      </c>
      <c r="G298" s="200"/>
      <c r="H298" s="213"/>
      <c r="I298" s="202"/>
      <c r="J298" s="184">
        <f>-SUMIFS(BV_Data_An_Cour!$P:$P,BV_Data_An_Cour!$X:$X,"Oui",BV_Data_An_Cour!$U:$U,$B298,BV_Data_An_Cour!$V:$V,$C298)</f>
        <v>50215.679999999993</v>
      </c>
      <c r="K298" s="213">
        <f t="shared" si="52"/>
        <v>0.31926939951823802</v>
      </c>
      <c r="L298" s="185">
        <f>-SUMIFS(BV_Data_An_Cour!$P:$P,BV_Data_An_Cour!$U:$U,$B298,BV_Data_An_Cour!$V:$V,$C298,BV_Data_An_Cour!$W:$W,$L$2)</f>
        <v>16032.329999999993</v>
      </c>
      <c r="M298" s="298">
        <f t="shared" si="53"/>
        <v>-0.14898433370298114</v>
      </c>
      <c r="N298" s="230">
        <f t="shared" si="54"/>
        <v>-6685.2738769331499</v>
      </c>
      <c r="O298" s="184" cm="1">
        <f t="array" ref="O298">+SUMPRODUCT(('Réel 2023'!$A$8:$A$501=$A298)*('Réel 2023'!$C$3:$AO$3=O$2),'Réel 2023'!$C$8:$AO$501)</f>
        <v>68950.7</v>
      </c>
      <c r="P298" s="213">
        <f t="shared" si="55"/>
        <v>0.31008213114587674</v>
      </c>
      <c r="Q298" s="185" cm="1">
        <f t="array" ref="Q298">+SUMPRODUCT(('Réel 2023'!$A$8:$A$501=$A298)*('Réel 2023'!$C$3:$AO$3=Q$2),'Réel 2023'!$C$8:$AO$501)</f>
        <v>21380.38</v>
      </c>
      <c r="R298" s="298">
        <f t="shared" si="57"/>
        <v>-0.27171616821874189</v>
      </c>
      <c r="S298" s="202">
        <f t="shared" si="56"/>
        <v>-5348.0500000000084</v>
      </c>
      <c r="T298" s="25"/>
      <c r="U298" s="25"/>
      <c r="V298" s="25"/>
      <c r="W298" s="1190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97065.276385742996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30090.235679580328</v>
      </c>
      <c r="G299" s="200"/>
      <c r="H299" s="213"/>
      <c r="I299" s="202"/>
      <c r="J299" s="184">
        <f>-SUMIFS(BV_Data_An_Cour!$P:$P,BV_Data_An_Cour!$X:$X,"Oui",BV_Data_An_Cour!$U:$U,$B299,BV_Data_An_Cour!$V:$V,$C299)</f>
        <v>97665.86</v>
      </c>
      <c r="K299" s="213">
        <f t="shared" si="52"/>
        <v>0.25908183268953966</v>
      </c>
      <c r="L299" s="185">
        <f>-SUMIFS(BV_Data_An_Cour!$P:$P,BV_Data_An_Cour!$U:$U,$B299,BV_Data_An_Cour!$V:$V,$C299,BV_Data_An_Cour!$W:$W,$L$2)</f>
        <v>25303.450000000004</v>
      </c>
      <c r="M299" s="298">
        <f t="shared" si="53"/>
        <v>6.1874198129334155E-3</v>
      </c>
      <c r="N299" s="230">
        <f t="shared" si="54"/>
        <v>-4786.7856795803236</v>
      </c>
      <c r="O299" s="184" cm="1">
        <f t="array" ref="O299">+SUMPRODUCT(('Réel 2023'!$A$8:$A$501=$A299)*('Réel 2023'!$C$3:$AO$3=O$2),'Réel 2023'!$C$8:$AO$501)</f>
        <v>94136</v>
      </c>
      <c r="P299" s="213">
        <f t="shared" si="55"/>
        <v>0.29278501317243116</v>
      </c>
      <c r="Q299" s="185" cm="1">
        <f t="array" ref="Q299">+SUMPRODUCT(('Réel 2023'!$A$8:$A$501=$A299)*('Réel 2023'!$C$3:$AO$3=Q$2),'Réel 2023'!$C$8:$AO$501)</f>
        <v>27561.609999999982</v>
      </c>
      <c r="R299" s="298">
        <f t="shared" si="57"/>
        <v>3.7497450497153063E-2</v>
      </c>
      <c r="S299" s="202">
        <f t="shared" si="56"/>
        <v>-2258.159999999978</v>
      </c>
      <c r="T299" s="25"/>
      <c r="U299" s="25"/>
      <c r="V299" s="25"/>
      <c r="W299" s="1190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242326.34438970179</v>
      </c>
      <c r="E300" s="213">
        <f t="shared" si="51"/>
        <v>0.21300000000000002</v>
      </c>
      <c r="F300" s="202" cm="1">
        <f t="array" ref="F300">+SUMPRODUCT(('Budget original'!$A$8:$A$501=$A300)*('Budget original'!$C$3:$AO$3=F$2),'Budget original'!$C$8:$AO$501)</f>
        <v>51615.511355006485</v>
      </c>
      <c r="G300" s="200"/>
      <c r="H300" s="213"/>
      <c r="I300" s="202"/>
      <c r="J300" s="184">
        <f>-SUMIFS(BV_Data_An_Cour!$P:$P,BV_Data_An_Cour!$X:$X,"Oui",BV_Data_An_Cour!$U:$U,$B300,BV_Data_An_Cour!$V:$V,$C300)</f>
        <v>187847</v>
      </c>
      <c r="K300" s="213">
        <f t="shared" si="52"/>
        <v>0.19596932610049669</v>
      </c>
      <c r="L300" s="185">
        <f>-SUMIFS(BV_Data_An_Cour!$P:$P,BV_Data_An_Cour!$U:$U,$B300,BV_Data_An_Cour!$V:$V,$C300,BV_Data_An_Cour!$W:$W,$L$2)</f>
        <v>36812.25</v>
      </c>
      <c r="M300" s="298">
        <f t="shared" si="53"/>
        <v>-0.22481808375770229</v>
      </c>
      <c r="N300" s="230">
        <f t="shared" si="54"/>
        <v>-14803.261355006485</v>
      </c>
      <c r="O300" s="184" cm="1">
        <f t="array" ref="O300">+SUMPRODUCT(('Réel 2023'!$A$8:$A$501=$A300)*('Réel 2023'!$C$3:$AO$3=O$2),'Réel 2023'!$C$8:$AO$501)</f>
        <v>251805.91999999998</v>
      </c>
      <c r="P300" s="213">
        <f t="shared" si="55"/>
        <v>0.18374905562188484</v>
      </c>
      <c r="Q300" s="185" cm="1">
        <f t="array" ref="Q300">+SUMPRODUCT(('Réel 2023'!$A$8:$A$501=$A300)*('Réel 2023'!$C$3:$AO$3=Q$2),'Réel 2023'!$C$8:$AO$501)</f>
        <v>46269.099999999882</v>
      </c>
      <c r="R300" s="298">
        <f t="shared" si="57"/>
        <v>-0.25400085907432196</v>
      </c>
      <c r="S300" s="202">
        <f t="shared" si="56"/>
        <v>-9456.8499999998821</v>
      </c>
      <c r="T300" s="25"/>
      <c r="U300" s="25"/>
      <c r="V300" s="25"/>
      <c r="W300" s="1190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1190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20010.783560740725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24438.45</v>
      </c>
      <c r="M302" s="298"/>
      <c r="N302" s="230">
        <f t="shared" si="54"/>
        <v>4427.6664392592756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26021.919999999998</v>
      </c>
      <c r="R302" s="298">
        <f t="shared" si="57"/>
        <v>0</v>
      </c>
      <c r="S302" s="202">
        <f t="shared" si="56"/>
        <v>-1583.4699999999975</v>
      </c>
      <c r="T302" s="25"/>
      <c r="U302" s="25"/>
      <c r="V302" s="25"/>
      <c r="W302" s="1190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1190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804845.4858621452</v>
      </c>
      <c r="E304" s="300">
        <f>IF(D304&lt;=0,0,F304/D304)</f>
        <v>0.32835264538260711</v>
      </c>
      <c r="F304" s="203">
        <f t="shared" ref="F304" si="58">SUM(F295:F303)</f>
        <v>264273.14440708508</v>
      </c>
      <c r="G304" s="201"/>
      <c r="H304" s="300"/>
      <c r="I304" s="203"/>
      <c r="J304" s="201">
        <f>SUM(J295:J303)</f>
        <v>715817.83</v>
      </c>
      <c r="K304" s="300">
        <f t="shared" si="52"/>
        <v>0.32625067470029356</v>
      </c>
      <c r="L304" s="226">
        <f>SUM(L295:L303)</f>
        <v>233536.05000000002</v>
      </c>
      <c r="M304" s="301">
        <f>(+J304-D304)/D304</f>
        <v>-0.11061459301940348</v>
      </c>
      <c r="N304" s="226">
        <f t="shared" si="54"/>
        <v>-30737.094407085067</v>
      </c>
      <c r="O304" s="201">
        <f>SUM(O295:O303)</f>
        <v>894160.65999999992</v>
      </c>
      <c r="P304" s="300">
        <f>IF(O304&lt;=0,0,Q304/O304)</f>
        <v>0.31162701790078728</v>
      </c>
      <c r="Q304" s="226">
        <f t="shared" ref="Q304" si="59">SUM(Q295:Q303)</f>
        <v>278644.61999999976</v>
      </c>
      <c r="R304" s="301">
        <f>IF(O304=0,0,(J304-O304)/O304)</f>
        <v>-0.19945278066695529</v>
      </c>
      <c r="S304" s="203">
        <f t="shared" si="56"/>
        <v>-45108.569999999745</v>
      </c>
      <c r="T304" s="25"/>
      <c r="U304" s="25"/>
      <c r="V304" s="25"/>
      <c r="W304" s="1190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-0.11630805118713763</v>
      </c>
      <c r="O305" s="228"/>
      <c r="P305" s="183"/>
      <c r="Q305" s="270"/>
      <c r="R305" s="228"/>
      <c r="S305" s="267">
        <f>IF(Q304=0,0,S304/Q304)</f>
        <v>-0.16188566640906177</v>
      </c>
      <c r="T305" s="25"/>
      <c r="U305" s="25"/>
      <c r="V305" s="25"/>
      <c r="W305" s="1190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1190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197378.74176569318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49344.685441423295</v>
      </c>
      <c r="G307" s="200"/>
      <c r="H307" s="213"/>
      <c r="I307" s="204"/>
      <c r="J307" s="184">
        <f>-SUMIFS(BV_Data_An_Cour!$P:$P,BV_Data_An_Cour!$X:$X,"Oui",BV_Data_An_Cour!$U:$U,$B307,BV_Data_An_Cour!$V:$V,$C307)</f>
        <v>186211.69</v>
      </c>
      <c r="K307" s="213">
        <f>IF(J307&lt;=0,0,L307/J307)</f>
        <v>0.2508820472012257</v>
      </c>
      <c r="L307" s="185">
        <f>-SUMIFS(BV_Data_An_Cour!$P:$P,BV_Data_An_Cour!$U:$U,$B307,BV_Data_An_Cour!$V:$V,$C307,BV_Data_An_Cour!$W:$W,$L$2)</f>
        <v>46717.170000000013</v>
      </c>
      <c r="M307" s="298">
        <f>(+J307-D307)/D307</f>
        <v>-5.6576770455602055E-2</v>
      </c>
      <c r="N307" s="230">
        <f>L307-F307</f>
        <v>-2627.515441423282</v>
      </c>
      <c r="O307" s="184" cm="1">
        <f t="array" ref="O307">+SUMPRODUCT(('Réel 2023'!$A$8:$A$501=$A307)*('Réel 2023'!$C$3:$AO$3=O$2),'Réel 2023'!$C$8:$AO$501)</f>
        <v>194068.21</v>
      </c>
      <c r="P307" s="213">
        <f t="shared" ref="P307:P308" si="61">IF(O307=0,0,Q307/O307)</f>
        <v>0.26462927647964496</v>
      </c>
      <c r="Q307" s="185" cm="1">
        <f t="array" ref="Q307">+SUMPRODUCT(('Réel 2023'!$A$8:$A$501=$A307)*('Réel 2023'!$C$3:$AO$3=Q$2),'Réel 2023'!$C$8:$AO$501)</f>
        <v>51356.129999999801</v>
      </c>
      <c r="R307" s="298">
        <f>IF(O307=0,0,(J307-O307)/O307)</f>
        <v>-4.0483291931223513E-2</v>
      </c>
      <c r="S307" s="202">
        <f>L307-Q307</f>
        <v>-4638.9599999997881</v>
      </c>
      <c r="T307" s="25"/>
      <c r="U307" s="25"/>
      <c r="V307" s="25"/>
      <c r="W307" s="1190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34290.127016927734</v>
      </c>
      <c r="E308" s="213">
        <f t="shared" si="60"/>
        <v>0.35</v>
      </c>
      <c r="F308" s="205" cm="1">
        <f t="array" ref="F308">+SUMPRODUCT(('Budget original'!$A$8:$A$501=$A308)*('Budget original'!$C$3:$AO$3=F$2),'Budget original'!$C$8:$AO$501)</f>
        <v>12001.544455924706</v>
      </c>
      <c r="G308" s="200"/>
      <c r="H308" s="213"/>
      <c r="I308" s="205"/>
      <c r="J308" s="184">
        <f>-SUMIFS(BV_Data_An_Cour!$P:$P,BV_Data_An_Cour!$X:$X,"Oui",BV_Data_An_Cour!$U:$U,$B308,BV_Data_An_Cour!$V:$V,$C308)</f>
        <v>37213.64</v>
      </c>
      <c r="K308" s="213">
        <f>IF(J308&lt;=0,0,L308/J308)</f>
        <v>0.33969211289193957</v>
      </c>
      <c r="L308" s="185">
        <f>-SUMIFS(BV_Data_An_Cour!$P:$P,BV_Data_An_Cour!$U:$U,$B308,BV_Data_An_Cour!$V:$V,$C308,BV_Data_An_Cour!$W:$W,$L$2)</f>
        <v>12641.179999999998</v>
      </c>
      <c r="M308" s="298">
        <f>(+J308-D308)/D308</f>
        <v>8.5258155550985218E-2</v>
      </c>
      <c r="N308" s="230">
        <f>L308-F308</f>
        <v>639.63554407529227</v>
      </c>
      <c r="O308" s="184" cm="1">
        <f t="array" ref="O308">+SUMPRODUCT(('Réel 2023'!$A$8:$A$501=$A308)*('Réel 2023'!$C$3:$AO$3=O$2),'Réel 2023'!$C$8:$AO$501)</f>
        <v>33744.419999999991</v>
      </c>
      <c r="P308" s="213">
        <f t="shared" si="61"/>
        <v>0.34565033270685891</v>
      </c>
      <c r="Q308" s="185" cm="1">
        <f t="array" ref="Q308">+SUMPRODUCT(('Réel 2023'!$A$8:$A$501=$A308)*('Réel 2023'!$C$3:$AO$3=Q$2),'Réel 2023'!$C$8:$AO$501)</f>
        <v>11663.76999999998</v>
      </c>
      <c r="R308" s="298">
        <f>IF(O308=0,0,(J308-O308)/O308)</f>
        <v>0.1028087014090036</v>
      </c>
      <c r="S308" s="202">
        <f>L308-Q308</f>
        <v>977.41000000001804</v>
      </c>
      <c r="T308" s="25"/>
      <c r="U308" s="25"/>
      <c r="V308" s="25"/>
      <c r="W308" s="1190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1036514.3546447661</v>
      </c>
      <c r="E309" s="300">
        <f>IF(D309&lt;=0,0,F309/D309)</f>
        <v>0.31414844651720164</v>
      </c>
      <c r="F309" s="226">
        <f t="shared" ref="F309" si="62">F304+F307+F308</f>
        <v>325619.37430443306</v>
      </c>
      <c r="G309" s="227"/>
      <c r="H309" s="300"/>
      <c r="I309" s="226"/>
      <c r="J309" s="227">
        <f>J304+J307+J308</f>
        <v>939243.16</v>
      </c>
      <c r="K309" s="300">
        <f>IF(J309&lt;=0,0,L309/J309)</f>
        <v>0.31184086557521484</v>
      </c>
      <c r="L309" s="226">
        <f>L304+L307+L308</f>
        <v>292894.40000000002</v>
      </c>
      <c r="M309" s="301">
        <f>(+J309-D309)/D309</f>
        <v>-9.384452246983381E-2</v>
      </c>
      <c r="N309" s="226">
        <f>L309-F309</f>
        <v>-32724.974304433039</v>
      </c>
      <c r="O309" s="227">
        <f>O304+O307+O308</f>
        <v>1121973.2899999998</v>
      </c>
      <c r="P309" s="300">
        <f>IF(O309&lt;=0,0,Q309/O309)</f>
        <v>0.30452108178083237</v>
      </c>
      <c r="Q309" s="226">
        <f t="shared" ref="Q309" si="63">Q304+Q307+Q308</f>
        <v>341664.51999999949</v>
      </c>
      <c r="R309" s="301">
        <f>IF(O309=0,0,(J309-O309)/O309)</f>
        <v>-0.16286495554631233</v>
      </c>
      <c r="S309" s="203">
        <f>L309-Q309</f>
        <v>-48770.119999999471</v>
      </c>
      <c r="T309" s="25"/>
      <c r="U309" s="25"/>
      <c r="V309" s="25"/>
      <c r="W309" s="1190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-0.10050069770675656</v>
      </c>
      <c r="O310" s="228"/>
      <c r="P310" s="183"/>
      <c r="Q310" s="270"/>
      <c r="R310" s="228"/>
      <c r="S310" s="267">
        <f>IF(Q309=0,0,S309/Q309)</f>
        <v>-0.14274271147615661</v>
      </c>
      <c r="T310" s="25"/>
      <c r="U310" s="25"/>
      <c r="V310" s="25"/>
      <c r="W310" s="1190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1190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1190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1190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1036514.3546447661</v>
      </c>
      <c r="E314" s="71">
        <f>IF(D314&lt;=0,0,F314/D314)</f>
        <v>0.31414844651720164</v>
      </c>
      <c r="F314" s="28">
        <f t="shared" ref="F314" si="64">F309+F312</f>
        <v>325619.37430443306</v>
      </c>
      <c r="G314" s="29"/>
      <c r="H314" s="71"/>
      <c r="I314" s="28"/>
      <c r="J314" s="29">
        <f>J309+J312</f>
        <v>939243.16</v>
      </c>
      <c r="K314" s="71">
        <f>IF(J314&lt;=0,0,L314/J314)</f>
        <v>0.31184086557521484</v>
      </c>
      <c r="L314" s="28">
        <f>L309+L312</f>
        <v>292894.40000000002</v>
      </c>
      <c r="M314" s="72">
        <f>(+J314-D314)/D314</f>
        <v>-9.384452246983381E-2</v>
      </c>
      <c r="N314" s="73">
        <f>L314-F314</f>
        <v>-32724.974304433039</v>
      </c>
      <c r="O314" s="29">
        <f>O309+O312</f>
        <v>1121973.2899999998</v>
      </c>
      <c r="P314" s="71">
        <f>IF(O314&lt;=0,0,Q314/O314)</f>
        <v>0.30452108178083237</v>
      </c>
      <c r="Q314" s="28">
        <f t="shared" ref="Q314" si="65">Q309+Q312</f>
        <v>341664.51999999949</v>
      </c>
      <c r="R314" s="72">
        <f>IF(O314=0,0,(J314-O314)/O314)</f>
        <v>-0.16286495554631233</v>
      </c>
      <c r="S314" s="262">
        <f>L314-Q314</f>
        <v>-48770.119999999471</v>
      </c>
      <c r="T314" s="25"/>
      <c r="U314" s="25"/>
      <c r="V314" s="25"/>
      <c r="W314" s="1190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-0.10050069770675656</v>
      </c>
      <c r="O315" s="77"/>
      <c r="P315" s="75"/>
      <c r="Q315" s="76"/>
      <c r="R315" s="78"/>
      <c r="S315" s="264">
        <f>IF(Q314=0,0,S314/Q314)</f>
        <v>-0.14274271147615661</v>
      </c>
      <c r="T315" s="25"/>
      <c r="U315" s="25"/>
      <c r="V315" s="25"/>
      <c r="W315" s="1190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1190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1190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16654.255470737917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14940.18</v>
      </c>
      <c r="M318" s="228"/>
      <c r="N318" s="230">
        <f t="shared" ref="N318:N348" si="66">L318-F318</f>
        <v>-1714.0754707379165</v>
      </c>
      <c r="O318" s="228"/>
      <c r="P318" s="183"/>
      <c r="Q318" s="185" cm="1">
        <f t="array" ref="Q318">+SUMPRODUCT(('Réel 2023'!$A$8:$A$501=$A318)*('Réel 2023'!$C$3:$AO$3=Q$2),'Réel 2023'!$C$8:$AO$501)</f>
        <v>16692.82</v>
      </c>
      <c r="R318" s="228"/>
      <c r="S318" s="202">
        <f>L318-Q318</f>
        <v>-1752.6399999999994</v>
      </c>
      <c r="T318" s="25"/>
      <c r="U318" s="25"/>
      <c r="V318" s="25"/>
      <c r="W318" s="1190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11014.835114503818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10029.76</v>
      </c>
      <c r="M319" s="228"/>
      <c r="N319" s="230">
        <f t="shared" si="66"/>
        <v>-985.07511450381753</v>
      </c>
      <c r="O319" s="228"/>
      <c r="P319" s="183"/>
      <c r="Q319" s="185" cm="1">
        <f t="array" ref="Q319">+SUMPRODUCT(('Réel 2023'!$A$8:$A$501=$A319)*('Réel 2023'!$C$3:$AO$3=Q$2),'Réel 2023'!$C$8:$AO$501)</f>
        <v>10763.93</v>
      </c>
      <c r="R319" s="228"/>
      <c r="S319" s="202">
        <f t="shared" ref="S319:S343" si="67">L319-Q319</f>
        <v>-734.17000000000007</v>
      </c>
      <c r="T319" s="25"/>
      <c r="U319" s="25"/>
      <c r="V319" s="25"/>
      <c r="W319" s="1190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56096.629770992367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49893.5</v>
      </c>
      <c r="M320" s="278"/>
      <c r="N320" s="279">
        <f t="shared" si="66"/>
        <v>-6203.1297709923674</v>
      </c>
      <c r="O320" s="278"/>
      <c r="P320" s="276"/>
      <c r="Q320" s="186" cm="1">
        <f t="array" ref="Q320">+SUMPRODUCT(('Réel 2023'!$A$8:$A$501=$A320)*('Réel 2023'!$C$3:$AO$3=Q$2),'Réel 2023'!$C$8:$AO$501)</f>
        <v>50954.28</v>
      </c>
      <c r="R320" s="278"/>
      <c r="S320" s="204">
        <f t="shared" si="67"/>
        <v>-1060.7799999999988</v>
      </c>
      <c r="T320" s="25"/>
      <c r="U320" s="25"/>
      <c r="V320" s="25"/>
      <c r="W320" s="1190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1190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1190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1190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1190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9573.9606845412291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10767.59</v>
      </c>
      <c r="M325" s="228"/>
      <c r="N325" s="230">
        <f t="shared" si="66"/>
        <v>1193.6293154587711</v>
      </c>
      <c r="O325" s="228"/>
      <c r="P325" s="183"/>
      <c r="Q325" s="185" cm="1">
        <f t="array" ref="Q325">+SUMPRODUCT(('Réel 2023'!$A$8:$A$501=$A325)*('Réel 2023'!$C$3:$AO$3=Q$2),'Réel 2023'!$C$8:$AO$501)</f>
        <v>7404.85</v>
      </c>
      <c r="R325" s="228"/>
      <c r="S325" s="202">
        <f t="shared" si="67"/>
        <v>3362.74</v>
      </c>
      <c r="T325" s="25"/>
      <c r="U325" s="25"/>
      <c r="V325" s="25"/>
      <c r="W325" s="1190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13020.204073282443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13903.9</v>
      </c>
      <c r="M326" s="278"/>
      <c r="N326" s="279">
        <f t="shared" si="66"/>
        <v>883.69592671755709</v>
      </c>
      <c r="O326" s="278"/>
      <c r="P326" s="276"/>
      <c r="Q326" s="186" cm="1">
        <f t="array" ref="Q326">+SUMPRODUCT(('Réel 2023'!$A$8:$A$501=$A326)*('Réel 2023'!$C$3:$AO$3=Q$2),'Réel 2023'!$C$8:$AO$501)</f>
        <v>14307.349999999999</v>
      </c>
      <c r="R326" s="278"/>
      <c r="S326" s="204">
        <f t="shared" si="67"/>
        <v>-403.44999999999891</v>
      </c>
      <c r="T326" s="25"/>
      <c r="U326" s="25"/>
      <c r="V326" s="25"/>
      <c r="W326" s="1190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5935.6812687022903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7369.72</v>
      </c>
      <c r="M327" s="228"/>
      <c r="N327" s="230">
        <f t="shared" si="66"/>
        <v>1434.03873129771</v>
      </c>
      <c r="O327" s="228"/>
      <c r="P327" s="183"/>
      <c r="Q327" s="185" cm="1">
        <f t="array" ref="Q327">+SUMPRODUCT(('Réel 2023'!$A$8:$A$501=$A327)*('Réel 2023'!$C$3:$AO$3=Q$2),'Réel 2023'!$C$8:$AO$501)</f>
        <v>6447.53</v>
      </c>
      <c r="R327" s="228"/>
      <c r="S327" s="202">
        <f t="shared" si="67"/>
        <v>922.19000000000051</v>
      </c>
      <c r="T327" s="25"/>
      <c r="U327" s="25"/>
      <c r="V327" s="25"/>
      <c r="W327" s="1190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1340.3151251908398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1580.23</v>
      </c>
      <c r="M328" s="228"/>
      <c r="N328" s="230">
        <f t="shared" si="66"/>
        <v>239.91487480916021</v>
      </c>
      <c r="O328" s="228"/>
      <c r="P328" s="183"/>
      <c r="Q328" s="185" cm="1">
        <f t="array" ref="Q328">+SUMPRODUCT(('Réel 2023'!$A$8:$A$501=$A328)*('Réel 2023'!$C$3:$AO$3=Q$2),'Réel 2023'!$C$8:$AO$501)</f>
        <v>1322.77</v>
      </c>
      <c r="R328" s="228"/>
      <c r="S328" s="202">
        <f t="shared" si="67"/>
        <v>257.46000000000004</v>
      </c>
      <c r="T328" s="25"/>
      <c r="U328" s="25"/>
      <c r="V328" s="25"/>
      <c r="W328" s="1190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1190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0.34898378436692379</v>
      </c>
      <c r="F330" s="41">
        <f>+SUM(F318:F329)</f>
        <v>113635.88150795091</v>
      </c>
      <c r="G330" s="42"/>
      <c r="H330" s="40"/>
      <c r="I330" s="41"/>
      <c r="J330" s="42" t="s">
        <v>108</v>
      </c>
      <c r="K330" s="40">
        <f>L330/L$314</f>
        <v>0.3703890548948699</v>
      </c>
      <c r="L330" s="41">
        <f>+SUM(L318:L329)</f>
        <v>108484.87999999999</v>
      </c>
      <c r="M330" s="43"/>
      <c r="N330" s="46">
        <f t="shared" si="66"/>
        <v>-5151.0015079509176</v>
      </c>
      <c r="O330" s="42" t="s">
        <v>108</v>
      </c>
      <c r="P330" s="40">
        <f>Q330/Q$314</f>
        <v>0.31578792553584484</v>
      </c>
      <c r="Q330" s="41">
        <f>+SUM(Q318:Q329)</f>
        <v>107893.53000000001</v>
      </c>
      <c r="R330" s="43"/>
      <c r="S330" s="286">
        <f t="shared" si="67"/>
        <v>591.34999999997672</v>
      </c>
      <c r="T330" s="25"/>
      <c r="U330" s="25"/>
      <c r="V330" s="25"/>
      <c r="W330" s="1190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11661.891644159183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11994.99</v>
      </c>
      <c r="M331" s="228"/>
      <c r="N331" s="230">
        <f t="shared" si="66"/>
        <v>333.09835584081702</v>
      </c>
      <c r="O331" s="228"/>
      <c r="P331" s="183"/>
      <c r="Q331" s="185" cm="1">
        <f t="array" ref="Q331">+SUMPRODUCT(('Réel 2023'!$A$8:$A$501=$A331)*('Réel 2023'!$C$3:$AO$3=Q$2),'Réel 2023'!$C$8:$AO$501)</f>
        <v>10296.73</v>
      </c>
      <c r="R331" s="228"/>
      <c r="S331" s="202">
        <f t="shared" si="67"/>
        <v>1698.2600000000002</v>
      </c>
      <c r="T331" s="25"/>
      <c r="U331" s="25"/>
      <c r="V331" s="25"/>
      <c r="W331" s="1190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1060</v>
      </c>
      <c r="G332" s="274"/>
      <c r="H332" s="183"/>
      <c r="I332" s="184"/>
      <c r="J332" s="228"/>
      <c r="K332" s="183"/>
      <c r="L332" s="185">
        <f>SUMIFS(BV_Data_An_Cour!$P:$P,BV_Data_An_Cour!$U:$U,$B332,BV_Data_An_Cour!$V:$V,$C332,BV_Data_An_Cour!$W:$W,$L$2)</f>
        <v>5094.09</v>
      </c>
      <c r="M332" s="228"/>
      <c r="N332" s="230">
        <f t="shared" si="66"/>
        <v>4034.09</v>
      </c>
      <c r="O332" s="228"/>
      <c r="P332" s="183"/>
      <c r="Q332" s="185" cm="1">
        <f t="array" ref="Q332">+SUMPRODUCT(('Réel 2023'!$A$8:$A$501=$A332)*('Réel 2023'!$C$3:$AO$3=Q$2),'Réel 2023'!$C$8:$AO$501)</f>
        <v>161.47</v>
      </c>
      <c r="R332" s="228"/>
      <c r="S332" s="202">
        <f t="shared" si="67"/>
        <v>4932.62</v>
      </c>
      <c r="T332" s="25"/>
      <c r="U332" s="25"/>
      <c r="V332" s="25"/>
      <c r="W332" s="1190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17693.333333333336</v>
      </c>
      <c r="G333" s="282"/>
      <c r="H333" s="281"/>
      <c r="I333" s="182"/>
      <c r="J333" s="283"/>
      <c r="K333" s="281"/>
      <c r="L333" s="185">
        <f>SUMIFS(BV_Data_An_Cour!$P:$P,BV_Data_An_Cour!$U:$U,$B333,BV_Data_An_Cour!$V:$V,$C333,BV_Data_An_Cour!$W:$W,$L$2)</f>
        <v>14308.870000000003</v>
      </c>
      <c r="M333" s="283"/>
      <c r="N333" s="284">
        <f t="shared" si="66"/>
        <v>-3384.4633333333331</v>
      </c>
      <c r="O333" s="283"/>
      <c r="P333" s="281"/>
      <c r="Q333" s="185" cm="1">
        <f t="array" ref="Q333">+SUMPRODUCT(('Réel 2023'!$A$8:$A$501=$A333)*('Réel 2023'!$C$3:$AO$3=Q$2),'Réel 2023'!$C$8:$AO$501)</f>
        <v>15485.27</v>
      </c>
      <c r="R333" s="283"/>
      <c r="S333" s="205">
        <f t="shared" si="67"/>
        <v>-1176.3999999999978</v>
      </c>
      <c r="T333" s="25"/>
      <c r="U333" s="25"/>
      <c r="V333" s="25"/>
      <c r="W333" s="1190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7655.2000000000007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7038.26</v>
      </c>
      <c r="M334" s="228"/>
      <c r="N334" s="230">
        <f t="shared" si="66"/>
        <v>-616.94000000000051</v>
      </c>
      <c r="O334" s="228"/>
      <c r="P334" s="183"/>
      <c r="Q334" s="186" cm="1">
        <f t="array" ref="Q334">+SUMPRODUCT(('Réel 2023'!$A$8:$A$501=$A334)*('Réel 2023'!$C$3:$AO$3=Q$2),'Réel 2023'!$C$8:$AO$501)</f>
        <v>7179.9199999999992</v>
      </c>
      <c r="R334" s="228"/>
      <c r="S334" s="202">
        <f t="shared" si="67"/>
        <v>-141.65999999999894</v>
      </c>
      <c r="T334" s="25"/>
      <c r="U334" s="25"/>
      <c r="V334" s="25"/>
      <c r="W334" s="1190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1462.4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1714.04</v>
      </c>
      <c r="M335" s="228"/>
      <c r="N335" s="230">
        <f t="shared" si="66"/>
        <v>251.63999999999987</v>
      </c>
      <c r="O335" s="228"/>
      <c r="P335" s="183"/>
      <c r="Q335" s="185" cm="1">
        <f t="array" ref="Q335">+SUMPRODUCT(('Réel 2023'!$A$8:$A$501=$A335)*('Réel 2023'!$C$3:$AO$3=Q$2),'Réel 2023'!$C$8:$AO$501)</f>
        <v>1088.9100000000001</v>
      </c>
      <c r="R335" s="228"/>
      <c r="S335" s="202">
        <f t="shared" si="67"/>
        <v>625.12999999999988</v>
      </c>
      <c r="T335" s="25"/>
      <c r="U335" s="25"/>
      <c r="V335" s="25"/>
      <c r="W335" s="1190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7976.8000000000011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7059.88</v>
      </c>
      <c r="M336" s="283"/>
      <c r="N336" s="284">
        <f t="shared" si="66"/>
        <v>-916.92000000000098</v>
      </c>
      <c r="O336" s="283"/>
      <c r="P336" s="281"/>
      <c r="Q336" s="355" cm="1">
        <f t="array" ref="Q336">+SUMPRODUCT(('Réel 2023'!$A$8:$A$501=$A336)*('Réel 2023'!$C$3:$AO$3=Q$2),'Réel 2023'!$C$8:$AO$501)</f>
        <v>7347.9699999999993</v>
      </c>
      <c r="R336" s="283"/>
      <c r="S336" s="205">
        <f t="shared" si="67"/>
        <v>-288.08999999999924</v>
      </c>
      <c r="T336" s="25"/>
      <c r="U336" s="25"/>
      <c r="V336" s="25"/>
      <c r="W336" s="1190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1190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118.0722891566265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1.25</v>
      </c>
      <c r="M338" s="228"/>
      <c r="N338" s="230">
        <f t="shared" si="66"/>
        <v>-116.8222891566265</v>
      </c>
      <c r="O338" s="228"/>
      <c r="P338" s="183"/>
      <c r="Q338" s="185" cm="1">
        <f t="array" ref="Q338">+SUMPRODUCT(('Réel 2023'!$A$8:$A$501=$A338)*('Réel 2023'!$C$3:$AO$3=Q$2),'Réel 2023'!$C$8:$AO$501)</f>
        <v>5.65</v>
      </c>
      <c r="R338" s="228"/>
      <c r="S338" s="202">
        <f t="shared" si="67"/>
        <v>-4.4000000000000004</v>
      </c>
      <c r="T338" s="25"/>
      <c r="U338" s="25"/>
      <c r="V338" s="25"/>
      <c r="W338" s="1190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132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0</v>
      </c>
      <c r="M339" s="228"/>
      <c r="N339" s="230">
        <f t="shared" si="66"/>
        <v>-132</v>
      </c>
      <c r="O339" s="228"/>
      <c r="P339" s="183"/>
      <c r="Q339" s="185" cm="1">
        <f t="array" ref="Q339">+SUMPRODUCT(('Réel 2023'!$A$8:$A$501=$A339)*('Réel 2023'!$C$3:$AO$3=Q$2),'Réel 2023'!$C$8:$AO$501)</f>
        <v>155.13</v>
      </c>
      <c r="R339" s="228"/>
      <c r="S339" s="202">
        <f t="shared" si="67"/>
        <v>-155.13</v>
      </c>
      <c r="T339" s="25"/>
      <c r="U339" s="25"/>
      <c r="V339" s="25"/>
      <c r="W339" s="1190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1400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1302.67</v>
      </c>
      <c r="M340" s="228"/>
      <c r="N340" s="230">
        <f t="shared" si="66"/>
        <v>-97.329999999999927</v>
      </c>
      <c r="O340" s="228"/>
      <c r="P340" s="183"/>
      <c r="Q340" s="478" cm="1">
        <f t="array" ref="Q340">+SUMPRODUCT(('Réel 2023'!$A$8:$A$501=$A340)*('Réel 2023'!$C$3:$AO$3=Q$2),'Réel 2023'!$C$8:$AO$501)</f>
        <v>856.41</v>
      </c>
      <c r="R340" s="228"/>
      <c r="S340" s="202">
        <f t="shared" si="67"/>
        <v>446.2600000000001</v>
      </c>
      <c r="T340" s="25"/>
      <c r="U340" s="25"/>
      <c r="V340" s="25"/>
      <c r="W340" s="1190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473.6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461.88</v>
      </c>
      <c r="M341" s="228"/>
      <c r="N341" s="230">
        <f t="shared" si="66"/>
        <v>-11.720000000000027</v>
      </c>
      <c r="O341" s="228"/>
      <c r="P341" s="183"/>
      <c r="Q341" s="185" cm="1">
        <f t="array" ref="Q341">+SUMPRODUCT(('Réel 2023'!$A$8:$A$501=$A341)*('Réel 2023'!$C$3:$AO$3=Q$2),'Réel 2023'!$C$8:$AO$501)</f>
        <v>287.57</v>
      </c>
      <c r="R341" s="228"/>
      <c r="S341" s="202">
        <f t="shared" si="67"/>
        <v>174.31</v>
      </c>
      <c r="T341" s="25"/>
      <c r="U341" s="25"/>
      <c r="V341" s="25"/>
      <c r="W341" s="1190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1900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4033.32</v>
      </c>
      <c r="M342" s="228"/>
      <c r="N342" s="230">
        <f t="shared" si="66"/>
        <v>2133.3200000000002</v>
      </c>
      <c r="O342" s="228"/>
      <c r="P342" s="183"/>
      <c r="Q342" s="185" cm="1">
        <f t="array" ref="Q342">+SUMPRODUCT(('Réel 2023'!$A$8:$A$501=$A342)*('Réel 2023'!$C$3:$AO$3=Q$2),'Réel 2023'!$C$8:$AO$501)</f>
        <v>3051.9700000000003</v>
      </c>
      <c r="R342" s="228"/>
      <c r="S342" s="202">
        <f t="shared" si="67"/>
        <v>981.34999999999991</v>
      </c>
      <c r="T342" s="25"/>
      <c r="U342" s="25"/>
      <c r="V342" s="25"/>
      <c r="W342" s="1190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1486.4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1410.7599999999998</v>
      </c>
      <c r="M343" s="228"/>
      <c r="N343" s="230">
        <f t="shared" si="66"/>
        <v>-75.640000000000327</v>
      </c>
      <c r="O343" s="228"/>
      <c r="P343" s="183"/>
      <c r="Q343" s="185" cm="1">
        <f t="array" ref="Q343">+SUMPRODUCT(('Réel 2023'!$A$8:$A$501=$A343)*('Réel 2023'!$C$3:$AO$3=Q$2),'Réel 2023'!$C$8:$AO$501)</f>
        <v>1287.4000000000001</v>
      </c>
      <c r="R343" s="228"/>
      <c r="S343" s="202">
        <f t="shared" si="67"/>
        <v>123.35999999999967</v>
      </c>
      <c r="T343" s="25"/>
      <c r="U343" s="25"/>
      <c r="V343" s="25"/>
      <c r="W343" s="1190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964.58751999999981</v>
      </c>
      <c r="G344" s="274"/>
      <c r="H344" s="183"/>
      <c r="I344" s="184"/>
      <c r="J344" s="228"/>
      <c r="K344" s="183"/>
      <c r="L344" s="185">
        <f>SUMIFS(BV_Data_An_Cour!$P:$P,BV_Data_An_Cour!$U:$U,$B344,BV_Data_An_Cour!$V:$V,$C344,BV_Data_An_Cour!$W:$W,$L$2)</f>
        <v>152.84</v>
      </c>
      <c r="M344" s="228"/>
      <c r="N344" s="230">
        <f t="shared" si="66"/>
        <v>-811.74751999999978</v>
      </c>
      <c r="O344" s="228"/>
      <c r="P344" s="183"/>
      <c r="Q344" s="185" cm="1">
        <f t="array" ref="Q344">+SUMPRODUCT(('Réel 2023'!$A$8:$A$501=$A344)*('Réel 2023'!$C$3:$AO$3=Q$2),'Réel 2023'!$C$8:$AO$501)</f>
        <v>364.38</v>
      </c>
      <c r="R344" s="228"/>
      <c r="S344" s="202">
        <f>L344-Q344</f>
        <v>-211.54</v>
      </c>
      <c r="T344" s="25"/>
      <c r="U344" s="25"/>
      <c r="V344" s="25"/>
      <c r="W344" s="1190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4227.2028562273981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4605.34</v>
      </c>
      <c r="M345" s="228"/>
      <c r="N345" s="230">
        <f t="shared" si="66"/>
        <v>378.13714377260203</v>
      </c>
      <c r="O345" s="228"/>
      <c r="P345" s="183"/>
      <c r="Q345" s="185" cm="1">
        <f t="array" ref="Q345">+SUMPRODUCT(('Réel 2023'!$A$8:$A$501=$A345)*('Réel 2023'!$C$3:$AO$3=Q$2),'Réel 2023'!$C$8:$AO$501)</f>
        <v>4000.3900000000003</v>
      </c>
      <c r="R345" s="228"/>
      <c r="S345" s="202">
        <f>L345-Q345</f>
        <v>604.94999999999982</v>
      </c>
      <c r="T345" s="25"/>
      <c r="U345" s="25"/>
      <c r="V345" s="25"/>
      <c r="W345" s="1190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1190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1190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1190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0.17877157269042773</v>
      </c>
      <c r="F349" s="41">
        <f>+SUM(F331:F348)</f>
        <v>58211.487642876549</v>
      </c>
      <c r="G349" s="42"/>
      <c r="H349" s="40"/>
      <c r="I349" s="41"/>
      <c r="J349" s="42" t="s">
        <v>108</v>
      </c>
      <c r="K349" s="40">
        <f>L349/L$314</f>
        <v>0.20204616407824799</v>
      </c>
      <c r="L349" s="41">
        <f>+SUM(L331:L348)</f>
        <v>59178.19</v>
      </c>
      <c r="M349" s="44"/>
      <c r="N349" s="41">
        <f>+SUM(N331:N348)</f>
        <v>966.702357123458</v>
      </c>
      <c r="O349" s="42" t="s">
        <v>108</v>
      </c>
      <c r="P349" s="40">
        <f>Q349/Q$314</f>
        <v>0.15093510441177821</v>
      </c>
      <c r="Q349" s="41">
        <f>+SUM(Q331:Q348)</f>
        <v>51569.170000000006</v>
      </c>
      <c r="R349" s="44"/>
      <c r="S349" s="290">
        <f>+SUM(S331:S348)</f>
        <v>7609.020000000005</v>
      </c>
      <c r="T349" s="25"/>
      <c r="U349" s="25"/>
      <c r="V349" s="25"/>
      <c r="W349" s="1190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1190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0.52775535705735155</v>
      </c>
      <c r="F351" s="41">
        <f>F330+F349</f>
        <v>171847.36915082746</v>
      </c>
      <c r="G351" s="42"/>
      <c r="H351" s="40"/>
      <c r="I351" s="41"/>
      <c r="J351" s="42" t="s">
        <v>108</v>
      </c>
      <c r="K351" s="40">
        <f>L351/L$314</f>
        <v>0.57243521897311789</v>
      </c>
      <c r="L351" s="41">
        <f>L330+L349</f>
        <v>167663.07</v>
      </c>
      <c r="M351" s="44"/>
      <c r="N351" s="46">
        <f>L351-F351</f>
        <v>-4184.2991508274572</v>
      </c>
      <c r="O351" s="42" t="s">
        <v>108</v>
      </c>
      <c r="P351" s="40">
        <f>Q351/Q$314</f>
        <v>0.46672302994762305</v>
      </c>
      <c r="Q351" s="41">
        <f>Q330+Q349</f>
        <v>159462.70000000001</v>
      </c>
      <c r="R351" s="44"/>
      <c r="S351" s="286">
        <f>L351-Q351</f>
        <v>8200.3699999999953</v>
      </c>
      <c r="T351" s="25"/>
      <c r="U351" s="25"/>
      <c r="V351" s="25"/>
      <c r="W351" s="1190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1190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153772.0051536056</v>
      </c>
      <c r="G353" s="312"/>
      <c r="H353" s="310"/>
      <c r="I353" s="311"/>
      <c r="J353" s="313"/>
      <c r="K353" s="314"/>
      <c r="L353" s="311">
        <f>L314-L351</f>
        <v>125231.33000000002</v>
      </c>
      <c r="M353" s="313"/>
      <c r="N353" s="311">
        <f>L353-F353</f>
        <v>-28540.675153605582</v>
      </c>
      <c r="O353" s="313"/>
      <c r="P353" s="314"/>
      <c r="Q353" s="311">
        <f>Q314-Q351</f>
        <v>182201.81999999948</v>
      </c>
      <c r="R353" s="313"/>
      <c r="S353" s="315">
        <f>L353-Q353</f>
        <v>-56970.489999999467</v>
      </c>
      <c r="T353" s="25"/>
      <c r="U353" s="25"/>
      <c r="V353" s="25"/>
      <c r="W353" s="1190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Avril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43" t="s">
        <v>77</v>
      </c>
      <c r="E358" s="1244"/>
      <c r="F358" s="1245"/>
      <c r="G358" s="1246"/>
      <c r="H358" s="1244"/>
      <c r="I358" s="1245"/>
      <c r="J358" s="1246" t="s">
        <v>78</v>
      </c>
      <c r="K358" s="1244"/>
      <c r="L358" s="1245"/>
      <c r="M358" s="1246"/>
      <c r="N358" s="1245"/>
      <c r="O358" s="1243" t="s">
        <v>79</v>
      </c>
      <c r="P358" s="1244"/>
      <c r="Q358" s="1245"/>
      <c r="R358" s="1246" t="s">
        <v>80</v>
      </c>
      <c r="S358" s="124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155301.56851423881</v>
      </c>
      <c r="G401" s="25"/>
      <c r="H401" s="25"/>
      <c r="I401" s="25"/>
      <c r="J401" s="25"/>
      <c r="K401" s="25"/>
      <c r="L401" s="37">
        <f>L353+L289+L233</f>
        <v>91580.17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Avril 2024 AAD</v>
      </c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50" t="s">
        <v>186</v>
      </c>
      <c r="Y404" s="1241"/>
      <c r="Z404" s="1251"/>
      <c r="AA404" s="1240"/>
      <c r="AB404" s="1241"/>
      <c r="AC404" s="1251"/>
      <c r="AD404" s="1240" t="s">
        <v>78</v>
      </c>
      <c r="AE404" s="1241"/>
      <c r="AF404" s="1251"/>
      <c r="AG404" s="1240" t="s">
        <v>2451</v>
      </c>
      <c r="AH404" s="1241"/>
      <c r="AI404" s="1251"/>
      <c r="AJ404" s="1240" t="s">
        <v>2339</v>
      </c>
      <c r="AK404" s="1241"/>
      <c r="AL404" s="1241"/>
      <c r="AM404" s="1240" t="s">
        <v>187</v>
      </c>
      <c r="AN404" s="1241"/>
      <c r="AO404" s="1242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13997360.4510841</v>
      </c>
      <c r="AA406" s="393"/>
      <c r="AB406" s="393"/>
      <c r="AC406" s="394"/>
      <c r="AD406" s="395"/>
      <c r="AE406" s="396"/>
      <c r="AF406" s="396">
        <f>L5+L93+K194+K250+J314+J362</f>
        <v>12741380.870000001</v>
      </c>
      <c r="AG406" s="395"/>
      <c r="AH406" s="396"/>
      <c r="AI406" s="397"/>
      <c r="AJ406" s="395"/>
      <c r="AK406" s="396"/>
      <c r="AL406" s="396">
        <f>Q5+Q93+P194+P250+O314+O362</f>
        <v>13829404.169999991</v>
      </c>
      <c r="AM406" s="398"/>
      <c r="AN406" s="396"/>
      <c r="AO406" s="399"/>
      <c r="AP406" s="79"/>
      <c r="AQ406" s="79"/>
      <c r="AR406" s="101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1487707.6559156317</v>
      </c>
      <c r="AA407" s="81"/>
      <c r="AB407" s="81"/>
      <c r="AC407" s="82"/>
      <c r="AD407" s="83"/>
      <c r="AE407" s="84"/>
      <c r="AF407" s="84">
        <f>L27+L108+L194+L250+L314+L362</f>
        <v>1260748.6200000006</v>
      </c>
      <c r="AG407" s="83"/>
      <c r="AH407" s="84">
        <f>AF407-Z407</f>
        <v>-226959.0359156311</v>
      </c>
      <c r="AI407" s="85">
        <f>AH407/Z407</f>
        <v>-0.15255620619626764</v>
      </c>
      <c r="AJ407" s="83">
        <f>+AL407/AL406</f>
        <v>0.10215997758347384</v>
      </c>
      <c r="AK407" s="84"/>
      <c r="AL407" s="84">
        <f>Q27+Q108+Q194+Q250+Q314+Q362</f>
        <v>1412811.6199999987</v>
      </c>
      <c r="AM407" s="86"/>
      <c r="AN407" s="84">
        <f>AF407-AL407</f>
        <v>-152062.99999999814</v>
      </c>
      <c r="AO407" s="401">
        <f>IF(AL407=0,0,AN407/AL407)</f>
        <v>-0.10763147602084294</v>
      </c>
      <c r="AP407" s="79"/>
      <c r="AQ407" s="101"/>
      <c r="AR407" s="101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101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57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1285.9235904565558</v>
      </c>
      <c r="Z409" s="87">
        <f t="shared" ref="Z409:Z418" si="74">+SUMIF($C:$C,$V409,F:F)</f>
        <v>172313.76112117848</v>
      </c>
      <c r="AA409" s="403"/>
      <c r="AB409" s="409"/>
      <c r="AC409" s="87"/>
      <c r="AD409" s="410"/>
      <c r="AE409" s="409">
        <f t="shared" ref="AE409:AE414" si="75">IF(AF409=0,0,AF409/(J$13+J$97))</f>
        <v>1130.9110000000001</v>
      </c>
      <c r="AF409" s="87">
        <f t="shared" ref="AF409:AF418" si="76">+SUMIF($C:$C,$V409,L:L)</f>
        <v>135709.32</v>
      </c>
      <c r="AG409" s="404">
        <f t="shared" ref="AG409:AG418" si="77">AE409-Y409</f>
        <v>-155.0125904565557</v>
      </c>
      <c r="AH409" s="405">
        <f t="shared" ref="AH409:AH418" si="78">AF409-Z409</f>
        <v>-36604.441121178475</v>
      </c>
      <c r="AI409" s="406">
        <f t="shared" ref="AI409:AI418" si="79">IF(Z409=0,0,AH409/Z409)</f>
        <v>-0.21242900673171802</v>
      </c>
      <c r="AJ409" s="410"/>
      <c r="AK409" s="405">
        <f t="shared" ref="AK409:AK418" si="80">AL409/(O$13+O$97)</f>
        <v>1280.040325203252</v>
      </c>
      <c r="AL409" s="87">
        <f t="shared" ref="AL409:AL418" si="81">+SUMIF($C:$C,$V409,Q:Q)</f>
        <v>157444.96</v>
      </c>
      <c r="AM409" s="407">
        <f t="shared" ref="AM409:AM414" si="82">AE409-Y409</f>
        <v>-155.0125904565557</v>
      </c>
      <c r="AN409" s="405">
        <f t="shared" ref="AN409:AN431" si="83">AF409-AL409</f>
        <v>-21735.639999999985</v>
      </c>
      <c r="AO409" s="217">
        <f t="shared" ref="AO409:AO419" si="84">IF(AL409=0,0,AN409/AL409)</f>
        <v>-0.13805230729519691</v>
      </c>
      <c r="AP409" s="79"/>
      <c r="AQ409" s="101"/>
      <c r="AR409" s="101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57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429.29104477611941</v>
      </c>
      <c r="Z410" s="394">
        <f t="shared" si="74"/>
        <v>57525</v>
      </c>
      <c r="AA410" s="393"/>
      <c r="AB410" s="412"/>
      <c r="AC410" s="394"/>
      <c r="AD410" s="413"/>
      <c r="AE410" s="412">
        <f t="shared" si="75"/>
        <v>686.36933333333343</v>
      </c>
      <c r="AF410" s="394">
        <f t="shared" si="76"/>
        <v>82364.320000000007</v>
      </c>
      <c r="AG410" s="395">
        <f t="shared" si="77"/>
        <v>257.07828855721402</v>
      </c>
      <c r="AH410" s="396">
        <f t="shared" si="78"/>
        <v>24839.320000000007</v>
      </c>
      <c r="AI410" s="414">
        <f t="shared" si="79"/>
        <v>0.43180043459365508</v>
      </c>
      <c r="AJ410" s="413"/>
      <c r="AK410" s="396">
        <f t="shared" si="80"/>
        <v>406.4330081300813</v>
      </c>
      <c r="AL410" s="394">
        <f t="shared" si="81"/>
        <v>49991.26</v>
      </c>
      <c r="AM410" s="398">
        <f t="shared" si="82"/>
        <v>257.07828855721402</v>
      </c>
      <c r="AN410" s="396">
        <f t="shared" si="83"/>
        <v>32373.060000000005</v>
      </c>
      <c r="AO410" s="218">
        <f t="shared" si="84"/>
        <v>0.64757439600442168</v>
      </c>
      <c r="AP410" s="79"/>
      <c r="AQ410" s="101"/>
      <c r="AR410" s="101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57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110.29850746268657</v>
      </c>
      <c r="Z411" s="87">
        <f t="shared" si="74"/>
        <v>14780</v>
      </c>
      <c r="AA411" s="403"/>
      <c r="AB411" s="409"/>
      <c r="AC411" s="87"/>
      <c r="AD411" s="410"/>
      <c r="AE411" s="409">
        <f t="shared" si="75"/>
        <v>109.06316666666666</v>
      </c>
      <c r="AF411" s="87">
        <f t="shared" si="76"/>
        <v>13087.58</v>
      </c>
      <c r="AG411" s="404">
        <f t="shared" si="77"/>
        <v>-1.2353407960199121</v>
      </c>
      <c r="AH411" s="405">
        <f t="shared" si="78"/>
        <v>-1692.42</v>
      </c>
      <c r="AI411" s="406">
        <f t="shared" si="79"/>
        <v>-0.11450744248985116</v>
      </c>
      <c r="AJ411" s="410"/>
      <c r="AK411" s="405">
        <f t="shared" si="80"/>
        <v>100.05813008130082</v>
      </c>
      <c r="AL411" s="87">
        <f t="shared" si="81"/>
        <v>12307.15</v>
      </c>
      <c r="AM411" s="407">
        <f t="shared" si="82"/>
        <v>-1.2353407960199121</v>
      </c>
      <c r="AN411" s="405">
        <f t="shared" si="83"/>
        <v>780.43000000000029</v>
      </c>
      <c r="AO411" s="217">
        <f t="shared" si="84"/>
        <v>6.3412731623487179E-2</v>
      </c>
      <c r="AP411" s="79"/>
      <c r="AQ411" s="101"/>
      <c r="AR411" s="101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57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67.164179104477611</v>
      </c>
      <c r="Z412" s="87">
        <f t="shared" si="74"/>
        <v>9000</v>
      </c>
      <c r="AA412" s="403"/>
      <c r="AB412" s="409"/>
      <c r="AC412" s="87"/>
      <c r="AD412" s="410"/>
      <c r="AE412" s="409">
        <f t="shared" si="75"/>
        <v>63.405333333333338</v>
      </c>
      <c r="AF412" s="87">
        <f t="shared" si="76"/>
        <v>7608.64</v>
      </c>
      <c r="AG412" s="404">
        <f t="shared" si="77"/>
        <v>-3.7588457711442729</v>
      </c>
      <c r="AH412" s="405">
        <f t="shared" si="78"/>
        <v>-1391.3599999999997</v>
      </c>
      <c r="AI412" s="406">
        <f t="shared" si="79"/>
        <v>-0.15459555555555551</v>
      </c>
      <c r="AJ412" s="410"/>
      <c r="AK412" s="405">
        <f t="shared" si="80"/>
        <v>56.77</v>
      </c>
      <c r="AL412" s="87">
        <f t="shared" si="81"/>
        <v>6982.71</v>
      </c>
      <c r="AM412" s="407">
        <f t="shared" si="82"/>
        <v>-3.7588457711442729</v>
      </c>
      <c r="AN412" s="405">
        <f t="shared" si="83"/>
        <v>625.93000000000029</v>
      </c>
      <c r="AO412" s="219">
        <f t="shared" si="84"/>
        <v>8.9639982184567354E-2</v>
      </c>
      <c r="AP412" s="79"/>
      <c r="AQ412" s="101"/>
      <c r="AR412" s="101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57"/>
      <c r="T413" s="79"/>
      <c r="U413" s="79"/>
      <c r="V413" s="273" t="s">
        <v>104</v>
      </c>
      <c r="W413" s="411"/>
      <c r="X413" s="393"/>
      <c r="Y413" s="412">
        <f t="shared" si="73"/>
        <v>88.134328358208961</v>
      </c>
      <c r="Z413" s="394">
        <f t="shared" si="74"/>
        <v>11810</v>
      </c>
      <c r="AA413" s="393"/>
      <c r="AB413" s="412"/>
      <c r="AC413" s="394"/>
      <c r="AD413" s="413"/>
      <c r="AE413" s="412">
        <f t="shared" si="75"/>
        <v>97.182000000000002</v>
      </c>
      <c r="AF413" s="394">
        <f t="shared" si="76"/>
        <v>11661.84</v>
      </c>
      <c r="AG413" s="395">
        <f t="shared" si="77"/>
        <v>9.047671641791041</v>
      </c>
      <c r="AH413" s="396">
        <f t="shared" si="78"/>
        <v>-148.15999999999985</v>
      </c>
      <c r="AI413" s="414">
        <f t="shared" si="79"/>
        <v>-1.2545300592718023E-2</v>
      </c>
      <c r="AJ413" s="413"/>
      <c r="AK413" s="396">
        <f t="shared" si="80"/>
        <v>79.259674796747973</v>
      </c>
      <c r="AL413" s="394">
        <f t="shared" si="81"/>
        <v>9748.94</v>
      </c>
      <c r="AM413" s="398">
        <f t="shared" si="82"/>
        <v>9.047671641791041</v>
      </c>
      <c r="AN413" s="396">
        <f t="shared" si="83"/>
        <v>1912.8999999999996</v>
      </c>
      <c r="AO413" s="218">
        <f t="shared" si="84"/>
        <v>0.19621620401807782</v>
      </c>
      <c r="AP413" s="79"/>
      <c r="AQ413" s="101"/>
      <c r="AR413" s="101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57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519.84717039801001</v>
      </c>
      <c r="Z414" s="87">
        <f t="shared" si="74"/>
        <v>69659.520833333343</v>
      </c>
      <c r="AA414" s="406"/>
      <c r="AB414" s="409"/>
      <c r="AC414" s="87"/>
      <c r="AD414" s="410"/>
      <c r="AE414" s="409">
        <f t="shared" si="75"/>
        <v>580.41125</v>
      </c>
      <c r="AF414" s="87">
        <f t="shared" si="76"/>
        <v>69649.350000000006</v>
      </c>
      <c r="AG414" s="404">
        <f t="shared" si="77"/>
        <v>60.564079601989988</v>
      </c>
      <c r="AH414" s="405">
        <f t="shared" si="78"/>
        <v>-10.170833333337214</v>
      </c>
      <c r="AI414" s="406">
        <f t="shared" si="79"/>
        <v>-1.4600779924501414E-4</v>
      </c>
      <c r="AJ414" s="410"/>
      <c r="AK414" s="405">
        <f t="shared" si="80"/>
        <v>604.56186991869902</v>
      </c>
      <c r="AL414" s="87">
        <f t="shared" si="81"/>
        <v>74361.109999999986</v>
      </c>
      <c r="AM414" s="407">
        <f t="shared" si="82"/>
        <v>60.564079601989988</v>
      </c>
      <c r="AN414" s="405">
        <f t="shared" si="83"/>
        <v>-4711.7599999999802</v>
      </c>
      <c r="AO414" s="217">
        <f t="shared" si="84"/>
        <v>-6.3363228440242239E-2</v>
      </c>
      <c r="AP414" s="79"/>
      <c r="AQ414" s="101"/>
      <c r="AR414" s="101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57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1057.2108928053865</v>
      </c>
      <c r="Z415" s="87">
        <f t="shared" si="74"/>
        <v>141666.2596359218</v>
      </c>
      <c r="AA415" s="403"/>
      <c r="AB415" s="409"/>
      <c r="AC415" s="87"/>
      <c r="AD415" s="410"/>
      <c r="AE415" s="409">
        <f>IF(AF415=0,0,AF415/(J$13+J$13))</f>
        <v>1547.9564150943397</v>
      </c>
      <c r="AF415" s="87">
        <f t="shared" si="76"/>
        <v>164083.38</v>
      </c>
      <c r="AG415" s="404">
        <f t="shared" si="77"/>
        <v>490.74552228895323</v>
      </c>
      <c r="AH415" s="405">
        <f t="shared" si="78"/>
        <v>22417.120364078204</v>
      </c>
      <c r="AI415" s="406">
        <f t="shared" si="79"/>
        <v>0.15823895133315127</v>
      </c>
      <c r="AJ415" s="410"/>
      <c r="AK415" s="405">
        <f t="shared" si="80"/>
        <v>370.91650406504061</v>
      </c>
      <c r="AL415" s="87">
        <f t="shared" si="81"/>
        <v>45622.729999999996</v>
      </c>
      <c r="AM415" s="407">
        <f>AE415-Y415</f>
        <v>490.74552228895323</v>
      </c>
      <c r="AN415" s="405">
        <f>AF415-AL415</f>
        <v>118460.65000000001</v>
      </c>
      <c r="AO415" s="217">
        <f t="shared" si="84"/>
        <v>2.5965269943293623</v>
      </c>
      <c r="AP415" s="79"/>
      <c r="AQ415" s="101"/>
      <c r="AR415" s="101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8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57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101"/>
      <c r="AR416" s="101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8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57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101"/>
      <c r="AR417" s="101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8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57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101"/>
      <c r="AR418" s="101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8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57"/>
      <c r="T419" s="79"/>
      <c r="U419" s="79"/>
      <c r="V419" s="415" t="s">
        <v>107</v>
      </c>
      <c r="W419" s="88"/>
      <c r="X419" s="89">
        <f>Z419/Z407</f>
        <v>0.32046251808592602</v>
      </c>
      <c r="Y419" s="88"/>
      <c r="Z419" s="90">
        <f>SUM(Z409:Z418)</f>
        <v>476754.54159043368</v>
      </c>
      <c r="AA419" s="89"/>
      <c r="AB419" s="88"/>
      <c r="AC419" s="90"/>
      <c r="AD419" s="91">
        <f>AF419/AF407</f>
        <v>0.38402931585203703</v>
      </c>
      <c r="AE419" s="88"/>
      <c r="AF419" s="90">
        <f>SUM(AF409:AF418)</f>
        <v>484164.43000000005</v>
      </c>
      <c r="AG419" s="92"/>
      <c r="AH419" s="93">
        <f t="shared" ref="AH419:AH451" si="85">AF419-Z419</f>
        <v>7409.888409566367</v>
      </c>
      <c r="AI419" s="89">
        <f>AH419/Z419</f>
        <v>1.5542355160052135E-2</v>
      </c>
      <c r="AJ419" s="91">
        <f>IF($AL$407=0,0,AL419/$AL$407)</f>
        <v>0.25230459245515002</v>
      </c>
      <c r="AK419" s="88"/>
      <c r="AL419" s="90">
        <f>SUM(AL409:AL418)</f>
        <v>356458.86</v>
      </c>
      <c r="AM419" s="94"/>
      <c r="AN419" s="93">
        <f t="shared" si="83"/>
        <v>127705.57000000007</v>
      </c>
      <c r="AO419" s="401">
        <f t="shared" si="84"/>
        <v>0.35826173601071404</v>
      </c>
      <c r="AP419" s="79"/>
      <c r="AQ419" s="101"/>
      <c r="AR419" s="101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57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59855.371501272268</v>
      </c>
      <c r="AA420" s="403"/>
      <c r="AB420" s="403"/>
      <c r="AC420" s="87"/>
      <c r="AD420" s="410"/>
      <c r="AE420" s="409"/>
      <c r="AF420" s="87">
        <f>SUMIFS(BV_Data_An_Cour!$P:$P,BV_Data_An_Cour!$V:$V,$V420)</f>
        <v>51960.39</v>
      </c>
      <c r="AG420" s="404"/>
      <c r="AH420" s="405">
        <f t="shared" si="85"/>
        <v>-7894.9815012722684</v>
      </c>
      <c r="AI420" s="406">
        <f t="shared" ref="AI420:AI432" si="86">IF(Z420=0,0,AH420/Z420)</f>
        <v>-0.13190096900667395</v>
      </c>
      <c r="AJ420" s="410"/>
      <c r="AK420" s="403"/>
      <c r="AL420" s="87" cm="1">
        <f t="array" ref="AL420">+SUMPRODUCT(('Réel 2023'!$A$8:$A$501=$A420)*('Réel 2023'!$C$3:$AO$3=Z$2),'Réel 2023'!$C$8:$AO$501)</f>
        <v>52197.05</v>
      </c>
      <c r="AM420" s="407"/>
      <c r="AN420" s="405">
        <f t="shared" si="83"/>
        <v>-236.66000000000349</v>
      </c>
      <c r="AO420" s="217">
        <f t="shared" ref="AO420:AO431" si="87">IF(AL420=0,0,AN420/AL420)</f>
        <v>-4.5339727053541048E-3</v>
      </c>
      <c r="AP420" s="79"/>
      <c r="AQ420" s="101"/>
      <c r="AR420" s="101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57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126502.82951653945</v>
      </c>
      <c r="AA421" s="403"/>
      <c r="AB421" s="403"/>
      <c r="AC421" s="87"/>
      <c r="AD421" s="410"/>
      <c r="AE421" s="409"/>
      <c r="AF421" s="87">
        <f t="shared" ref="AF421:AF432" si="89">+SUMIF($C:$C,$V421,L:L)</f>
        <v>115056.47</v>
      </c>
      <c r="AG421" s="404"/>
      <c r="AH421" s="405">
        <f t="shared" si="85"/>
        <v>-11446.359516539451</v>
      </c>
      <c r="AI421" s="406">
        <f t="shared" si="86"/>
        <v>-9.0483031567629171E-2</v>
      </c>
      <c r="AJ421" s="410"/>
      <c r="AK421" s="403"/>
      <c r="AL421" s="87">
        <f t="shared" ref="AL421:AL432" si="90">+SUMIF($C:$C,$V421,Q:Q)</f>
        <v>125342.47</v>
      </c>
      <c r="AM421" s="407"/>
      <c r="AN421" s="405">
        <f t="shared" si="83"/>
        <v>-10286</v>
      </c>
      <c r="AO421" s="217">
        <f t="shared" si="87"/>
        <v>-8.206316661862495E-2</v>
      </c>
      <c r="AP421" s="79"/>
      <c r="AQ421" s="101"/>
      <c r="AR421" s="101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57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77997.898218829519</v>
      </c>
      <c r="AA422" s="393"/>
      <c r="AB422" s="393"/>
      <c r="AC422" s="394"/>
      <c r="AD422" s="413"/>
      <c r="AE422" s="412"/>
      <c r="AF422" s="394">
        <f t="shared" si="89"/>
        <v>73656.289999999994</v>
      </c>
      <c r="AG422" s="395"/>
      <c r="AH422" s="396">
        <f t="shared" si="85"/>
        <v>-4341.6082188295259</v>
      </c>
      <c r="AI422" s="414">
        <f t="shared" si="86"/>
        <v>-5.5663143725344838E-2</v>
      </c>
      <c r="AJ422" s="413"/>
      <c r="AK422" s="393"/>
      <c r="AL422" s="394">
        <f t="shared" si="90"/>
        <v>77559.510000000009</v>
      </c>
      <c r="AM422" s="398"/>
      <c r="AN422" s="396">
        <f t="shared" si="83"/>
        <v>-3903.2200000000157</v>
      </c>
      <c r="AO422" s="399">
        <f t="shared" si="87"/>
        <v>-5.0325485552964622E-2</v>
      </c>
      <c r="AP422" s="79"/>
      <c r="AQ422" s="101"/>
      <c r="AR422" s="101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57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86515.278625954204</v>
      </c>
      <c r="AA423" s="403"/>
      <c r="AB423" s="403"/>
      <c r="AC423" s="87"/>
      <c r="AD423" s="410"/>
      <c r="AE423" s="409"/>
      <c r="AF423" s="87">
        <f t="shared" si="89"/>
        <v>84194.42</v>
      </c>
      <c r="AG423" s="404"/>
      <c r="AH423" s="405">
        <f t="shared" si="85"/>
        <v>-2320.8586259542062</v>
      </c>
      <c r="AI423" s="406">
        <f t="shared" si="86"/>
        <v>-2.6825997243658636E-2</v>
      </c>
      <c r="AJ423" s="410"/>
      <c r="AK423" s="403"/>
      <c r="AL423" s="87">
        <f t="shared" si="90"/>
        <v>81117.279999999999</v>
      </c>
      <c r="AM423" s="407"/>
      <c r="AN423" s="405">
        <f t="shared" si="83"/>
        <v>3077.1399999999994</v>
      </c>
      <c r="AO423" s="217">
        <f t="shared" si="87"/>
        <v>3.7934457368393015E-2</v>
      </c>
      <c r="AP423" s="79"/>
      <c r="AQ423" s="101"/>
      <c r="AR423" s="101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57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40491.403212684563</v>
      </c>
      <c r="AA424" s="403"/>
      <c r="AB424" s="403"/>
      <c r="AC424" s="87"/>
      <c r="AD424" s="410"/>
      <c r="AE424" s="409"/>
      <c r="AF424" s="87">
        <f t="shared" si="89"/>
        <v>32598.25</v>
      </c>
      <c r="AG424" s="404"/>
      <c r="AH424" s="405">
        <f t="shared" si="85"/>
        <v>-7893.1532126845632</v>
      </c>
      <c r="AI424" s="406">
        <f t="shared" si="86"/>
        <v>-0.19493404985806739</v>
      </c>
      <c r="AJ424" s="410"/>
      <c r="AK424" s="403"/>
      <c r="AL424" s="87">
        <f t="shared" si="90"/>
        <v>29175.800000000003</v>
      </c>
      <c r="AM424" s="407"/>
      <c r="AN424" s="405">
        <f t="shared" si="83"/>
        <v>3422.4499999999971</v>
      </c>
      <c r="AO424" s="217">
        <f t="shared" si="87"/>
        <v>0.11730440981909654</v>
      </c>
      <c r="AP424" s="79"/>
      <c r="AQ424" s="101"/>
      <c r="AR424" s="101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57"/>
      <c r="T425" s="79"/>
      <c r="U425" s="79"/>
      <c r="V425" s="272" t="s">
        <v>42</v>
      </c>
      <c r="W425" s="408"/>
      <c r="X425" s="403"/>
      <c r="Y425" s="403"/>
      <c r="Z425" s="87">
        <f t="shared" si="88"/>
        <v>0</v>
      </c>
      <c r="AA425" s="403"/>
      <c r="AB425" s="403"/>
      <c r="AC425" s="87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101"/>
      <c r="AR425" s="101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57"/>
      <c r="T426" s="79"/>
      <c r="U426" s="79"/>
      <c r="V426" s="272" t="s">
        <v>42</v>
      </c>
      <c r="W426" s="408"/>
      <c r="X426" s="403"/>
      <c r="Y426" s="403"/>
      <c r="Z426" s="87">
        <f t="shared" si="88"/>
        <v>0</v>
      </c>
      <c r="AA426" s="403"/>
      <c r="AB426" s="403"/>
      <c r="AC426" s="87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101"/>
      <c r="AR426" s="101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57"/>
      <c r="T427" s="79"/>
      <c r="U427" s="79"/>
      <c r="V427" s="272" t="s">
        <v>42</v>
      </c>
      <c r="W427" s="408"/>
      <c r="X427" s="403"/>
      <c r="Y427" s="403"/>
      <c r="Z427" s="87">
        <f t="shared" si="88"/>
        <v>0</v>
      </c>
      <c r="AA427" s="403"/>
      <c r="AB427" s="403"/>
      <c r="AC427" s="87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101"/>
      <c r="AR427" s="101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57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74675.793819231767</v>
      </c>
      <c r="AA428" s="393"/>
      <c r="AB428" s="393"/>
      <c r="AC428" s="394"/>
      <c r="AD428" s="413"/>
      <c r="AE428" s="412"/>
      <c r="AF428" s="394">
        <f t="shared" si="89"/>
        <v>86489.809999999983</v>
      </c>
      <c r="AG428" s="395"/>
      <c r="AH428" s="396">
        <f t="shared" si="85"/>
        <v>11814.016180768216</v>
      </c>
      <c r="AI428" s="414">
        <f t="shared" si="86"/>
        <v>0.15820409233769234</v>
      </c>
      <c r="AJ428" s="413"/>
      <c r="AK428" s="393"/>
      <c r="AL428" s="394">
        <f t="shared" si="90"/>
        <v>62177.61</v>
      </c>
      <c r="AM428" s="398"/>
      <c r="AN428" s="396">
        <f t="shared" si="83"/>
        <v>24312.199999999983</v>
      </c>
      <c r="AO428" s="218">
        <f t="shared" si="87"/>
        <v>0.39101213443231386</v>
      </c>
      <c r="AP428" s="79"/>
      <c r="AQ428" s="721">
        <f>AF428/($AF$420+$AF$421+$AF$422+$AF$423+$AF$424+$AF$409+$AF$410+$K$185-$L$185)</f>
        <v>0.11775525024624978</v>
      </c>
      <c r="AR428" s="101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57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101808.13832203264</v>
      </c>
      <c r="AA429" s="403"/>
      <c r="AB429" s="403"/>
      <c r="AC429" s="87"/>
      <c r="AD429" s="410"/>
      <c r="AE429" s="409"/>
      <c r="AF429" s="87">
        <f t="shared" si="89"/>
        <v>106501.15</v>
      </c>
      <c r="AG429" s="404"/>
      <c r="AH429" s="405">
        <f t="shared" si="85"/>
        <v>4693.0116779673554</v>
      </c>
      <c r="AI429" s="406">
        <f t="shared" si="86"/>
        <v>4.6096626019451775E-2</v>
      </c>
      <c r="AJ429" s="410"/>
      <c r="AK429" s="403"/>
      <c r="AL429" s="87">
        <f t="shared" si="90"/>
        <v>105166.43</v>
      </c>
      <c r="AM429" s="407"/>
      <c r="AN429" s="405">
        <f t="shared" si="83"/>
        <v>1334.7200000000012</v>
      </c>
      <c r="AO429" s="217">
        <f t="shared" si="87"/>
        <v>1.2691502411938879E-2</v>
      </c>
      <c r="AP429" s="79"/>
      <c r="AQ429" s="721">
        <f>AF429/($AF$420+$AF$421+$AF$422+$AF$423+$AF$424+$AF$409+$AF$410+$K$185-$L$185)</f>
        <v>0.14500054480132846</v>
      </c>
      <c r="AR429" s="101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57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46412.533646808995</v>
      </c>
      <c r="AA430" s="403"/>
      <c r="AB430" s="403"/>
      <c r="AC430" s="87"/>
      <c r="AD430" s="410"/>
      <c r="AE430" s="409"/>
      <c r="AF430" s="87">
        <f t="shared" si="89"/>
        <v>49955.64</v>
      </c>
      <c r="AG430" s="404"/>
      <c r="AH430" s="405">
        <f t="shared" si="85"/>
        <v>3543.106353191004</v>
      </c>
      <c r="AI430" s="406">
        <f t="shared" si="86"/>
        <v>7.6339429778891271E-2</v>
      </c>
      <c r="AJ430" s="410"/>
      <c r="AK430" s="403"/>
      <c r="AL430" s="87">
        <f t="shared" si="90"/>
        <v>38962.730000000003</v>
      </c>
      <c r="AM430" s="407"/>
      <c r="AN430" s="405">
        <f t="shared" si="83"/>
        <v>10992.909999999996</v>
      </c>
      <c r="AO430" s="217">
        <f t="shared" si="87"/>
        <v>0.28213911088879029</v>
      </c>
      <c r="AP430" s="79"/>
      <c r="AQ430" s="721">
        <f>AF430/($AF$420+$AF$421+$AF$422+$AF$423+$AF$424+$AF$409+$AF$410+$K$185-$L$185)</f>
        <v>6.8014242249018309E-2</v>
      </c>
      <c r="AR430" s="101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57"/>
      <c r="T431" s="79"/>
      <c r="U431" s="79"/>
      <c r="V431" s="272" t="s">
        <v>116</v>
      </c>
      <c r="W431" s="408"/>
      <c r="X431" s="403"/>
      <c r="Y431" s="403"/>
      <c r="Z431" s="87">
        <f t="shared" si="88"/>
        <v>10480.24953315042</v>
      </c>
      <c r="AA431" s="403"/>
      <c r="AB431" s="403"/>
      <c r="AC431" s="87"/>
      <c r="AD431" s="410"/>
      <c r="AE431" s="409"/>
      <c r="AF431" s="87">
        <f t="shared" si="89"/>
        <v>13118.4</v>
      </c>
      <c r="AG431" s="404"/>
      <c r="AH431" s="405">
        <f t="shared" si="85"/>
        <v>2638.15046684958</v>
      </c>
      <c r="AI431" s="97">
        <f t="shared" si="86"/>
        <v>0.25172592107704689</v>
      </c>
      <c r="AJ431" s="410"/>
      <c r="AK431" s="403"/>
      <c r="AL431" s="87">
        <f t="shared" si="90"/>
        <v>11055.080000000002</v>
      </c>
      <c r="AM431" s="407"/>
      <c r="AN431" s="405">
        <f t="shared" si="83"/>
        <v>2063.3199999999979</v>
      </c>
      <c r="AO431" s="217">
        <f t="shared" si="87"/>
        <v>0.1866399881321526</v>
      </c>
      <c r="AP431" s="79"/>
      <c r="AQ431" s="721">
        <f>AF431/($AF$420+$AF$421+$AF$422+$AF$423+$AF$424+$AF$409+$AF$410+$K$185-$L$185)</f>
        <v>1.7860606640601979E-2</v>
      </c>
      <c r="AR431" s="101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57"/>
      <c r="T432" s="79"/>
      <c r="U432" s="79"/>
      <c r="V432" s="256" t="s">
        <v>42</v>
      </c>
      <c r="W432" s="408"/>
      <c r="X432" s="403"/>
      <c r="Y432" s="409"/>
      <c r="Z432" s="87">
        <f t="shared" si="88"/>
        <v>0</v>
      </c>
      <c r="AA432" s="403"/>
      <c r="AB432" s="409"/>
      <c r="AC432" s="87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5"/>
      <c r="AL432" s="87">
        <f t="shared" si="90"/>
        <v>0</v>
      </c>
      <c r="AM432" s="407"/>
      <c r="AN432" s="405"/>
      <c r="AO432" s="218"/>
      <c r="AP432" s="79"/>
      <c r="AQ432" s="101"/>
      <c r="AR432" s="101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57"/>
      <c r="T433" s="79"/>
      <c r="U433" s="79"/>
      <c r="V433" s="415" t="s">
        <v>117</v>
      </c>
      <c r="W433" s="88"/>
      <c r="X433" s="89">
        <f>Z433/Z407</f>
        <v>0.41993431566499456</v>
      </c>
      <c r="Y433" s="88"/>
      <c r="Z433" s="90">
        <f>SUM(Z420:Z432)</f>
        <v>624739.49639650399</v>
      </c>
      <c r="AA433" s="89"/>
      <c r="AB433" s="88"/>
      <c r="AC433" s="90"/>
      <c r="AD433" s="91">
        <f>AF433/AF407</f>
        <v>0.48664008848964646</v>
      </c>
      <c r="AE433" s="98"/>
      <c r="AF433" s="90">
        <f>SUM(AF420:AF432)</f>
        <v>613530.81999999995</v>
      </c>
      <c r="AG433" s="99"/>
      <c r="AH433" s="93">
        <f t="shared" si="85"/>
        <v>-11208.676396504045</v>
      </c>
      <c r="AI433" s="89">
        <f>AH433/Z433</f>
        <v>-1.794136029682078E-2</v>
      </c>
      <c r="AJ433" s="91">
        <f>IF($AL$407=0,0,AL433/$AL$407)</f>
        <v>0.41247817596517256</v>
      </c>
      <c r="AK433" s="88"/>
      <c r="AL433" s="90">
        <f>SUM(AL420:AL432)</f>
        <v>582753.96</v>
      </c>
      <c r="AM433" s="100"/>
      <c r="AN433" s="93">
        <f t="shared" ref="AN433:AN447" si="91">AF433-AL433</f>
        <v>30776.859999999986</v>
      </c>
      <c r="AO433" s="401">
        <f>IF(AL433=0,0,AN433/AL433)</f>
        <v>5.2812785690894301E-2</v>
      </c>
      <c r="AP433" s="79"/>
      <c r="AQ433" s="101"/>
      <c r="AR433" s="101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996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33319.690411883377</v>
      </c>
      <c r="AA434" s="417"/>
      <c r="AB434" s="417"/>
      <c r="AC434" s="243"/>
      <c r="AD434" s="418"/>
      <c r="AE434" s="419"/>
      <c r="AF434" s="243">
        <f t="shared" ref="AF434:AF451" si="93">+SUMIF($C:$C,$V434,L:L)</f>
        <v>35629.96</v>
      </c>
      <c r="AG434" s="418"/>
      <c r="AH434" s="420">
        <f t="shared" si="85"/>
        <v>2310.2695881166219</v>
      </c>
      <c r="AI434" s="421">
        <f t="shared" ref="AI434:AI451" si="94">IF(Z434=0,0,AH434/Z434)</f>
        <v>6.9336466202359143E-2</v>
      </c>
      <c r="AJ434" s="418"/>
      <c r="AK434" s="417"/>
      <c r="AL434" s="243">
        <f t="shared" ref="AL434:AL447" si="95">+SUMIF($C:$C,$V434,Q:Q)</f>
        <v>30801.670000000002</v>
      </c>
      <c r="AM434" s="422"/>
      <c r="AN434" s="420">
        <f t="shared" si="91"/>
        <v>4828.2899999999972</v>
      </c>
      <c r="AO434" s="216">
        <f t="shared" ref="AO434:AO447" si="96">IF(AL434=0,0,AN434/AL434)</f>
        <v>0.15675416300479803</v>
      </c>
      <c r="AP434" s="79"/>
      <c r="AQ434" s="101"/>
      <c r="AR434" s="101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57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15860</v>
      </c>
      <c r="AA435" s="403"/>
      <c r="AB435" s="403"/>
      <c r="AC435" s="87"/>
      <c r="AD435" s="410"/>
      <c r="AE435" s="409"/>
      <c r="AF435" s="87">
        <f t="shared" si="93"/>
        <v>13798.1</v>
      </c>
      <c r="AG435" s="404"/>
      <c r="AH435" s="405">
        <f t="shared" si="85"/>
        <v>-2061.8999999999996</v>
      </c>
      <c r="AI435" s="406">
        <f t="shared" si="94"/>
        <v>-0.13000630517023956</v>
      </c>
      <c r="AJ435" s="410"/>
      <c r="AK435" s="403"/>
      <c r="AL435" s="87">
        <f t="shared" si="95"/>
        <v>9791.2599999999984</v>
      </c>
      <c r="AM435" s="407"/>
      <c r="AN435" s="405">
        <f t="shared" si="91"/>
        <v>4006.840000000002</v>
      </c>
      <c r="AO435" s="217">
        <f t="shared" si="96"/>
        <v>0.40922618743655081</v>
      </c>
      <c r="AP435" s="79"/>
      <c r="AQ435" s="101"/>
      <c r="AR435" s="101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57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61213.333333333336</v>
      </c>
      <c r="AA436" s="393"/>
      <c r="AB436" s="393"/>
      <c r="AC436" s="394"/>
      <c r="AD436" s="413"/>
      <c r="AE436" s="412"/>
      <c r="AF436" s="394">
        <f t="shared" si="93"/>
        <v>51120.500000000007</v>
      </c>
      <c r="AG436" s="395"/>
      <c r="AH436" s="396">
        <f t="shared" si="85"/>
        <v>-10092.833333333328</v>
      </c>
      <c r="AI436" s="414">
        <f t="shared" si="94"/>
        <v>-0.16487965584839895</v>
      </c>
      <c r="AJ436" s="413"/>
      <c r="AK436" s="393"/>
      <c r="AL436" s="394">
        <f t="shared" si="95"/>
        <v>53324.72</v>
      </c>
      <c r="AM436" s="398"/>
      <c r="AN436" s="396">
        <f t="shared" si="91"/>
        <v>-2204.2199999999939</v>
      </c>
      <c r="AO436" s="399">
        <f t="shared" si="96"/>
        <v>-4.133580073181807E-2</v>
      </c>
      <c r="AP436" s="79"/>
      <c r="AQ436" s="101"/>
      <c r="AR436" s="10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57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56372</v>
      </c>
      <c r="AA437" s="403"/>
      <c r="AB437" s="403"/>
      <c r="AC437" s="87"/>
      <c r="AD437" s="410"/>
      <c r="AE437" s="409"/>
      <c r="AF437" s="87">
        <f t="shared" si="93"/>
        <v>53028.670000000006</v>
      </c>
      <c r="AG437" s="404"/>
      <c r="AH437" s="405">
        <f t="shared" si="85"/>
        <v>-3343.3299999999945</v>
      </c>
      <c r="AI437" s="406">
        <f t="shared" si="94"/>
        <v>-5.9308344568225264E-2</v>
      </c>
      <c r="AJ437" s="410"/>
      <c r="AK437" s="403"/>
      <c r="AL437" s="87">
        <f t="shared" si="95"/>
        <v>51738.41</v>
      </c>
      <c r="AM437" s="407"/>
      <c r="AN437" s="405">
        <f t="shared" si="91"/>
        <v>1290.260000000002</v>
      </c>
      <c r="AO437" s="217">
        <f t="shared" si="96"/>
        <v>2.4938145567287476E-2</v>
      </c>
      <c r="AP437" s="79"/>
      <c r="AQ437" s="101"/>
      <c r="AR437" s="10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57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7312</v>
      </c>
      <c r="AA438" s="403"/>
      <c r="AB438" s="403"/>
      <c r="AC438" s="87"/>
      <c r="AD438" s="410"/>
      <c r="AE438" s="409"/>
      <c r="AF438" s="87">
        <f t="shared" si="93"/>
        <v>12173.099999999999</v>
      </c>
      <c r="AG438" s="404"/>
      <c r="AH438" s="405">
        <f t="shared" si="85"/>
        <v>4861.0999999999985</v>
      </c>
      <c r="AI438" s="406">
        <f t="shared" si="94"/>
        <v>0.66481126914660815</v>
      </c>
      <c r="AJ438" s="410"/>
      <c r="AK438" s="403"/>
      <c r="AL438" s="87">
        <f t="shared" si="95"/>
        <v>5986.96</v>
      </c>
      <c r="AM438" s="407"/>
      <c r="AN438" s="405">
        <f t="shared" si="91"/>
        <v>6186.1399999999985</v>
      </c>
      <c r="AO438" s="217">
        <f t="shared" si="96"/>
        <v>1.0332689712308081</v>
      </c>
      <c r="AP438" s="79"/>
      <c r="AQ438" s="101"/>
      <c r="AR438" s="10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57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43864.000000000007</v>
      </c>
      <c r="AA439" s="403"/>
      <c r="AB439" s="403"/>
      <c r="AC439" s="87"/>
      <c r="AD439" s="410"/>
      <c r="AE439" s="409"/>
      <c r="AF439" s="87">
        <f t="shared" si="93"/>
        <v>42778.509999999995</v>
      </c>
      <c r="AG439" s="404"/>
      <c r="AH439" s="405">
        <f t="shared" si="85"/>
        <v>-1085.4900000000125</v>
      </c>
      <c r="AI439" s="406">
        <f t="shared" si="94"/>
        <v>-2.4746717125661417E-2</v>
      </c>
      <c r="AJ439" s="410"/>
      <c r="AK439" s="403"/>
      <c r="AL439" s="87">
        <f t="shared" si="95"/>
        <v>45425.500000000007</v>
      </c>
      <c r="AM439" s="407"/>
      <c r="AN439" s="405">
        <f t="shared" si="91"/>
        <v>-2646.9900000000125</v>
      </c>
      <c r="AO439" s="217">
        <f t="shared" si="96"/>
        <v>-5.8271015178699453E-2</v>
      </c>
      <c r="AP439" s="79"/>
      <c r="AQ439" s="101"/>
      <c r="AR439" s="101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57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101"/>
      <c r="AR440" s="101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57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5443.9351523742025</v>
      </c>
      <c r="AA441" s="403"/>
      <c r="AB441" s="409"/>
      <c r="AC441" s="87"/>
      <c r="AD441" s="410"/>
      <c r="AE441" s="409"/>
      <c r="AF441" s="87">
        <f t="shared" si="93"/>
        <v>4280.51</v>
      </c>
      <c r="AG441" s="404"/>
      <c r="AH441" s="405">
        <f t="shared" si="85"/>
        <v>-1163.4251523742023</v>
      </c>
      <c r="AI441" s="406">
        <f t="shared" si="94"/>
        <v>-0.21371032530885506</v>
      </c>
      <c r="AJ441" s="410"/>
      <c r="AK441" s="403"/>
      <c r="AL441" s="87">
        <f t="shared" si="95"/>
        <v>4963.99</v>
      </c>
      <c r="AM441" s="407"/>
      <c r="AN441" s="405">
        <f t="shared" si="91"/>
        <v>-683.47999999999956</v>
      </c>
      <c r="AO441" s="217">
        <f t="shared" si="96"/>
        <v>-0.1376876262845009</v>
      </c>
      <c r="AP441" s="79"/>
      <c r="AQ441" s="101"/>
      <c r="AR441" s="101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57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4012</v>
      </c>
      <c r="AA442" s="403"/>
      <c r="AB442" s="403"/>
      <c r="AC442" s="87"/>
      <c r="AD442" s="410"/>
      <c r="AE442" s="409"/>
      <c r="AF442" s="87">
        <f t="shared" si="93"/>
        <v>3825.57</v>
      </c>
      <c r="AG442" s="404"/>
      <c r="AH442" s="405">
        <f t="shared" si="85"/>
        <v>-186.42999999999984</v>
      </c>
      <c r="AI442" s="97">
        <f t="shared" si="94"/>
        <v>-4.6468095712861375E-2</v>
      </c>
      <c r="AJ442" s="410"/>
      <c r="AK442" s="403"/>
      <c r="AL442" s="87">
        <f t="shared" si="95"/>
        <v>4099.5599999999995</v>
      </c>
      <c r="AM442" s="407"/>
      <c r="AN442" s="405">
        <f t="shared" si="91"/>
        <v>-273.98999999999933</v>
      </c>
      <c r="AO442" s="217">
        <f t="shared" si="96"/>
        <v>-6.683400169774302E-2</v>
      </c>
      <c r="AP442" s="79"/>
      <c r="AQ442" s="101"/>
      <c r="AR442" s="101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57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7000</v>
      </c>
      <c r="AA443" s="403"/>
      <c r="AB443" s="403"/>
      <c r="AC443" s="87"/>
      <c r="AD443" s="410"/>
      <c r="AE443" s="409"/>
      <c r="AF443" s="87">
        <f t="shared" si="93"/>
        <v>5252.98</v>
      </c>
      <c r="AG443" s="404"/>
      <c r="AH443" s="405">
        <f t="shared" si="85"/>
        <v>-1747.0200000000004</v>
      </c>
      <c r="AI443" s="406">
        <f t="shared" si="94"/>
        <v>-0.24957428571428578</v>
      </c>
      <c r="AJ443" s="410"/>
      <c r="AK443" s="403"/>
      <c r="AL443" s="87">
        <f t="shared" si="95"/>
        <v>6912.87</v>
      </c>
      <c r="AM443" s="407"/>
      <c r="AN443" s="405">
        <f t="shared" si="91"/>
        <v>-1659.8900000000003</v>
      </c>
      <c r="AO443" s="217">
        <f t="shared" si="96"/>
        <v>-0.24011589976377401</v>
      </c>
      <c r="AP443" s="79"/>
      <c r="AQ443" s="101"/>
      <c r="AR443" s="101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57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2048</v>
      </c>
      <c r="AA444" s="403"/>
      <c r="AB444" s="403"/>
      <c r="AC444" s="87"/>
      <c r="AD444" s="410"/>
      <c r="AE444" s="409"/>
      <c r="AF444" s="87">
        <f t="shared" si="93"/>
        <v>2152.23</v>
      </c>
      <c r="AG444" s="404"/>
      <c r="AH444" s="405">
        <f t="shared" si="85"/>
        <v>104.23000000000002</v>
      </c>
      <c r="AI444" s="97">
        <f t="shared" si="94"/>
        <v>5.0893554687500009E-2</v>
      </c>
      <c r="AJ444" s="410"/>
      <c r="AK444" s="403"/>
      <c r="AL444" s="87">
        <f t="shared" si="95"/>
        <v>2043.9300000000003</v>
      </c>
      <c r="AM444" s="407"/>
      <c r="AN444" s="405">
        <f t="shared" si="91"/>
        <v>108.29999999999973</v>
      </c>
      <c r="AO444" s="217">
        <f t="shared" si="96"/>
        <v>5.2986159017187333E-2</v>
      </c>
      <c r="AP444" s="79"/>
      <c r="AQ444" s="101"/>
      <c r="AR444" s="101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57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3500</v>
      </c>
      <c r="AA445" s="403"/>
      <c r="AB445" s="403"/>
      <c r="AC445" s="87"/>
      <c r="AD445" s="410"/>
      <c r="AE445" s="409"/>
      <c r="AF445" s="87">
        <f t="shared" si="93"/>
        <v>5642.1</v>
      </c>
      <c r="AG445" s="404"/>
      <c r="AH445" s="405">
        <f t="shared" si="85"/>
        <v>2142.1000000000004</v>
      </c>
      <c r="AI445" s="406">
        <f t="shared" si="94"/>
        <v>0.61202857142857148</v>
      </c>
      <c r="AJ445" s="410"/>
      <c r="AK445" s="403"/>
      <c r="AL445" s="87">
        <f t="shared" si="95"/>
        <v>5352.4400000000005</v>
      </c>
      <c r="AM445" s="407"/>
      <c r="AN445" s="405">
        <f t="shared" si="91"/>
        <v>289.65999999999985</v>
      </c>
      <c r="AO445" s="217">
        <f t="shared" si="96"/>
        <v>5.4117374505832823E-2</v>
      </c>
      <c r="AP445" s="79"/>
      <c r="AQ445" s="101"/>
      <c r="AR445" s="101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57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7432</v>
      </c>
      <c r="AA446" s="403"/>
      <c r="AB446" s="409"/>
      <c r="AC446" s="87"/>
      <c r="AD446" s="410"/>
      <c r="AE446" s="409"/>
      <c r="AF446" s="87">
        <f t="shared" si="93"/>
        <v>7053.8099999999995</v>
      </c>
      <c r="AG446" s="404"/>
      <c r="AH446" s="405">
        <f t="shared" si="85"/>
        <v>-378.19000000000051</v>
      </c>
      <c r="AI446" s="97">
        <f t="shared" si="94"/>
        <v>-5.0886706135629775E-2</v>
      </c>
      <c r="AJ446" s="410"/>
      <c r="AK446" s="403"/>
      <c r="AL446" s="87">
        <f t="shared" si="95"/>
        <v>6696.99</v>
      </c>
      <c r="AM446" s="407"/>
      <c r="AN446" s="405">
        <f t="shared" si="91"/>
        <v>356.81999999999971</v>
      </c>
      <c r="AO446" s="217">
        <f t="shared" si="96"/>
        <v>5.3280652950056628E-2</v>
      </c>
      <c r="AP446" s="79"/>
      <c r="AQ446" s="101"/>
      <c r="AR446" s="101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57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10439.604266666665</v>
      </c>
      <c r="AA447" s="403"/>
      <c r="AB447" s="409"/>
      <c r="AC447" s="87"/>
      <c r="AD447" s="410"/>
      <c r="AE447" s="409"/>
      <c r="AF447" s="87">
        <f t="shared" si="93"/>
        <v>3972.3900000000003</v>
      </c>
      <c r="AG447" s="404"/>
      <c r="AH447" s="405">
        <f t="shared" si="85"/>
        <v>-6467.214266666665</v>
      </c>
      <c r="AI447" s="406">
        <f t="shared" si="94"/>
        <v>-0.61948845008582187</v>
      </c>
      <c r="AJ447" s="410"/>
      <c r="AK447" s="403"/>
      <c r="AL447" s="87">
        <f t="shared" si="95"/>
        <v>11565.359999999999</v>
      </c>
      <c r="AM447" s="407"/>
      <c r="AN447" s="405">
        <f t="shared" si="91"/>
        <v>-7592.9699999999984</v>
      </c>
      <c r="AO447" s="217">
        <f t="shared" si="96"/>
        <v>-0.65652690448027551</v>
      </c>
      <c r="AP447" s="79"/>
      <c r="AQ447" s="101"/>
      <c r="AR447" s="101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57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21136.014281136991</v>
      </c>
      <c r="AA448" s="403"/>
      <c r="AB448" s="409"/>
      <c r="AC448" s="87"/>
      <c r="AD448" s="410"/>
      <c r="AE448" s="409"/>
      <c r="AF448" s="87">
        <f t="shared" si="93"/>
        <v>23026.799999999999</v>
      </c>
      <c r="AG448" s="404"/>
      <c r="AH448" s="405">
        <f t="shared" si="85"/>
        <v>1890.7857188630078</v>
      </c>
      <c r="AI448" s="406">
        <f t="shared" si="94"/>
        <v>8.9458007253073013E-2</v>
      </c>
      <c r="AJ448" s="410"/>
      <c r="AK448" s="403"/>
      <c r="AL448" s="87" cm="1">
        <f t="array" ref="AL448">+SUMPRODUCT(('Réel 2023'!$A$8:$A$501=$A448)*('Réel 2023'!$C$3:$AO$3=Z$2),'Réel 2023'!$C$8:$AO$501)</f>
        <v>20343.619999999981</v>
      </c>
      <c r="AM448" s="407"/>
      <c r="AN448" s="405">
        <f>AF448-AL448</f>
        <v>2683.1800000000185</v>
      </c>
      <c r="AO448" s="217">
        <f>IF(AL448=0,0,AN448/AL448)</f>
        <v>0.13189294727290526</v>
      </c>
      <c r="AP448" s="79"/>
      <c r="AQ448" s="101"/>
      <c r="AR448" s="101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57"/>
      <c r="T449" s="79"/>
      <c r="U449" s="79"/>
      <c r="V449" s="272" t="s">
        <v>42</v>
      </c>
      <c r="W449" s="408"/>
      <c r="X449" s="403"/>
      <c r="Y449" s="409"/>
      <c r="Z449" s="87">
        <f t="shared" si="92"/>
        <v>0</v>
      </c>
      <c r="AA449" s="403"/>
      <c r="AB449" s="409"/>
      <c r="AC449" s="87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101"/>
      <c r="AR449" s="101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57"/>
      <c r="T450" s="79"/>
      <c r="U450" s="79"/>
      <c r="V450" s="272" t="s">
        <v>42</v>
      </c>
      <c r="W450" s="408"/>
      <c r="X450" s="403"/>
      <c r="Y450" s="409"/>
      <c r="Z450" s="87">
        <f t="shared" si="92"/>
        <v>0</v>
      </c>
      <c r="AA450" s="403"/>
      <c r="AB450" s="409"/>
      <c r="AC450" s="87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101"/>
      <c r="AR450" s="101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57"/>
      <c r="T451" s="79"/>
      <c r="U451" s="79"/>
      <c r="V451" s="272" t="s">
        <v>42</v>
      </c>
      <c r="W451" s="408"/>
      <c r="X451" s="403"/>
      <c r="Y451" s="409"/>
      <c r="Z451" s="87">
        <f t="shared" si="92"/>
        <v>0</v>
      </c>
      <c r="AA451" s="403"/>
      <c r="AB451" s="409"/>
      <c r="AC451" s="87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101"/>
      <c r="AR451" s="101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57"/>
      <c r="T452" s="79"/>
      <c r="U452" s="79"/>
      <c r="V452" s="415" t="s">
        <v>132</v>
      </c>
      <c r="W452" s="103"/>
      <c r="X452" s="89">
        <f>Z452/+Z407</f>
        <v>0.18750496869205738</v>
      </c>
      <c r="Y452" s="88"/>
      <c r="Z452" s="90">
        <f>+SUM(Z434:Z451)</f>
        <v>278952.57744539459</v>
      </c>
      <c r="AA452" s="89"/>
      <c r="AB452" s="88"/>
      <c r="AC452" s="90"/>
      <c r="AD452" s="91">
        <f>AF452/AF407</f>
        <v>0.20918938622355976</v>
      </c>
      <c r="AE452" s="88"/>
      <c r="AF452" s="90">
        <f>+SUM(AF434:AF451)</f>
        <v>263735.2300000001</v>
      </c>
      <c r="AG452" s="99"/>
      <c r="AH452" s="93">
        <f>+SUM(AH434:AH451)</f>
        <v>-15217.347445394575</v>
      </c>
      <c r="AI452" s="89">
        <f>AH452/Z452</f>
        <v>-5.4551736301391207E-2</v>
      </c>
      <c r="AJ452" s="91">
        <f>IF($AL$407=0,0,AL452/$AL$407)</f>
        <v>0.18335585320284961</v>
      </c>
      <c r="AK452" s="89"/>
      <c r="AL452" s="90">
        <f>+SUM(AL434:AL451)</f>
        <v>259047.27999999991</v>
      </c>
      <c r="AM452" s="100"/>
      <c r="AN452" s="93">
        <f>+SUM(AN434:AN451)</f>
        <v>4687.9500000000107</v>
      </c>
      <c r="AO452" s="558">
        <f>IF(AL452=0,0,AN452/AL452)</f>
        <v>1.8096889494458358E-2</v>
      </c>
      <c r="AP452" s="79"/>
      <c r="AQ452" s="101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57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200000</v>
      </c>
      <c r="AA453" s="403"/>
      <c r="AB453" s="409"/>
      <c r="AC453" s="87"/>
      <c r="AD453" s="410"/>
      <c r="AE453" s="409"/>
      <c r="AF453" s="87">
        <f>SUMIFS(BV_Data_An_Cour!$P:$P,BV_Data_An_Cour!$V:$V,$V453)</f>
        <v>200000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200000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57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23488.560000000001</v>
      </c>
      <c r="AA454" s="403"/>
      <c r="AB454" s="409"/>
      <c r="AC454" s="87"/>
      <c r="AD454" s="410"/>
      <c r="AE454" s="409"/>
      <c r="AF454" s="87">
        <f>SUMIFS(BV_Data_An_Cour!$P:$P,BV_Data_An_Cour!$V:$V,$V454)</f>
        <v>23488.560000000001</v>
      </c>
      <c r="AG454" s="404"/>
      <c r="AH454" s="405">
        <f t="shared" si="97"/>
        <v>0</v>
      </c>
      <c r="AI454" s="406">
        <f t="shared" si="98"/>
        <v>0</v>
      </c>
      <c r="AJ454" s="410"/>
      <c r="AK454" s="403"/>
      <c r="AL454" s="87" cm="1">
        <f t="array" ref="AL454">+SUMPRODUCT(('Réel 2023'!$A$8:$A$501=$A454)*('Réel 2023'!$C$3:$AO$3=Z$2),'Réel 2023'!$C$8:$AO$501)</f>
        <v>21634.6</v>
      </c>
      <c r="AM454" s="407"/>
      <c r="AN454" s="405">
        <f t="shared" si="99"/>
        <v>1853.9600000000028</v>
      </c>
      <c r="AO454" s="217">
        <f t="shared" si="100"/>
        <v>8.5694212049217594E-2</v>
      </c>
      <c r="AP454" s="79"/>
      <c r="AQ454" s="101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57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10066.52</v>
      </c>
      <c r="AA455" s="393"/>
      <c r="AB455" s="412"/>
      <c r="AC455" s="394"/>
      <c r="AD455" s="413"/>
      <c r="AE455" s="412"/>
      <c r="AF455" s="394">
        <f>SUMIFS(BV_Data_An_Cour!$P:$P,BV_Data_An_Cour!$V:$V,$V455)</f>
        <v>10066.52</v>
      </c>
      <c r="AG455" s="395"/>
      <c r="AH455" s="396">
        <f t="shared" si="97"/>
        <v>0</v>
      </c>
      <c r="AI455" s="414">
        <f t="shared" si="98"/>
        <v>0</v>
      </c>
      <c r="AJ455" s="413"/>
      <c r="AK455" s="393"/>
      <c r="AL455" s="394" cm="1">
        <f t="array" ref="AL455">+SUMPRODUCT(('Réel 2023'!$A$8:$A$501=$A455)*('Réel 2023'!$C$3:$AO$3=Z$2),'Réel 2023'!$C$8:$AO$501)</f>
        <v>9271.9599999999991</v>
      </c>
      <c r="AM455" s="398"/>
      <c r="AN455" s="396">
        <f t="shared" si="99"/>
        <v>794.56000000000131</v>
      </c>
      <c r="AO455" s="399">
        <f t="shared" si="100"/>
        <v>8.569493397296811E-2</v>
      </c>
      <c r="AP455" s="79"/>
      <c r="AQ455" s="101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57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101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57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17399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17399</v>
      </c>
      <c r="AG457" s="395"/>
      <c r="AH457" s="396">
        <f t="shared" si="97"/>
        <v>0</v>
      </c>
      <c r="AI457" s="414">
        <f t="shared" si="98"/>
        <v>0</v>
      </c>
      <c r="AJ457" s="413"/>
      <c r="AK457" s="393"/>
      <c r="AL457" s="394" cm="1">
        <f t="array" ref="AL457">+SUMPRODUCT(('Réel 2023'!$A$8:$A$501=$A457)*('Réel 2023'!$C$3:$AO$3=Z$2),'Réel 2023'!$C$8:$AO$501)</f>
        <v>19088</v>
      </c>
      <c r="AM457" s="398"/>
      <c r="AN457" s="396">
        <f t="shared" si="99"/>
        <v>-1689</v>
      </c>
      <c r="AO457" s="399">
        <f t="shared" si="100"/>
        <v>-8.8484911986588435E-2</v>
      </c>
      <c r="AP457" s="79"/>
      <c r="AQ457" s="101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57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18400</v>
      </c>
      <c r="AA458" s="249"/>
      <c r="AB458" s="242"/>
      <c r="AC458" s="87"/>
      <c r="AD458" s="410"/>
      <c r="AE458" s="409"/>
      <c r="AF458" s="87">
        <f>SUMIFS(BV_Data_An_Cour!$P:$P,BV_Data_An_Cour!$V:$V,$V458)</f>
        <v>22446.09</v>
      </c>
      <c r="AG458" s="404"/>
      <c r="AH458" s="405">
        <f t="shared" si="97"/>
        <v>4046.09</v>
      </c>
      <c r="AI458" s="406">
        <f t="shared" si="98"/>
        <v>0.21989619565217391</v>
      </c>
      <c r="AJ458" s="410"/>
      <c r="AK458" s="403"/>
      <c r="AL458" s="87" cm="1">
        <f t="array" ref="AL458">+SUMPRODUCT(('Réel 2023'!$A$8:$A$501=$A458)*('Réel 2023'!$C$3:$AO$3=Z$2),'Réel 2023'!$C$8:$AO$501)</f>
        <v>19308.709999999992</v>
      </c>
      <c r="AM458" s="407"/>
      <c r="AN458" s="405">
        <f t="shared" si="99"/>
        <v>3137.3800000000083</v>
      </c>
      <c r="AO458" s="217">
        <f t="shared" si="100"/>
        <v>0.16248522040053476</v>
      </c>
      <c r="AP458" s="79"/>
      <c r="AQ458" s="101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57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26572</v>
      </c>
      <c r="AA459" s="403"/>
      <c r="AB459" s="409"/>
      <c r="AC459" s="87"/>
      <c r="AD459" s="410"/>
      <c r="AE459" s="409"/>
      <c r="AF459" s="87">
        <f>SUMIFS(BV_Data_An_Cour!$P:$P,BV_Data_An_Cour!$V:$V,$V459)</f>
        <v>25229.320000000003</v>
      </c>
      <c r="AG459" s="404"/>
      <c r="AH459" s="405">
        <f t="shared" si="97"/>
        <v>-1342.6799999999967</v>
      </c>
      <c r="AI459" s="406">
        <f t="shared" si="98"/>
        <v>-5.0529881077826154E-2</v>
      </c>
      <c r="AJ459" s="410"/>
      <c r="AK459" s="403"/>
      <c r="AL459" s="87" cm="1">
        <f t="array" ref="AL459">+SUMPRODUCT(('Réel 2023'!$A$8:$A$501=$A459)*('Réel 2023'!$C$3:$AO$3=Z$2),'Réel 2023'!$C$8:$AO$501)</f>
        <v>27032.46</v>
      </c>
      <c r="AM459" s="407"/>
      <c r="AN459" s="405">
        <f t="shared" si="99"/>
        <v>-1803.1399999999958</v>
      </c>
      <c r="AO459" s="217">
        <f t="shared" si="100"/>
        <v>-6.6702771408891234E-2</v>
      </c>
      <c r="AP459" s="79"/>
      <c r="AQ459" s="101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57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2000</v>
      </c>
      <c r="AA460" s="393"/>
      <c r="AB460" s="412"/>
      <c r="AC460" s="394"/>
      <c r="AD460" s="413"/>
      <c r="AE460" s="412"/>
      <c r="AF460" s="394">
        <f>SUMIFS(BV_Data_An_Cour!$P:$P,BV_Data_An_Cour!$V:$V,$V460)</f>
        <v>2217.06</v>
      </c>
      <c r="AG460" s="395"/>
      <c r="AH460" s="396">
        <f t="shared" si="97"/>
        <v>217.05999999999995</v>
      </c>
      <c r="AI460" s="414">
        <f t="shared" si="98"/>
        <v>0.10852999999999997</v>
      </c>
      <c r="AJ460" s="413"/>
      <c r="AK460" s="393"/>
      <c r="AL460" s="394" cm="1">
        <f t="array" ref="AL460">+SUMPRODUCT(('Réel 2023'!$A$8:$A$501=$A460)*('Réel 2023'!$C$3:$AO$3=Z$2),'Réel 2023'!$C$8:$AO$501)</f>
        <v>3198</v>
      </c>
      <c r="AM460" s="398"/>
      <c r="AN460" s="396">
        <f t="shared" si="99"/>
        <v>-980.94</v>
      </c>
      <c r="AO460" s="399">
        <f t="shared" si="100"/>
        <v>-0.30673545966228893</v>
      </c>
      <c r="AP460" s="79"/>
      <c r="AQ460" s="101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57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1100</v>
      </c>
      <c r="AA461" s="403"/>
      <c r="AB461" s="409"/>
      <c r="AC461" s="87"/>
      <c r="AD461" s="410"/>
      <c r="AE461" s="409"/>
      <c r="AF461" s="87">
        <f>SUMIFS(BV_Data_An_Cour!$P:$P,BV_Data_An_Cour!$V:$V,$V461)</f>
        <v>695.83999999999992</v>
      </c>
      <c r="AG461" s="404"/>
      <c r="AH461" s="405">
        <f t="shared" si="97"/>
        <v>-404.16000000000008</v>
      </c>
      <c r="AI461" s="423">
        <f t="shared" si="98"/>
        <v>-0.36741818181818187</v>
      </c>
      <c r="AJ461" s="403"/>
      <c r="AK461" s="403"/>
      <c r="AL461" s="87" cm="1">
        <f t="array" ref="AL461">+SUMPRODUCT(('Réel 2023'!$A$8:$A$501=$A461)*('Réel 2023'!$C$3:$AO$3=Z$2),'Réel 2023'!$C$8:$AO$501)</f>
        <v>1023.84</v>
      </c>
      <c r="AM461" s="407"/>
      <c r="AN461" s="405">
        <f t="shared" si="99"/>
        <v>-328.00000000000011</v>
      </c>
      <c r="AO461" s="217">
        <f t="shared" si="100"/>
        <v>-0.3203625566494766</v>
      </c>
      <c r="AP461" s="79"/>
      <c r="AQ461" s="101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57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101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57"/>
      <c r="T463" s="79"/>
      <c r="U463" s="104"/>
      <c r="V463" s="272" t="s">
        <v>42</v>
      </c>
      <c r="W463" s="408"/>
      <c r="X463" s="403"/>
      <c r="Y463" s="409"/>
      <c r="Z463" s="87">
        <v>0</v>
      </c>
      <c r="AA463" s="403"/>
      <c r="AB463" s="409"/>
      <c r="AC463" s="87"/>
      <c r="AD463" s="410"/>
      <c r="AE463" s="409"/>
      <c r="AF463" s="87">
        <v>0</v>
      </c>
      <c r="AG463" s="404"/>
      <c r="AH463" s="405">
        <f>AF463-Z463</f>
        <v>0</v>
      </c>
      <c r="AI463" s="97">
        <f>IF(Z463=0,0,AH463/Z463)</f>
        <v>0</v>
      </c>
      <c r="AJ463" s="403"/>
      <c r="AK463" s="403"/>
      <c r="AL463" s="87">
        <v>0</v>
      </c>
      <c r="AM463" s="407"/>
      <c r="AN463" s="405">
        <v>0</v>
      </c>
      <c r="AO463" s="217">
        <v>1</v>
      </c>
      <c r="AP463" s="79"/>
      <c r="AQ463" s="101"/>
      <c r="AR463" s="101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57"/>
      <c r="T464" s="79"/>
      <c r="U464" s="104"/>
      <c r="V464" s="272" t="s">
        <v>42</v>
      </c>
      <c r="W464" s="408"/>
      <c r="X464" s="403"/>
      <c r="Y464" s="409"/>
      <c r="Z464" s="87">
        <v>0</v>
      </c>
      <c r="AA464" s="403"/>
      <c r="AB464" s="409"/>
      <c r="AC464" s="87"/>
      <c r="AD464" s="410"/>
      <c r="AE464" s="409"/>
      <c r="AF464" s="87">
        <v>0</v>
      </c>
      <c r="AG464" s="404"/>
      <c r="AH464" s="405">
        <f>AF464-Z464</f>
        <v>0</v>
      </c>
      <c r="AI464" s="97">
        <f>IF(Z464=0,0,AH464/Z464)</f>
        <v>0</v>
      </c>
      <c r="AJ464" s="403"/>
      <c r="AK464" s="403"/>
      <c r="AL464" s="87">
        <v>0</v>
      </c>
      <c r="AM464" s="407"/>
      <c r="AN464" s="405">
        <v>0</v>
      </c>
      <c r="AO464" s="217">
        <v>2</v>
      </c>
      <c r="AP464" s="79"/>
      <c r="AQ464" s="101"/>
      <c r="AR464" s="101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57"/>
      <c r="T465" s="79"/>
      <c r="U465" s="79"/>
      <c r="V465" s="272" t="s">
        <v>42</v>
      </c>
      <c r="W465" s="408"/>
      <c r="X465" s="403"/>
      <c r="Y465" s="409"/>
      <c r="Z465" s="87">
        <v>0</v>
      </c>
      <c r="AA465" s="403"/>
      <c r="AB465" s="409"/>
      <c r="AC465" s="87"/>
      <c r="AD465" s="410"/>
      <c r="AE465" s="409"/>
      <c r="AF465" s="87">
        <v>0</v>
      </c>
      <c r="AG465" s="404"/>
      <c r="AH465" s="405">
        <f>AF465-Z465</f>
        <v>0</v>
      </c>
      <c r="AI465" s="97">
        <f>IF(Z465=0,0,AH465/Z465)</f>
        <v>0</v>
      </c>
      <c r="AJ465" s="403"/>
      <c r="AK465" s="403"/>
      <c r="AL465" s="87">
        <v>0</v>
      </c>
      <c r="AM465" s="407"/>
      <c r="AN465" s="405">
        <v>0</v>
      </c>
      <c r="AO465" s="217">
        <v>3</v>
      </c>
      <c r="AP465" s="79"/>
      <c r="AQ465" s="101"/>
      <c r="AR465" s="101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57"/>
      <c r="T466" s="79"/>
      <c r="U466" s="79"/>
      <c r="V466" s="415" t="s">
        <v>244</v>
      </c>
      <c r="W466" s="88"/>
      <c r="X466" s="89">
        <f>Z466/+Z407</f>
        <v>0.20099787670714106</v>
      </c>
      <c r="Y466" s="88"/>
      <c r="Z466" s="90">
        <f>SUM(Z453:Z465)</f>
        <v>299026.07999999996</v>
      </c>
      <c r="AA466" s="89"/>
      <c r="AB466" s="88"/>
      <c r="AC466" s="90"/>
      <c r="AD466" s="91">
        <f>AF466/AF407</f>
        <v>0.23917725168717605</v>
      </c>
      <c r="AE466" s="88"/>
      <c r="AF466" s="90">
        <f>SUM(AF453:AF465)</f>
        <v>301542.39</v>
      </c>
      <c r="AG466" s="99"/>
      <c r="AH466" s="93">
        <f>SUM(AH453:AH465)</f>
        <v>2516.3100000000031</v>
      </c>
      <c r="AI466" s="89">
        <f>IF(Z466=0,0,AH466/Z466)</f>
        <v>8.415018516110713E-3</v>
      </c>
      <c r="AJ466" s="91">
        <f>IF($AL$407=0,0,AL466/$AL$407)</f>
        <v>0.21273718714176512</v>
      </c>
      <c r="AK466" s="89"/>
      <c r="AL466" s="90">
        <f>SUM(AL453:AL465)</f>
        <v>300557.57000000007</v>
      </c>
      <c r="AM466" s="100"/>
      <c r="AN466" s="93">
        <f>SUM(AN453:AN465)</f>
        <v>984.82000000001642</v>
      </c>
      <c r="AO466" s="558">
        <f t="shared" ref="AO466:AO483" si="101">IF(AL466=0,0,AN466/AL466)</f>
        <v>3.2766434729959264E-3</v>
      </c>
      <c r="AP466" s="79"/>
      <c r="AQ466" s="101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57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57"/>
      <c r="T468" s="79"/>
      <c r="U468" s="79"/>
      <c r="V468" s="415" t="s">
        <v>133</v>
      </c>
      <c r="W468" s="88"/>
      <c r="X468" s="89">
        <f>Z468/+Z407</f>
        <v>1.1288996791501191</v>
      </c>
      <c r="Y468" s="88"/>
      <c r="Z468" s="90">
        <f>Z419+Z433+Z452+Z466</f>
        <v>1679472.6954323323</v>
      </c>
      <c r="AA468" s="89"/>
      <c r="AB468" s="88"/>
      <c r="AC468" s="90"/>
      <c r="AD468" s="91">
        <f>AF468/AF407</f>
        <v>1.3190360422524192</v>
      </c>
      <c r="AE468" s="88"/>
      <c r="AF468" s="90">
        <f>AF419+AF433+AF452+AF466</f>
        <v>1662972.87</v>
      </c>
      <c r="AG468" s="99"/>
      <c r="AH468" s="93">
        <f t="shared" si="102"/>
        <v>-16499.825432332233</v>
      </c>
      <c r="AI468" s="89">
        <f>AH468/Z468</f>
        <v>-9.8244082664796298E-3</v>
      </c>
      <c r="AJ468" s="91">
        <f>IF($AL$407=0,0,AL468/$AL$407)</f>
        <v>1.0608758087649373</v>
      </c>
      <c r="AK468" s="89"/>
      <c r="AL468" s="90">
        <f>AL419+AL433+AL452+AL466</f>
        <v>1498817.67</v>
      </c>
      <c r="AM468" s="100"/>
      <c r="AN468" s="93">
        <f t="shared" si="103"/>
        <v>164155.20000000019</v>
      </c>
      <c r="AO468" s="401">
        <f t="shared" si="101"/>
        <v>0.10952312832020468</v>
      </c>
      <c r="AP468" s="79"/>
      <c r="AQ468" s="101"/>
      <c r="AR468" s="101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57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3600</v>
      </c>
      <c r="AA469" s="244"/>
      <c r="AB469" s="245"/>
      <c r="AC469" s="243"/>
      <c r="AD469" s="247"/>
      <c r="AE469" s="245"/>
      <c r="AF469" s="87">
        <f>-SUMIFS(BV_Data_An_Cour!$P:$P,BV_Data_An_Cour!$V:$V,$V469)</f>
        <v>159306.31000000003</v>
      </c>
      <c r="AG469" s="246"/>
      <c r="AH469" s="405">
        <f t="shared" si="102"/>
        <v>155706.31000000003</v>
      </c>
      <c r="AI469" s="423">
        <f>IF(AH469=0,0,AH469/Z469)</f>
        <v>43.251752777777789</v>
      </c>
      <c r="AJ469" s="247"/>
      <c r="AK469" s="244"/>
      <c r="AL469" s="426" cm="1">
        <f t="array" ref="AL469">+SUMPRODUCT(('Réel 2023'!$A$8:$A$501=$A469)*('Réel 2023'!$C$3:$AO$3=Z$2),'Réel 2023'!$C$8:$AO$501)</f>
        <v>6779.64</v>
      </c>
      <c r="AM469" s="248"/>
      <c r="AN469" s="405">
        <f t="shared" si="103"/>
        <v>152526.67000000001</v>
      </c>
      <c r="AO469" s="217">
        <f t="shared" si="101"/>
        <v>22.49775356803606</v>
      </c>
      <c r="AP469" s="79"/>
      <c r="AQ469" s="101"/>
      <c r="AR469" s="101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57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143108.33969230775</v>
      </c>
      <c r="AA470" s="249"/>
      <c r="AB470" s="242"/>
      <c r="AC470" s="87"/>
      <c r="AD470" s="251"/>
      <c r="AE470" s="242"/>
      <c r="AF470" s="87">
        <f t="shared" ref="AF470:AF476" si="105">+SUMIF($C:$C,$V470,L:L)</f>
        <v>121402.4</v>
      </c>
      <c r="AG470" s="250"/>
      <c r="AH470" s="405">
        <f t="shared" si="102"/>
        <v>-21705.939692307758</v>
      </c>
      <c r="AI470" s="97">
        <f>IF(Z470=0,0,AH470/Z470)</f>
        <v>-0.1516748761041945</v>
      </c>
      <c r="AJ470" s="251"/>
      <c r="AK470" s="249"/>
      <c r="AL470" s="252">
        <f t="shared" ref="AL470:AL476" si="106">+SUMIF($C:$C,$V470,Q:Q)</f>
        <v>125811.70000000001</v>
      </c>
      <c r="AM470" s="253"/>
      <c r="AN470" s="405">
        <f t="shared" si="103"/>
        <v>-4409.3000000000175</v>
      </c>
      <c r="AO470" s="217">
        <f t="shared" si="101"/>
        <v>-3.5046819969843955E-2</v>
      </c>
      <c r="AP470" s="79"/>
      <c r="AQ470" s="101"/>
      <c r="AR470" s="101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57"/>
      <c r="T471" s="79"/>
      <c r="U471" s="79"/>
      <c r="V471" s="272" t="s">
        <v>394</v>
      </c>
      <c r="W471" s="403"/>
      <c r="X471" s="403"/>
      <c r="Y471" s="403"/>
      <c r="Z471" s="87">
        <f t="shared" si="104"/>
        <v>125219.79723076928</v>
      </c>
      <c r="AA471" s="249"/>
      <c r="AB471" s="242"/>
      <c r="AC471" s="87"/>
      <c r="AD471" s="251"/>
      <c r="AE471" s="242"/>
      <c r="AF471" s="87">
        <f t="shared" si="105"/>
        <v>110662.43</v>
      </c>
      <c r="AG471" s="250"/>
      <c r="AH471" s="405">
        <f t="shared" si="102"/>
        <v>-14557.36723076929</v>
      </c>
      <c r="AI471" s="97">
        <f t="shared" ref="AI471:AI480" si="107">IF(AH471=0,0,AH471/Z471)</f>
        <v>-0.11625451847635018</v>
      </c>
      <c r="AJ471" s="251"/>
      <c r="AK471" s="249"/>
      <c r="AL471" s="252">
        <f t="shared" si="106"/>
        <v>114797.08000000002</v>
      </c>
      <c r="AM471" s="253"/>
      <c r="AN471" s="405">
        <f t="shared" si="103"/>
        <v>-4134.6500000000233</v>
      </c>
      <c r="AO471" s="217">
        <f t="shared" si="101"/>
        <v>-3.6017031095216208E-2</v>
      </c>
      <c r="AP471" s="79"/>
      <c r="AQ471" s="101"/>
      <c r="AR471" s="101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57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101"/>
      <c r="AR472" s="101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57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101"/>
      <c r="AR473" s="101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57"/>
      <c r="T474" s="79"/>
      <c r="U474" s="79"/>
      <c r="V474" s="272" t="s">
        <v>395</v>
      </c>
      <c r="W474" s="403"/>
      <c r="X474" s="403"/>
      <c r="Y474" s="403"/>
      <c r="Z474" s="87">
        <f t="shared" si="104"/>
        <v>7125</v>
      </c>
      <c r="AA474" s="249"/>
      <c r="AB474" s="242"/>
      <c r="AC474" s="87"/>
      <c r="AD474" s="251"/>
      <c r="AE474" s="242"/>
      <c r="AF474" s="87">
        <f t="shared" si="105"/>
        <v>7425</v>
      </c>
      <c r="AG474" s="250"/>
      <c r="AH474" s="405">
        <f t="shared" si="102"/>
        <v>300</v>
      </c>
      <c r="AI474" s="97">
        <f t="shared" si="107"/>
        <v>4.2105263157894736E-2</v>
      </c>
      <c r="AJ474" s="251"/>
      <c r="AK474" s="249"/>
      <c r="AL474" s="252">
        <f t="shared" si="106"/>
        <v>4400</v>
      </c>
      <c r="AM474" s="253"/>
      <c r="AN474" s="405">
        <f t="shared" ref="AN474:AN483" si="108">AF474-AL474</f>
        <v>3025</v>
      </c>
      <c r="AO474" s="217">
        <f t="shared" si="101"/>
        <v>0.6875</v>
      </c>
      <c r="AP474" s="79"/>
      <c r="AQ474" s="101"/>
      <c r="AR474" s="101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57"/>
      <c r="T475" s="79"/>
      <c r="U475" s="79"/>
      <c r="V475" s="272" t="s">
        <v>396</v>
      </c>
      <c r="W475" s="403"/>
      <c r="X475" s="403"/>
      <c r="Y475" s="403"/>
      <c r="Z475" s="87">
        <f t="shared" si="104"/>
        <v>5032.3529411764712</v>
      </c>
      <c r="AA475" s="249"/>
      <c r="AB475" s="242"/>
      <c r="AC475" s="87"/>
      <c r="AD475" s="251"/>
      <c r="AE475" s="242"/>
      <c r="AF475" s="87">
        <f t="shared" si="105"/>
        <v>26075</v>
      </c>
      <c r="AG475" s="250"/>
      <c r="AH475" s="405">
        <f t="shared" si="102"/>
        <v>21042.647058823528</v>
      </c>
      <c r="AI475" s="97">
        <f t="shared" si="107"/>
        <v>4.1814728229105782</v>
      </c>
      <c r="AJ475" s="251"/>
      <c r="AK475" s="249"/>
      <c r="AL475" s="252">
        <f t="shared" si="106"/>
        <v>-3750</v>
      </c>
      <c r="AM475" s="253"/>
      <c r="AN475" s="405">
        <f t="shared" si="108"/>
        <v>29825</v>
      </c>
      <c r="AO475" s="217">
        <f t="shared" si="101"/>
        <v>-7.9533333333333331</v>
      </c>
      <c r="AP475" s="79"/>
      <c r="AQ475" s="101"/>
      <c r="AR475" s="101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57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101"/>
      <c r="AR476" s="101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57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75131.878338461567</v>
      </c>
      <c r="AA477" s="249"/>
      <c r="AB477" s="242"/>
      <c r="AC477" s="87"/>
      <c r="AD477" s="251"/>
      <c r="AE477" s="242"/>
      <c r="AF477" s="87">
        <f>-SUMIFS(BV_Data_An_Cour!$P:$P,BV_Data_An_Cour!$V:$V,$V477)</f>
        <v>60867.57</v>
      </c>
      <c r="AG477" s="250"/>
      <c r="AH477" s="405">
        <f t="shared" si="102"/>
        <v>-14264.308338461567</v>
      </c>
      <c r="AI477" s="97">
        <f t="shared" si="107"/>
        <v>-0.18985693761311664</v>
      </c>
      <c r="AJ477" s="251"/>
      <c r="AK477" s="249"/>
      <c r="AL477" s="252" cm="1">
        <f t="array" ref="AL477">+SUMPRODUCT(('Réel 2023'!$A$8:$A$501=$A477)*('Réel 2023'!$C$3:$AO$3=Z$2),'Réel 2023'!$C$8:$AO$501)</f>
        <v>73415.37</v>
      </c>
      <c r="AM477" s="253"/>
      <c r="AN477" s="405">
        <f t="shared" si="108"/>
        <v>-12547.799999999996</v>
      </c>
      <c r="AO477" s="217">
        <f t="shared" si="101"/>
        <v>-0.17091516395000117</v>
      </c>
      <c r="AP477" s="79"/>
      <c r="AQ477" s="101"/>
      <c r="AR477" s="101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57"/>
      <c r="T478" s="79"/>
      <c r="U478" s="79"/>
      <c r="V478" s="272" t="s">
        <v>42</v>
      </c>
      <c r="W478" s="403"/>
      <c r="X478" s="403"/>
      <c r="Y478" s="403"/>
      <c r="Z478" s="87">
        <f t="shared" ref="Z478:Z480" si="109">+SUMIF($C:$C,$V478,F:F)</f>
        <v>0</v>
      </c>
      <c r="AA478" s="249"/>
      <c r="AB478" s="242"/>
      <c r="AC478" s="87"/>
      <c r="AD478" s="251"/>
      <c r="AE478" s="242"/>
      <c r="AF478" s="87">
        <f>+SUMIF($C:$C,$V478,L:L)</f>
        <v>0</v>
      </c>
      <c r="AG478" s="250"/>
      <c r="AH478" s="405">
        <f t="shared" si="102"/>
        <v>0</v>
      </c>
      <c r="AI478" s="97">
        <f t="shared" si="107"/>
        <v>0</v>
      </c>
      <c r="AJ478" s="251"/>
      <c r="AK478" s="249"/>
      <c r="AL478" s="252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101"/>
      <c r="AR478" s="101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57"/>
      <c r="T479" s="79"/>
      <c r="U479" s="79"/>
      <c r="V479" s="272" t="s">
        <v>42</v>
      </c>
      <c r="W479" s="403"/>
      <c r="X479" s="403"/>
      <c r="Y479" s="403"/>
      <c r="Z479" s="87">
        <f t="shared" si="109"/>
        <v>0</v>
      </c>
      <c r="AA479" s="249"/>
      <c r="AB479" s="242"/>
      <c r="AC479" s="87"/>
      <c r="AD479" s="251"/>
      <c r="AE479" s="242"/>
      <c r="AF479" s="87">
        <f>+SUMIF($C:$C,$V479,L:L)</f>
        <v>0</v>
      </c>
      <c r="AG479" s="250"/>
      <c r="AH479" s="405">
        <f t="shared" si="102"/>
        <v>0</v>
      </c>
      <c r="AI479" s="97">
        <f t="shared" si="107"/>
        <v>0</v>
      </c>
      <c r="AJ479" s="251"/>
      <c r="AK479" s="249"/>
      <c r="AL479" s="252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101"/>
      <c r="AR479" s="101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57"/>
      <c r="T480" s="79"/>
      <c r="U480" s="79"/>
      <c r="V480" s="273" t="s">
        <v>137</v>
      </c>
      <c r="W480" s="403"/>
      <c r="X480" s="403"/>
      <c r="Y480" s="403"/>
      <c r="Z480" s="87">
        <f t="shared" si="109"/>
        <v>78813.7</v>
      </c>
      <c r="AA480" s="249"/>
      <c r="AB480" s="242"/>
      <c r="AC480" s="87"/>
      <c r="AD480" s="251"/>
      <c r="AE480" s="242"/>
      <c r="AF480" s="87">
        <f>+SUMIF($C:$C,$V480,L:L)</f>
        <v>71400</v>
      </c>
      <c r="AG480" s="250"/>
      <c r="AH480" s="405">
        <f t="shared" si="102"/>
        <v>-7413.6999999999971</v>
      </c>
      <c r="AI480" s="97">
        <f t="shared" si="107"/>
        <v>-9.4066133172278396E-2</v>
      </c>
      <c r="AJ480" s="251"/>
      <c r="AK480" s="249"/>
      <c r="AL480" s="252" cm="1">
        <f t="array" ref="AL480">+SUMPRODUCT(('Réel 2023'!$A$8:$A$501=$A480)*('Réel 2023'!$C$3:$AO$3=Z$2),'Réel 2023'!$C$8:$AO$501)</f>
        <v>68425</v>
      </c>
      <c r="AM480" s="253"/>
      <c r="AN480" s="405">
        <f t="shared" si="108"/>
        <v>2975</v>
      </c>
      <c r="AO480" s="217">
        <f t="shared" si="101"/>
        <v>4.3478260869565216E-2</v>
      </c>
      <c r="AP480" s="79"/>
      <c r="AQ480" s="101"/>
      <c r="AR480" s="101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57"/>
      <c r="T481" s="79"/>
      <c r="U481" s="79"/>
      <c r="V481" s="415" t="s">
        <v>246</v>
      </c>
      <c r="W481" s="88"/>
      <c r="X481" s="89">
        <f>Z481/+Z407</f>
        <v>0.29443356459244835</v>
      </c>
      <c r="Y481" s="103"/>
      <c r="Z481" s="90">
        <f>SUM(Z469:Z480)</f>
        <v>438031.06820271508</v>
      </c>
      <c r="AA481" s="89"/>
      <c r="AB481" s="103"/>
      <c r="AC481" s="90"/>
      <c r="AD481" s="89">
        <f>AF481/+AF407</f>
        <v>0.44191102108840674</v>
      </c>
      <c r="AE481" s="103"/>
      <c r="AF481" s="90">
        <f>SUM(AF469:AF480)</f>
        <v>557138.71</v>
      </c>
      <c r="AG481" s="99"/>
      <c r="AH481" s="93">
        <f t="shared" si="102"/>
        <v>119107.64179728489</v>
      </c>
      <c r="AI481" s="89">
        <f>AH481/Z481</f>
        <v>0.2719159677097685</v>
      </c>
      <c r="AJ481" s="109"/>
      <c r="AK481" s="110"/>
      <c r="AL481" s="90">
        <f>SUM(AL469:AL480)</f>
        <v>389878.79000000004</v>
      </c>
      <c r="AM481" s="111"/>
      <c r="AN481" s="93">
        <f t="shared" si="108"/>
        <v>167259.91999999993</v>
      </c>
      <c r="AO481" s="558">
        <f t="shared" si="101"/>
        <v>0.42900492227340686</v>
      </c>
      <c r="AP481" s="79"/>
      <c r="AQ481" s="101"/>
      <c r="AR481" s="101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57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101"/>
      <c r="AR482" s="101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57"/>
      <c r="T483" s="79"/>
      <c r="U483" s="79"/>
      <c r="V483" s="429" t="s">
        <v>247</v>
      </c>
      <c r="W483" s="430"/>
      <c r="X483" s="431" t="s">
        <v>248</v>
      </c>
      <c r="Y483" s="432">
        <f>Z483/Z406</f>
        <v>1.7593747731697588E-2</v>
      </c>
      <c r="Z483" s="433">
        <f>Z407-Z468+Z481</f>
        <v>246266.02868601441</v>
      </c>
      <c r="AA483" s="431"/>
      <c r="AB483" s="432"/>
      <c r="AC483" s="433"/>
      <c r="AD483" s="431" t="s">
        <v>248</v>
      </c>
      <c r="AE483" s="432">
        <f>AF483/AF406</f>
        <v>1.2158372909544805E-2</v>
      </c>
      <c r="AF483" s="220">
        <f>AF407-AF468+AF481</f>
        <v>154914.46000000043</v>
      </c>
      <c r="AG483" s="434"/>
      <c r="AH483" s="434">
        <f>AF483-Z483</f>
        <v>-91351.568686013983</v>
      </c>
      <c r="AI483" s="469">
        <f>AH483/Z483</f>
        <v>-0.37094669197141233</v>
      </c>
      <c r="AJ483" s="435" t="s">
        <v>248</v>
      </c>
      <c r="AK483" s="432">
        <f>IF($AL$406=0,0,AL483/$AL$406)</f>
        <v>2.1972945201730917E-2</v>
      </c>
      <c r="AL483" s="220">
        <f>AL407-AL468+AL481</f>
        <v>303872.73999999883</v>
      </c>
      <c r="AM483" s="221"/>
      <c r="AN483" s="220">
        <f t="shared" si="108"/>
        <v>-148958.2799999984</v>
      </c>
      <c r="AO483" s="436">
        <f t="shared" si="101"/>
        <v>-0.4901995486663232</v>
      </c>
      <c r="AP483" s="79"/>
      <c r="AQ483" s="101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101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Avril 2024 AAD</v>
      </c>
      <c r="AP485" s="79"/>
      <c r="AQ485" s="101"/>
      <c r="AR485" s="101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101"/>
      <c r="AR486" s="101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101"/>
      <c r="AR487" s="101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101"/>
      <c r="AR488" s="101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1.7593747731697588E-2</v>
      </c>
      <c r="Z489" s="441">
        <f>Z483</f>
        <v>246266.02868601441</v>
      </c>
      <c r="AA489" s="439"/>
      <c r="AB489" s="440"/>
      <c r="AC489" s="441"/>
      <c r="AD489" s="439" t="s">
        <v>248</v>
      </c>
      <c r="AE489" s="440">
        <f>AF489/AF406</f>
        <v>1.2158372909544805E-2</v>
      </c>
      <c r="AF489" s="441">
        <f>AF483</f>
        <v>154914.46000000043</v>
      </c>
      <c r="AG489" s="442"/>
      <c r="AH489" s="434">
        <f>AF489-Z489</f>
        <v>-91351.568686013983</v>
      </c>
      <c r="AI489" s="469">
        <f>AH489/Z489</f>
        <v>-0.37094669197141233</v>
      </c>
      <c r="AJ489" s="439" t="s">
        <v>248</v>
      </c>
      <c r="AK489" s="440">
        <f>IF($AL$406=0,0,AL489/$AL$406)</f>
        <v>2.1972945201730917E-2</v>
      </c>
      <c r="AL489" s="443">
        <f>AL483</f>
        <v>303872.73999999883</v>
      </c>
      <c r="AM489" s="444"/>
      <c r="AN489" s="445">
        <f>AF489-AL489</f>
        <v>-148958.2799999984</v>
      </c>
      <c r="AO489" s="446">
        <f>IF(AL489=0,0,AN489/AL489)</f>
        <v>-0.4901995486663232</v>
      </c>
      <c r="AP489" s="79"/>
      <c r="AQ489" s="101"/>
      <c r="AR489" s="101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101"/>
      <c r="AR490" s="101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83880</v>
      </c>
      <c r="AA491" s="403"/>
      <c r="AB491" s="409"/>
      <c r="AC491" s="87"/>
      <c r="AD491" s="403"/>
      <c r="AE491" s="409"/>
      <c r="AF491" s="87">
        <f>SUMIFS(BV_Data_An_Cour!$P:$P,BV_Data_An_Cour!$V:$V,$V491)</f>
        <v>83880</v>
      </c>
      <c r="AG491" s="403"/>
      <c r="AH491" s="405">
        <f t="shared" ref="AH491:AH498" si="112">AF491-Z491</f>
        <v>0</v>
      </c>
      <c r="AI491" s="97">
        <f t="shared" ref="AI491:AI497" si="113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78080</v>
      </c>
      <c r="AM491" s="407"/>
      <c r="AN491" s="405">
        <f t="shared" ref="AN491:AN498" si="114">AF491-AL491</f>
        <v>5800</v>
      </c>
      <c r="AO491" s="217">
        <f t="shared" ref="AO491:AO498" si="115">IF(AL491=0,0,AN491/AL491)</f>
        <v>7.4282786885245908E-2</v>
      </c>
      <c r="AP491" s="79"/>
      <c r="AQ491" s="101"/>
      <c r="AR491" s="101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2"/>
        <v>0</v>
      </c>
      <c r="AI492" s="97">
        <f t="shared" si="113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4"/>
        <v>0</v>
      </c>
      <c r="AO492" s="217">
        <f t="shared" si="115"/>
        <v>0</v>
      </c>
      <c r="AP492" s="79"/>
      <c r="AQ492" s="101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2"/>
        <v>0</v>
      </c>
      <c r="AI493" s="97">
        <f t="shared" si="113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4"/>
        <v>0</v>
      </c>
      <c r="AO493" s="217">
        <f t="shared" si="115"/>
        <v>0</v>
      </c>
      <c r="AP493" s="79"/>
      <c r="AQ493" s="101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2"/>
        <v>0</v>
      </c>
      <c r="AI494" s="97">
        <f t="shared" si="113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4"/>
        <v>0</v>
      </c>
      <c r="AO494" s="217">
        <f t="shared" si="115"/>
        <v>0</v>
      </c>
      <c r="AP494" s="79"/>
      <c r="AQ494" s="101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87" cm="1">
        <f t="array" ref="Z495">+SUMPRODUCT(('Budget original'!$A$8:$A$501=$A495)*('Budget original'!$C$3:$AO$3=Z$2),'Budget original'!$C$8:$AO$501)</f>
        <v>0</v>
      </c>
      <c r="AA495" s="387"/>
      <c r="AB495" s="387"/>
      <c r="AC495" s="87"/>
      <c r="AD495" s="387"/>
      <c r="AE495" s="183"/>
      <c r="AF495" s="87">
        <f>SUMIFS(BV_Data_An_Cour!$P:$P,BV_Data_An_Cour!$V:$V,$V495)</f>
        <v>0</v>
      </c>
      <c r="AG495" s="387"/>
      <c r="AH495" s="405">
        <f t="shared" si="112"/>
        <v>0</v>
      </c>
      <c r="AI495" s="97">
        <f t="shared" si="113"/>
        <v>0</v>
      </c>
      <c r="AJ495" s="387"/>
      <c r="AK495" s="387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4"/>
        <v>0</v>
      </c>
      <c r="AO495" s="217">
        <f t="shared" si="115"/>
        <v>0</v>
      </c>
      <c r="AP495" s="79"/>
      <c r="AQ495" s="101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2827</v>
      </c>
      <c r="W496" s="183"/>
      <c r="X496" s="183"/>
      <c r="Y496" s="183"/>
      <c r="Z496" s="87" cm="1">
        <f t="array" ref="Z496">+SUMPRODUCT(('Budget original'!$A$8:$A$501=$A496)*('Budget original'!$C$3:$AO$3=Z$2),'Budget original'!$C$8:$AO$501)</f>
        <v>-35870.218579234977</v>
      </c>
      <c r="AA496" s="387"/>
      <c r="AB496" s="387"/>
      <c r="AC496" s="87"/>
      <c r="AD496" s="387"/>
      <c r="AE496" s="183"/>
      <c r="AF496" s="87">
        <f>SUMIFS(BV_Data_An_Cour!$P:$P,BV_Data_An_Cour!$V:$V,$V496)</f>
        <v>-31284.59</v>
      </c>
      <c r="AG496" s="387"/>
      <c r="AH496" s="405">
        <f t="shared" si="112"/>
        <v>4585.6285792349772</v>
      </c>
      <c r="AI496" s="97">
        <f t="shared" si="113"/>
        <v>-0.12783943786418872</v>
      </c>
      <c r="AJ496" s="387"/>
      <c r="AK496" s="387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4"/>
        <v>-31284.59</v>
      </c>
      <c r="AO496" s="217">
        <f t="shared" si="115"/>
        <v>0</v>
      </c>
      <c r="AP496" s="79"/>
      <c r="AQ496" s="101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87">
        <f t="array" ref="Z497">+INDEX('Budget original'!$A$2:$AO$501,MATCH($A497,'Budget original'!$A$2:$A$501,0),MATCH(F$2,'Budget original'!$A$2:$AO$2,0))</f>
        <v>0</v>
      </c>
      <c r="AA497" s="387"/>
      <c r="AB497" s="387"/>
      <c r="AC497" s="87"/>
      <c r="AD497" s="387"/>
      <c r="AE497" s="183"/>
      <c r="AF497" s="87">
        <f>SUMIFS(BV_Data_An_Cour!$P:$P,BV_Data_An_Cour!$V:$V,$V497)</f>
        <v>0</v>
      </c>
      <c r="AG497" s="387"/>
      <c r="AH497" s="405">
        <f t="shared" si="112"/>
        <v>0</v>
      </c>
      <c r="AI497" s="97">
        <f t="shared" si="113"/>
        <v>0</v>
      </c>
      <c r="AJ497" s="387"/>
      <c r="AK497" s="387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4"/>
        <v>0</v>
      </c>
      <c r="AO497" s="217">
        <f t="shared" si="115"/>
        <v>0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1.4163830956421099E-2</v>
      </c>
      <c r="Z498" s="433">
        <f>Z489-Z491-Z492-Z493-Z497-Z496-Z494-Z495</f>
        <v>198256.24726524937</v>
      </c>
      <c r="AA498" s="431"/>
      <c r="AB498" s="432"/>
      <c r="AC498" s="433"/>
      <c r="AD498" s="431" t="s">
        <v>248</v>
      </c>
      <c r="AE498" s="432">
        <f>AF498/AF406</f>
        <v>8.030452196976073E-3</v>
      </c>
      <c r="AF498" s="220">
        <f>AF489-AF491-AF492-AF493-AF497-AF496-AF494-AF495</f>
        <v>102319.05000000042</v>
      </c>
      <c r="AG498" s="434"/>
      <c r="AH498" s="434">
        <f t="shared" si="112"/>
        <v>-95937.197265248949</v>
      </c>
      <c r="AI498" s="469">
        <f>AH498/Z498</f>
        <v>-0.48390504001063556</v>
      </c>
      <c r="AJ498" s="435" t="s">
        <v>248</v>
      </c>
      <c r="AK498" s="432">
        <f>IF($AL$406=0,0,AL498/$AL$406)</f>
        <v>1.6327004202379817E-2</v>
      </c>
      <c r="AL498" s="220">
        <f>AL489-AL491-AL492-AL493-AL497-AL496-AL494-AL495</f>
        <v>225792.73999999883</v>
      </c>
      <c r="AM498" s="221"/>
      <c r="AN498" s="220">
        <f t="shared" si="114"/>
        <v>-123473.6899999984</v>
      </c>
      <c r="AO498" s="451">
        <f t="shared" si="115"/>
        <v>-0.54684526172098824</v>
      </c>
      <c r="AP498" s="79"/>
      <c r="AQ498" s="101"/>
      <c r="AR498" s="101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101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26602.95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101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101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75716.100000000428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>
        <f>AF498/Z498</f>
        <v>0.5160949599893645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21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21">
        <f>AF500/AF498</f>
        <v>0.25999997067994562</v>
      </c>
      <c r="AG508" s="79"/>
      <c r="AH508" s="721">
        <f>AH498/Z498</f>
        <v>-0.48390504001063556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127"/>
      <c r="D514" s="104"/>
      <c r="E514" s="104"/>
      <c r="F514" s="128"/>
      <c r="G514" s="104"/>
      <c r="H514" s="104"/>
      <c r="I514" s="128"/>
      <c r="J514" s="104"/>
      <c r="K514" s="104"/>
      <c r="L514" s="104"/>
      <c r="M514" s="128"/>
      <c r="N514" s="104"/>
      <c r="O514" s="104"/>
      <c r="P514" s="104"/>
      <c r="Q514" s="128"/>
      <c r="R514" s="128"/>
      <c r="S514" s="128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21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129"/>
      <c r="D515" s="104"/>
      <c r="E515" s="104"/>
      <c r="F515" s="128"/>
      <c r="G515" s="104"/>
      <c r="H515" s="104"/>
      <c r="I515" s="128"/>
      <c r="J515" s="104"/>
      <c r="K515" s="104"/>
      <c r="L515" s="104"/>
      <c r="M515" s="128"/>
      <c r="N515" s="104"/>
      <c r="O515" s="104"/>
      <c r="P515" s="104"/>
      <c r="Q515" s="128"/>
      <c r="R515" s="128"/>
      <c r="S515" s="128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104"/>
      <c r="D516" s="104"/>
      <c r="E516" s="104"/>
      <c r="F516" s="128"/>
      <c r="G516" s="104"/>
      <c r="H516" s="104"/>
      <c r="I516" s="128"/>
      <c r="J516" s="104"/>
      <c r="K516" s="104"/>
      <c r="L516" s="104"/>
      <c r="M516" s="128"/>
      <c r="N516" s="104"/>
      <c r="O516" s="104"/>
      <c r="P516" s="104"/>
      <c r="Q516" s="128"/>
      <c r="R516" s="128"/>
      <c r="S516" s="128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104"/>
      <c r="D517" s="104"/>
      <c r="E517" s="104"/>
      <c r="F517" s="104"/>
      <c r="G517" s="104"/>
      <c r="H517" s="104"/>
      <c r="I517" s="104"/>
      <c r="J517" s="127"/>
      <c r="K517" s="127"/>
      <c r="L517" s="127"/>
      <c r="M517" s="128"/>
      <c r="N517" s="104"/>
      <c r="O517" s="104"/>
      <c r="P517" s="104"/>
      <c r="Q517" s="104"/>
      <c r="R517" s="104"/>
      <c r="S517" s="128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8"/>
      <c r="N518" s="104"/>
      <c r="O518" s="104"/>
      <c r="P518" s="104"/>
      <c r="Q518" s="104"/>
      <c r="R518" s="104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8"/>
      <c r="N519" s="104"/>
      <c r="O519" s="104"/>
      <c r="P519" s="104"/>
      <c r="Q519" s="104"/>
      <c r="R519" s="104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8"/>
      <c r="N520" s="104"/>
      <c r="O520" s="104"/>
      <c r="P520" s="104"/>
      <c r="Q520" s="104"/>
      <c r="R520" s="104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28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30"/>
      <c r="N522" s="127"/>
      <c r="O522" s="127"/>
      <c r="P522" s="127"/>
      <c r="Q522" s="104"/>
      <c r="R522" s="104"/>
      <c r="S522" s="127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8.75">
      <c r="B526" s="2"/>
      <c r="C526" s="131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33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34"/>
      <c r="M528" s="135"/>
      <c r="N528" s="135"/>
      <c r="O528" s="104"/>
      <c r="P528" s="134"/>
      <c r="Q528" s="135"/>
      <c r="R528" s="135"/>
      <c r="S528" s="13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34"/>
      <c r="F529" s="136"/>
      <c r="G529" s="104"/>
      <c r="H529" s="134"/>
      <c r="I529" s="136"/>
      <c r="J529" s="135"/>
      <c r="K529" s="127"/>
      <c r="L529" s="134"/>
      <c r="M529" s="135"/>
      <c r="N529" s="135"/>
      <c r="O529" s="127"/>
      <c r="P529" s="134"/>
      <c r="Q529" s="135"/>
      <c r="R529" s="135"/>
      <c r="S529" s="13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37"/>
      <c r="E530" s="136"/>
      <c r="F530" s="136"/>
      <c r="G530" s="137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7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28"/>
      <c r="F533" s="138"/>
      <c r="G533" s="104"/>
      <c r="H533" s="128"/>
      <c r="I533" s="138"/>
      <c r="J533" s="138"/>
      <c r="K533" s="128"/>
      <c r="L533" s="138"/>
      <c r="M533" s="128"/>
      <c r="N533" s="138"/>
      <c r="O533" s="128"/>
      <c r="P533" s="138"/>
      <c r="Q533" s="128"/>
      <c r="R533" s="128"/>
      <c r="S533" s="128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28"/>
      <c r="F534" s="138"/>
      <c r="G534" s="104"/>
      <c r="H534" s="128"/>
      <c r="I534" s="138"/>
      <c r="J534" s="138"/>
      <c r="K534" s="128"/>
      <c r="L534" s="138"/>
      <c r="M534" s="128"/>
      <c r="N534" s="138"/>
      <c r="O534" s="128"/>
      <c r="P534" s="138"/>
      <c r="Q534" s="128"/>
      <c r="R534" s="128"/>
      <c r="S534" s="128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28"/>
      <c r="F535" s="138"/>
      <c r="G535" s="104"/>
      <c r="H535" s="128"/>
      <c r="I535" s="138"/>
      <c r="J535" s="138"/>
      <c r="K535" s="128"/>
      <c r="L535" s="138"/>
      <c r="M535" s="128"/>
      <c r="N535" s="138"/>
      <c r="O535" s="128"/>
      <c r="P535" s="138"/>
      <c r="Q535" s="128"/>
      <c r="R535" s="128"/>
      <c r="S535" s="128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28"/>
      <c r="F536" s="138"/>
      <c r="G536" s="104"/>
      <c r="H536" s="128"/>
      <c r="I536" s="138"/>
      <c r="J536" s="138"/>
      <c r="K536" s="128"/>
      <c r="L536" s="138"/>
      <c r="M536" s="128"/>
      <c r="N536" s="138"/>
      <c r="O536" s="128"/>
      <c r="P536" s="138"/>
      <c r="Q536" s="128"/>
      <c r="R536" s="128"/>
      <c r="S536" s="128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9"/>
      <c r="G539" s="104"/>
      <c r="H539" s="128"/>
      <c r="I539" s="139"/>
      <c r="J539" s="138"/>
      <c r="K539" s="128"/>
      <c r="L539" s="138"/>
      <c r="M539" s="128"/>
      <c r="N539" s="138"/>
      <c r="O539" s="128"/>
      <c r="P539" s="104"/>
      <c r="Q539" s="104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7"/>
      <c r="D540" s="127"/>
      <c r="E540" s="130"/>
      <c r="F540" s="140"/>
      <c r="G540" s="127"/>
      <c r="H540" s="130"/>
      <c r="I540" s="140"/>
      <c r="J540" s="140"/>
      <c r="K540" s="130"/>
      <c r="L540" s="140"/>
      <c r="M540" s="130"/>
      <c r="N540" s="140"/>
      <c r="O540" s="130"/>
      <c r="P540" s="140"/>
      <c r="Q540" s="130"/>
      <c r="R540" s="130"/>
      <c r="S540" s="127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04"/>
      <c r="G541" s="104"/>
      <c r="H541" s="128"/>
      <c r="I541" s="104"/>
      <c r="J541" s="138"/>
      <c r="K541" s="128"/>
      <c r="L541" s="138"/>
      <c r="M541" s="128"/>
      <c r="N541" s="138"/>
      <c r="O541" s="128"/>
      <c r="P541" s="127"/>
      <c r="Q541" s="140"/>
      <c r="R541" s="140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04"/>
      <c r="G542" s="104"/>
      <c r="H542" s="128"/>
      <c r="I542" s="104"/>
      <c r="J542" s="138"/>
      <c r="K542" s="128"/>
      <c r="L542" s="138"/>
      <c r="M542" s="128"/>
      <c r="N542" s="138"/>
      <c r="O542" s="128"/>
      <c r="P542" s="104"/>
      <c r="Q542" s="104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7"/>
      <c r="D543" s="104"/>
      <c r="E543" s="128"/>
      <c r="F543" s="104"/>
      <c r="G543" s="104"/>
      <c r="H543" s="128"/>
      <c r="I543" s="104"/>
      <c r="J543" s="138"/>
      <c r="K543" s="128"/>
      <c r="L543" s="138"/>
      <c r="M543" s="128"/>
      <c r="N543" s="138"/>
      <c r="O543" s="128"/>
      <c r="P543" s="104"/>
      <c r="Q543" s="104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8"/>
      <c r="G545" s="104"/>
      <c r="H545" s="128"/>
      <c r="I545" s="138"/>
      <c r="J545" s="138"/>
      <c r="K545" s="104"/>
      <c r="L545" s="138"/>
      <c r="M545" s="104"/>
      <c r="N545" s="138"/>
      <c r="O545" s="104"/>
      <c r="P545" s="138"/>
      <c r="Q545" s="128"/>
      <c r="R545" s="128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39"/>
      <c r="G546" s="104"/>
      <c r="H546" s="128"/>
      <c r="I546" s="139"/>
      <c r="J546" s="138"/>
      <c r="K546" s="128"/>
      <c r="L546" s="138"/>
      <c r="M546" s="128"/>
      <c r="N546" s="138"/>
      <c r="O546" s="128"/>
      <c r="P546" s="104"/>
      <c r="Q546" s="138"/>
      <c r="R546" s="138"/>
      <c r="S546" s="128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39"/>
      <c r="G547" s="104"/>
      <c r="H547" s="128"/>
      <c r="I547" s="139"/>
      <c r="J547" s="138"/>
      <c r="K547" s="128"/>
      <c r="L547" s="138"/>
      <c r="M547" s="128"/>
      <c r="N547" s="138"/>
      <c r="O547" s="128"/>
      <c r="P547" s="104"/>
      <c r="Q547" s="104"/>
      <c r="R547" s="128"/>
      <c r="S547" s="128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38"/>
      <c r="G548" s="104"/>
      <c r="H548" s="128"/>
      <c r="I548" s="138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27"/>
      <c r="E549" s="130"/>
      <c r="F549" s="140"/>
      <c r="G549" s="127"/>
      <c r="H549" s="130"/>
      <c r="I549" s="140"/>
      <c r="J549" s="140"/>
      <c r="K549" s="130"/>
      <c r="L549" s="140"/>
      <c r="M549" s="130"/>
      <c r="N549" s="140"/>
      <c r="O549" s="130"/>
      <c r="P549" s="140"/>
      <c r="Q549" s="127"/>
      <c r="R549" s="130"/>
      <c r="S549" s="127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27"/>
      <c r="Q550" s="140"/>
      <c r="R550" s="140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28"/>
      <c r="L551" s="138"/>
      <c r="M551" s="128"/>
      <c r="N551" s="138"/>
      <c r="O551" s="128"/>
      <c r="P551" s="104"/>
      <c r="Q551" s="104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7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8"/>
      <c r="Q554" s="128"/>
      <c r="R554" s="104"/>
      <c r="S554" s="128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8"/>
      <c r="Q555" s="128"/>
      <c r="R555" s="104"/>
      <c r="S555" s="128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8"/>
      <c r="Q556" s="128"/>
      <c r="R556" s="104"/>
      <c r="S556" s="128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8"/>
      <c r="Q557" s="128"/>
      <c r="R557" s="104"/>
      <c r="S557" s="128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7"/>
      <c r="D562" s="127"/>
      <c r="E562" s="104"/>
      <c r="F562" s="104"/>
      <c r="G562" s="127"/>
      <c r="H562" s="104"/>
      <c r="I562" s="104"/>
      <c r="J562" s="104"/>
      <c r="K562" s="104"/>
      <c r="L562" s="104"/>
      <c r="M562" s="104"/>
      <c r="N562" s="104"/>
      <c r="O562" s="104"/>
      <c r="P562" s="140"/>
      <c r="Q562" s="130"/>
      <c r="R562" s="104"/>
      <c r="S562" s="130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40"/>
      <c r="Q563" s="140"/>
      <c r="R563" s="104"/>
      <c r="S563" s="104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7"/>
      <c r="D569" s="127"/>
      <c r="E569" s="104"/>
      <c r="F569" s="104"/>
      <c r="G569" s="127"/>
      <c r="H569" s="104"/>
      <c r="I569" s="104"/>
      <c r="J569" s="104"/>
      <c r="K569" s="104"/>
      <c r="L569" s="104"/>
      <c r="M569" s="104"/>
      <c r="N569" s="104"/>
      <c r="O569" s="104"/>
      <c r="P569" s="140"/>
      <c r="Q569" s="130"/>
      <c r="R569" s="104"/>
      <c r="S569" s="130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40"/>
      <c r="R570" s="104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28"/>
      <c r="F571" s="138"/>
      <c r="G571" s="104"/>
      <c r="H571" s="128"/>
      <c r="I571" s="138"/>
      <c r="J571" s="138"/>
      <c r="K571" s="128"/>
      <c r="L571" s="138"/>
      <c r="M571" s="128"/>
      <c r="N571" s="138"/>
      <c r="O571" s="128"/>
      <c r="P571" s="138"/>
      <c r="Q571" s="128"/>
      <c r="R571" s="128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27"/>
      <c r="E572" s="130"/>
      <c r="F572" s="140"/>
      <c r="G572" s="127"/>
      <c r="H572" s="130"/>
      <c r="I572" s="140"/>
      <c r="J572" s="140"/>
      <c r="K572" s="130"/>
      <c r="L572" s="140"/>
      <c r="M572" s="130"/>
      <c r="N572" s="140"/>
      <c r="O572" s="130"/>
      <c r="P572" s="140"/>
      <c r="Q572" s="130"/>
      <c r="R572" s="130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28"/>
      <c r="F573" s="138"/>
      <c r="G573" s="104"/>
      <c r="H573" s="128"/>
      <c r="I573" s="138"/>
      <c r="J573" s="128"/>
      <c r="K573" s="138"/>
      <c r="L573" s="128"/>
      <c r="M573" s="104"/>
      <c r="N573" s="128"/>
      <c r="O573" s="138"/>
      <c r="P573" s="130"/>
      <c r="Q573" s="140"/>
      <c r="R573" s="140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28"/>
      <c r="F574" s="138"/>
      <c r="G574" s="104"/>
      <c r="H574" s="128"/>
      <c r="I574" s="138"/>
      <c r="J574" s="128"/>
      <c r="K574" s="138"/>
      <c r="L574" s="128"/>
      <c r="M574" s="104"/>
      <c r="N574" s="128"/>
      <c r="O574" s="138"/>
      <c r="P574" s="128"/>
      <c r="Q574" s="104"/>
      <c r="R574" s="138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38"/>
      <c r="S575" s="128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28"/>
      <c r="K576" s="138"/>
      <c r="L576" s="128"/>
      <c r="M576" s="104"/>
      <c r="N576" s="128"/>
      <c r="O576" s="138"/>
      <c r="P576" s="128"/>
      <c r="Q576" s="104"/>
      <c r="R576" s="138"/>
      <c r="S576" s="128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28"/>
      <c r="Q577" s="104"/>
      <c r="R577" s="138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30">
      <c r="B646" s="2"/>
      <c r="C646" s="141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42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8.75">
      <c r="B647" s="2"/>
      <c r="C647" s="131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43"/>
      <c r="R647" s="135"/>
      <c r="S647" s="13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32"/>
      <c r="E648" s="132"/>
      <c r="F648" s="144"/>
      <c r="G648" s="132"/>
      <c r="H648" s="132"/>
      <c r="I648" s="144"/>
      <c r="J648" s="136"/>
      <c r="K648" s="136"/>
      <c r="L648" s="145"/>
      <c r="M648" s="136"/>
      <c r="N648" s="136"/>
      <c r="O648" s="136"/>
      <c r="P648" s="136"/>
      <c r="Q648" s="133"/>
      <c r="R648" s="132"/>
      <c r="S648" s="14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46"/>
      <c r="D649" s="104"/>
      <c r="E649" s="104"/>
      <c r="F649" s="135"/>
      <c r="G649" s="104"/>
      <c r="H649" s="104"/>
      <c r="I649" s="135"/>
      <c r="J649" s="135"/>
      <c r="K649" s="135"/>
      <c r="L649" s="104"/>
      <c r="M649" s="135"/>
      <c r="N649" s="135"/>
      <c r="O649" s="104"/>
      <c r="P649" s="135"/>
      <c r="Q649" s="135"/>
      <c r="R649" s="104"/>
      <c r="S649" s="135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28"/>
      <c r="G650" s="104"/>
      <c r="H650" s="104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27"/>
      <c r="D651" s="127"/>
      <c r="E651" s="127"/>
      <c r="F651" s="130"/>
      <c r="G651" s="127"/>
      <c r="H651" s="127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04"/>
      <c r="E652" s="104"/>
      <c r="F652" s="104"/>
      <c r="G652" s="104"/>
      <c r="H652" s="104"/>
      <c r="I652" s="104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04"/>
      <c r="E653" s="104"/>
      <c r="F653" s="104"/>
      <c r="G653" s="104"/>
      <c r="H653" s="104"/>
      <c r="I653" s="104"/>
      <c r="J653" s="104"/>
      <c r="K653" s="128"/>
      <c r="L653" s="128"/>
      <c r="M653" s="104"/>
      <c r="N653" s="128"/>
      <c r="O653" s="128"/>
      <c r="P653" s="104"/>
      <c r="Q653" s="128"/>
      <c r="R653" s="128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04"/>
      <c r="G654" s="104"/>
      <c r="H654" s="104"/>
      <c r="I654" s="104"/>
      <c r="J654" s="104"/>
      <c r="K654" s="128"/>
      <c r="L654" s="128"/>
      <c r="M654" s="104"/>
      <c r="N654" s="128"/>
      <c r="O654" s="128"/>
      <c r="P654" s="104"/>
      <c r="Q654" s="128"/>
      <c r="R654" s="128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04"/>
      <c r="G655" s="104"/>
      <c r="H655" s="104"/>
      <c r="I655" s="104"/>
      <c r="J655" s="104"/>
      <c r="K655" s="128"/>
      <c r="L655" s="128"/>
      <c r="M655" s="104"/>
      <c r="N655" s="128"/>
      <c r="O655" s="128"/>
      <c r="P655" s="104"/>
      <c r="Q655" s="128"/>
      <c r="R655" s="128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04"/>
      <c r="K656" s="128"/>
      <c r="L656" s="128"/>
      <c r="M656" s="104"/>
      <c r="N656" s="128"/>
      <c r="O656" s="128"/>
      <c r="P656" s="104"/>
      <c r="Q656" s="128"/>
      <c r="R656" s="128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30"/>
      <c r="M658" s="104"/>
      <c r="N658" s="128"/>
      <c r="O658" s="128"/>
      <c r="P658" s="104"/>
      <c r="Q658" s="128"/>
      <c r="R658" s="130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30"/>
      <c r="O660" s="130"/>
      <c r="P660" s="104"/>
      <c r="Q660" s="130"/>
      <c r="R660" s="104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30"/>
      <c r="L661" s="130"/>
      <c r="M661" s="104"/>
      <c r="N661" s="128"/>
      <c r="O661" s="128"/>
      <c r="P661" s="104"/>
      <c r="Q661" s="128"/>
      <c r="R661" s="130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30"/>
      <c r="O670" s="130"/>
      <c r="P670" s="104"/>
      <c r="Q670" s="130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30"/>
      <c r="L671" s="130"/>
      <c r="M671" s="104"/>
      <c r="N671" s="128"/>
      <c r="O671" s="128"/>
      <c r="P671" s="104"/>
      <c r="Q671" s="128"/>
      <c r="R671" s="130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04"/>
      <c r="O685" s="104"/>
      <c r="P685" s="104"/>
      <c r="Q685" s="104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30"/>
      <c r="O686" s="130"/>
      <c r="P686" s="104"/>
      <c r="Q686" s="130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28"/>
      <c r="O687" s="128"/>
      <c r="P687" s="104"/>
      <c r="Q687" s="128"/>
      <c r="R687" s="104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30"/>
      <c r="L688" s="130"/>
      <c r="M688" s="104"/>
      <c r="N688" s="128"/>
      <c r="O688" s="128"/>
      <c r="P688" s="104"/>
      <c r="Q688" s="128"/>
      <c r="R688" s="130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28"/>
      <c r="O691" s="128"/>
      <c r="P691" s="104"/>
      <c r="Q691" s="128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28"/>
      <c r="O692" s="128"/>
      <c r="P692" s="104"/>
      <c r="Q692" s="128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30"/>
      <c r="M695" s="104"/>
      <c r="N695" s="128"/>
      <c r="O695" s="128"/>
      <c r="P695" s="104"/>
      <c r="Q695" s="128"/>
      <c r="R695" s="130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30"/>
      <c r="O698" s="130"/>
      <c r="P698" s="104"/>
      <c r="Q698" s="130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96" priority="8" stopIfTrue="1">
      <formula>"esterreur(reference)"</formula>
    </cfRule>
  </conditionalFormatting>
  <conditionalFormatting sqref="D112:D113">
    <cfRule type="expression" dxfId="95" priority="4" stopIfTrue="1">
      <formula>"esterreur(reference)"</formula>
    </cfRule>
  </conditionalFormatting>
  <conditionalFormatting sqref="F5">
    <cfRule type="expression" dxfId="94" priority="186" stopIfTrue="1">
      <formula>"esterreur(reference)"</formula>
    </cfRule>
  </conditionalFormatting>
  <conditionalFormatting sqref="F184">
    <cfRule type="expression" dxfId="93" priority="201" stopIfTrue="1">
      <formula>"esterreur(reference)"</formula>
    </cfRule>
  </conditionalFormatting>
  <conditionalFormatting sqref="G31:G32">
    <cfRule type="expression" dxfId="92" priority="9" stopIfTrue="1">
      <formula>"esterreur(reference)"</formula>
    </cfRule>
  </conditionalFormatting>
  <conditionalFormatting sqref="G112:G113">
    <cfRule type="expression" dxfId="91" priority="5" stopIfTrue="1">
      <formula>"esterreur(reference)"</formula>
    </cfRule>
  </conditionalFormatting>
  <conditionalFormatting sqref="H136:H152">
    <cfRule type="expression" dxfId="90" priority="20" stopIfTrue="1">
      <formula>"esterreur(reference)"</formula>
    </cfRule>
  </conditionalFormatting>
  <conditionalFormatting sqref="H360">
    <cfRule type="expression" dxfId="89" priority="346" stopIfTrue="1">
      <formula>"esterreur(reference)"</formula>
    </cfRule>
  </conditionalFormatting>
  <conditionalFormatting sqref="H197:L197">
    <cfRule type="expression" dxfId="88" priority="349" stopIfTrue="1">
      <formula>"esterreur(reference)"</formula>
    </cfRule>
  </conditionalFormatting>
  <conditionalFormatting sqref="H396:L399">
    <cfRule type="expression" dxfId="87" priority="343" stopIfTrue="1">
      <formula>"esterreur(reference)"</formula>
    </cfRule>
  </conditionalFormatting>
  <conditionalFormatting sqref="I377:L377 H378:H395">
    <cfRule type="expression" dxfId="86" priority="344" stopIfTrue="1">
      <formula>"esterreur(reference)"</formula>
    </cfRule>
  </conditionalFormatting>
  <conditionalFormatting sqref="J3 I13:J14 I16:J16 I17 I18:J18 J19 I20:J20 J21:J23 I24:J24 H25:L30 H31:H72 F83:F85 H83:L85 H86:K88 L86:L90 H90:I90 K90 J90:J91 H97:L98 I101:L101 H101:H104 I105:L111 H106:H134 I122:L122 H135:L135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85" priority="329" stopIfTrue="1">
      <formula>"esterreur(reference)"</formula>
    </cfRule>
  </conditionalFormatting>
  <conditionalFormatting sqref="J31:K48">
    <cfRule type="expression" dxfId="84" priority="11" stopIfTrue="1">
      <formula>"esterreur(reference)"</formula>
    </cfRule>
  </conditionalFormatting>
  <conditionalFormatting sqref="J49:L72">
    <cfRule type="expression" dxfId="83" priority="25" stopIfTrue="1">
      <formula>"esterreur(reference)"</formula>
    </cfRule>
  </conditionalFormatting>
  <conditionalFormatting sqref="J102:L104">
    <cfRule type="expression" dxfId="82" priority="302" stopIfTrue="1">
      <formula>"esterreur(reference)"</formula>
    </cfRule>
  </conditionalFormatting>
  <conditionalFormatting sqref="J136:L152">
    <cfRule type="expression" dxfId="81" priority="19" stopIfTrue="1">
      <formula>"esterreur(reference)"</formula>
    </cfRule>
  </conditionalFormatting>
  <conditionalFormatting sqref="J295:L303">
    <cfRule type="expression" dxfId="80" priority="233" stopIfTrue="1">
      <formula>"esterreur(reference)"</formula>
    </cfRule>
  </conditionalFormatting>
  <conditionalFormatting sqref="J307:L308">
    <cfRule type="expression" dxfId="79" priority="211" stopIfTrue="1">
      <formula>"esterreur(reference)"</formula>
    </cfRule>
  </conditionalFormatting>
  <conditionalFormatting sqref="J360:L360">
    <cfRule type="expression" dxfId="78" priority="199" stopIfTrue="1">
      <formula>"esterreur(reference)"</formula>
    </cfRule>
  </conditionalFormatting>
  <conditionalFormatting sqref="J365:L376">
    <cfRule type="expression" dxfId="77" priority="207" stopIfTrue="1">
      <formula>"esterreur(reference)"</formula>
    </cfRule>
  </conditionalFormatting>
  <conditionalFormatting sqref="J378:L394">
    <cfRule type="expression" dxfId="76" priority="206" stopIfTrue="1">
      <formula>"esterreur(reference)"</formula>
    </cfRule>
  </conditionalFormatting>
  <conditionalFormatting sqref="J312:M312">
    <cfRule type="expression" dxfId="75" priority="208" stopIfTrue="1">
      <formula>"esterreur(reference)"</formula>
    </cfRule>
  </conditionalFormatting>
  <conditionalFormatting sqref="J112:Q121">
    <cfRule type="expression" dxfId="74" priority="6" stopIfTrue="1">
      <formula>"esterreur(reference)"</formula>
    </cfRule>
  </conditionalFormatting>
  <conditionalFormatting sqref="J123:Q134">
    <cfRule type="expression" dxfId="73" priority="114" stopIfTrue="1">
      <formula>"esterreur(reference)"</formula>
    </cfRule>
  </conditionalFormatting>
  <conditionalFormatting sqref="K5">
    <cfRule type="expression" dxfId="72" priority="222" stopIfTrue="1">
      <formula>"esterreur(reference)"</formula>
    </cfRule>
  </conditionalFormatting>
  <conditionalFormatting sqref="K175">
    <cfRule type="expression" dxfId="71" priority="217" stopIfTrue="1">
      <formula>"esterreur(reference)"</formula>
    </cfRule>
  </conditionalFormatting>
  <conditionalFormatting sqref="K183:K184">
    <cfRule type="expression" dxfId="70" priority="220" stopIfTrue="1">
      <formula>"esterreur(reference)"</formula>
    </cfRule>
  </conditionalFormatting>
  <conditionalFormatting sqref="K287">
    <cfRule type="expression" dxfId="69" priority="197" stopIfTrue="1">
      <formula>"esterreur(reference)"</formula>
    </cfRule>
  </conditionalFormatting>
  <conditionalFormatting sqref="K395">
    <cfRule type="expression" dxfId="68" priority="347" stopIfTrue="1">
      <formula>"esterreur(reference)"</formula>
    </cfRule>
  </conditionalFormatting>
  <conditionalFormatting sqref="K93:L96">
    <cfRule type="expression" dxfId="67" priority="205" stopIfTrue="1">
      <formula>"esterreur(reference)"</formula>
    </cfRule>
  </conditionalFormatting>
  <conditionalFormatting sqref="K99:L100">
    <cfRule type="expression" dxfId="66" priority="305" stopIfTrue="1">
      <formula>"esterreur(reference)"</formula>
    </cfRule>
  </conditionalFormatting>
  <conditionalFormatting sqref="K171:L173">
    <cfRule type="expression" dxfId="65" priority="218" stopIfTrue="1">
      <formula>"esterreur(reference)"</formula>
    </cfRule>
  </conditionalFormatting>
  <conditionalFormatting sqref="K176:L182">
    <cfRule type="expression" dxfId="64" priority="215" stopIfTrue="1">
      <formula>"esterreur(reference)"</formula>
    </cfRule>
  </conditionalFormatting>
  <conditionalFormatting sqref="K185:L196">
    <cfRule type="expression" dxfId="63" priority="209" stopIfTrue="1">
      <formula>"esterreur(reference)"</formula>
    </cfRule>
  </conditionalFormatting>
  <conditionalFormatting sqref="K239:L241">
    <cfRule type="expression" dxfId="62" priority="202" stopIfTrue="1">
      <formula>"esterreur(reference)"</formula>
    </cfRule>
  </conditionalFormatting>
  <conditionalFormatting sqref="K244:L244">
    <cfRule type="expression" dxfId="61" priority="213" stopIfTrue="1">
      <formula>"esterreur(reference)"</formula>
    </cfRule>
  </conditionalFormatting>
  <conditionalFormatting sqref="K247:L247">
    <cfRule type="expression" dxfId="60" priority="212" stopIfTrue="1">
      <formula>"esterreur(reference)"</formula>
    </cfRule>
  </conditionalFormatting>
  <conditionalFormatting sqref="L16:L24">
    <cfRule type="expression" dxfId="59" priority="326" stopIfTrue="1">
      <formula>"esterreur(reference)"</formula>
    </cfRule>
  </conditionalFormatting>
  <conditionalFormatting sqref="L42:L48">
    <cfRule type="expression" dxfId="58" priority="322" stopIfTrue="1">
      <formula>"esterreur(reference)"</formula>
    </cfRule>
  </conditionalFormatting>
  <conditionalFormatting sqref="L75:L82">
    <cfRule type="expression" dxfId="57" priority="189" stopIfTrue="1">
      <formula>"esterreur(reference)"</formula>
    </cfRule>
  </conditionalFormatting>
  <conditionalFormatting sqref="L174:L175">
    <cfRule type="expression" dxfId="56" priority="272" stopIfTrue="1">
      <formula>"esterreur(reference)"</formula>
    </cfRule>
  </conditionalFormatting>
  <conditionalFormatting sqref="L198:L209">
    <cfRule type="expression" dxfId="55" priority="260" stopIfTrue="1">
      <formula>"esterreur(reference)"</formula>
    </cfRule>
  </conditionalFormatting>
  <conditionalFormatting sqref="L211:L228">
    <cfRule type="expression" dxfId="54" priority="192" stopIfTrue="1">
      <formula>"esterreur(reference)"</formula>
    </cfRule>
  </conditionalFormatting>
  <conditionalFormatting sqref="L254:L265">
    <cfRule type="expression" dxfId="53" priority="243" stopIfTrue="1">
      <formula>"esterreur(reference)"</formula>
    </cfRule>
  </conditionalFormatting>
  <conditionalFormatting sqref="L267:L284">
    <cfRule type="expression" dxfId="52" priority="191" stopIfTrue="1">
      <formula>"esterreur(reference)"</formula>
    </cfRule>
  </conditionalFormatting>
  <conditionalFormatting sqref="L318:L329">
    <cfRule type="expression" dxfId="51" priority="224" stopIfTrue="1">
      <formula>"esterreur(reference)"</formula>
    </cfRule>
  </conditionalFormatting>
  <conditionalFormatting sqref="L331:L348">
    <cfRule type="expression" dxfId="50" priority="190" stopIfTrue="1">
      <formula>"esterreur(reference)"</formula>
    </cfRule>
  </conditionalFormatting>
  <conditionalFormatting sqref="L356:L357 H357:I357 K357 J357:J358 H359:L359">
    <cfRule type="expression" dxfId="49" priority="342" stopIfTrue="1">
      <formula>"esterreur(reference)"</formula>
    </cfRule>
  </conditionalFormatting>
  <conditionalFormatting sqref="L5:Q14">
    <cfRule type="expression" dxfId="48" priority="157" stopIfTrue="1">
      <formula>"esterreur(reference)"</formula>
    </cfRule>
  </conditionalFormatting>
  <conditionalFormatting sqref="L156:Q162">
    <cfRule type="expression" dxfId="47" priority="16" stopIfTrue="1">
      <formula>"esterreur(reference)"</formula>
    </cfRule>
  </conditionalFormatting>
  <conditionalFormatting sqref="M95:M97">
    <cfRule type="expression" dxfId="46" priority="330" stopIfTrue="1">
      <formula>"esterreur(reference)"</formula>
    </cfRule>
  </conditionalFormatting>
  <conditionalFormatting sqref="O13:O14 O16 O18:O24 O83:Q85">
    <cfRule type="expression" dxfId="45" priority="181" stopIfTrue="1">
      <formula>"esterreur(reference)"</formula>
    </cfRule>
  </conditionalFormatting>
  <conditionalFormatting sqref="O172:O196 Q183 O198:P229 O232:Q232 O233:P233">
    <cfRule type="expression" dxfId="44" priority="110" stopIfTrue="1">
      <formula>"esterreur(reference)"</formula>
    </cfRule>
  </conditionalFormatting>
  <conditionalFormatting sqref="O318:P348 O349:Q349 O352:Q352 O353:P353">
    <cfRule type="expression" dxfId="43" priority="53" stopIfTrue="1">
      <formula>"esterreur(reference)"</formula>
    </cfRule>
  </conditionalFormatting>
  <conditionalFormatting sqref="O25:Q72">
    <cfRule type="expression" dxfId="42" priority="10" stopIfTrue="1">
      <formula>"esterreur(reference)"</formula>
    </cfRule>
  </conditionalFormatting>
  <conditionalFormatting sqref="O97:Q98 O122:Q122 O156:P157 O164:Q164 O165:P165">
    <cfRule type="expression" dxfId="41" priority="149" stopIfTrue="1">
      <formula>"esterreur(reference)"</formula>
    </cfRule>
  </conditionalFormatting>
  <conditionalFormatting sqref="O101:Q111">
    <cfRule type="expression" dxfId="40" priority="143" stopIfTrue="1">
      <formula>"esterreur(reference)"</formula>
    </cfRule>
  </conditionalFormatting>
  <conditionalFormatting sqref="O135:Q153">
    <cfRule type="expression" dxfId="39" priority="17" stopIfTrue="1">
      <formula>"esterreur(reference)"</formula>
    </cfRule>
  </conditionalFormatting>
  <conditionalFormatting sqref="O197:Q197">
    <cfRule type="expression" dxfId="38" priority="112" stopIfTrue="1">
      <formula>"esterreur(reference)"</formula>
    </cfRule>
  </conditionalFormatting>
  <conditionalFormatting sqref="O243:Q243 O252:Q253 O254:P284 O285:Q285 O288:Q288 O289:P289">
    <cfRule type="expression" dxfId="37" priority="81" stopIfTrue="1">
      <formula>"esterreur(reference)"</formula>
    </cfRule>
  </conditionalFormatting>
  <conditionalFormatting sqref="O295:Q317">
    <cfRule type="expression" dxfId="36" priority="38" stopIfTrue="1">
      <formula>"esterreur(reference)"</formula>
    </cfRule>
  </conditionalFormatting>
  <conditionalFormatting sqref="O359:Q394">
    <cfRule type="expression" dxfId="35" priority="27" stopIfTrue="1">
      <formula>"esterreur(reference)"</formula>
    </cfRule>
  </conditionalFormatting>
  <conditionalFormatting sqref="O396:Q399">
    <cfRule type="expression" dxfId="34" priority="34" stopIfTrue="1">
      <formula>"esterreur(reference)"</formula>
    </cfRule>
  </conditionalFormatting>
  <conditionalFormatting sqref="P5">
    <cfRule type="expression" dxfId="33" priority="158" stopIfTrue="1">
      <formula>"esterreur(reference)"</formula>
    </cfRule>
  </conditionalFormatting>
  <conditionalFormatting sqref="P175">
    <cfRule type="expression" dxfId="32" priority="89" stopIfTrue="1">
      <formula>"esterreur(reference)"</formula>
    </cfRule>
  </conditionalFormatting>
  <conditionalFormatting sqref="P183:P184">
    <cfRule type="expression" dxfId="31" priority="91" stopIfTrue="1">
      <formula>"esterreur(reference)"</formula>
    </cfRule>
  </conditionalFormatting>
  <conditionalFormatting sqref="P287">
    <cfRule type="expression" dxfId="30" priority="56" stopIfTrue="1">
      <formula>"esterreur(reference)"</formula>
    </cfRule>
  </conditionalFormatting>
  <conditionalFormatting sqref="P395">
    <cfRule type="expression" dxfId="29" priority="36" stopIfTrue="1">
      <formula>"esterreur(reference)"</formula>
    </cfRule>
  </conditionalFormatting>
  <conditionalFormatting sqref="P93:Q96">
    <cfRule type="expression" dxfId="28" priority="115" stopIfTrue="1">
      <formula>"esterreur(reference)"</formula>
    </cfRule>
  </conditionalFormatting>
  <conditionalFormatting sqref="P99:Q100">
    <cfRule type="expression" dxfId="27" priority="146" stopIfTrue="1">
      <formula>"esterreur(reference)"</formula>
    </cfRule>
  </conditionalFormatting>
  <conditionalFormatting sqref="P172:Q173">
    <cfRule type="expression" dxfId="26" priority="90" stopIfTrue="1">
      <formula>"esterreur(reference)"</formula>
    </cfRule>
  </conditionalFormatting>
  <conditionalFormatting sqref="P176:Q182">
    <cfRule type="expression" dxfId="25" priority="87" stopIfTrue="1">
      <formula>"esterreur(reference)"</formula>
    </cfRule>
  </conditionalFormatting>
  <conditionalFormatting sqref="P185:Q196">
    <cfRule type="expression" dxfId="24" priority="85" stopIfTrue="1">
      <formula>"esterreur(reference)"</formula>
    </cfRule>
  </conditionalFormatting>
  <conditionalFormatting sqref="P241:Q241">
    <cfRule type="expression" dxfId="23" priority="57" stopIfTrue="1">
      <formula>"esterreur(reference)"</formula>
    </cfRule>
  </conditionalFormatting>
  <conditionalFormatting sqref="P244:Q244">
    <cfRule type="expression" dxfId="22" priority="59" stopIfTrue="1">
      <formula>"esterreur(reference)"</formula>
    </cfRule>
  </conditionalFormatting>
  <conditionalFormatting sqref="P247:Q247">
    <cfRule type="expression" dxfId="21" priority="58" stopIfTrue="1">
      <formula>"esterreur(reference)"</formula>
    </cfRule>
  </conditionalFormatting>
  <conditionalFormatting sqref="Q16:Q24">
    <cfRule type="expression" dxfId="20" priority="178" stopIfTrue="1">
      <formula>"esterreur(reference)"</formula>
    </cfRule>
  </conditionalFormatting>
  <conditionalFormatting sqref="Q75:Q82">
    <cfRule type="expression" dxfId="19" priority="160" stopIfTrue="1">
      <formula>"esterreur(reference)"</formula>
    </cfRule>
  </conditionalFormatting>
  <conditionalFormatting sqref="Q174:Q175">
    <cfRule type="expression" dxfId="18" priority="108" stopIfTrue="1">
      <formula>"esterreur(reference)"</formula>
    </cfRule>
  </conditionalFormatting>
  <conditionalFormatting sqref="Q198:Q209">
    <cfRule type="expression" dxfId="17" priority="96" stopIfTrue="1">
      <formula>"esterreur(reference)"</formula>
    </cfRule>
  </conditionalFormatting>
  <conditionalFormatting sqref="Q211:Q228">
    <cfRule type="expression" dxfId="16" priority="84" stopIfTrue="1">
      <formula>"esterreur(reference)"</formula>
    </cfRule>
  </conditionalFormatting>
  <conditionalFormatting sqref="Q254:Q265">
    <cfRule type="expression" dxfId="15" priority="68" stopIfTrue="1">
      <formula>"esterreur(reference)"</formula>
    </cfRule>
  </conditionalFormatting>
  <conditionalFormatting sqref="Q267:Q284">
    <cfRule type="expression" dxfId="14" priority="55" stopIfTrue="1">
      <formula>"esterreur(reference)"</formula>
    </cfRule>
  </conditionalFormatting>
  <conditionalFormatting sqref="Q318:Q329">
    <cfRule type="expression" dxfId="13" priority="41" stopIfTrue="1">
      <formula>"esterreur(reference)"</formula>
    </cfRule>
  </conditionalFormatting>
  <conditionalFormatting sqref="Q331:Q348">
    <cfRule type="expression" dxfId="12" priority="37" stopIfTrue="1">
      <formula>"esterreur(reference)"</formula>
    </cfRule>
  </conditionalFormatting>
  <conditionalFormatting sqref="R312">
    <cfRule type="expression" dxfId="11" priority="337" stopIfTrue="1">
      <formula>"esterreur(reference)"</formula>
    </cfRule>
  </conditionalFormatting>
  <conditionalFormatting sqref="S186">
    <cfRule type="expression" dxfId="10" priority="198" stopIfTrue="1">
      <formula>"esterreur(reference)"</formula>
    </cfRule>
  </conditionalFormatting>
  <conditionalFormatting sqref="X178:X179">
    <cfRule type="expression" dxfId="9" priority="2" stopIfTrue="1">
      <formula>"esterreur(reference)"</formula>
    </cfRule>
  </conditionalFormatting>
  <conditionalFormatting sqref="X180:Y180">
    <cfRule type="expression" dxfId="8" priority="3" stopIfTrue="1">
      <formula>"esterreur(reference)"</formula>
    </cfRule>
  </conditionalFormatting>
  <conditionalFormatting sqref="Y178">
    <cfRule type="expression" dxfId="7" priority="1" stopIfTrue="1">
      <formula>"esterreur(reference)"</formula>
    </cfRule>
  </conditionalFormatting>
  <conditionalFormatting sqref="AG409:AI418">
    <cfRule type="cellIs" dxfId="6" priority="15" operator="greaterThan">
      <formula>0</formula>
    </cfRule>
  </conditionalFormatting>
  <conditionalFormatting sqref="AH452">
    <cfRule type="cellIs" dxfId="5" priority="13" operator="greaterThan">
      <formula>0</formula>
    </cfRule>
  </conditionalFormatting>
  <conditionalFormatting sqref="AH461:AH466">
    <cfRule type="cellIs" dxfId="4" priority="12" operator="greaterThan">
      <formula>0</formula>
    </cfRule>
  </conditionalFormatting>
  <conditionalFormatting sqref="AH420:AI431 AG432:AI432 AH433:AI451 AH453:AI460 AH467:AI468 AH491:AI497">
    <cfRule type="cellIs" dxfId="3" priority="338" operator="greaterThan">
      <formula>0</formula>
    </cfRule>
  </conditionalFormatting>
  <conditionalFormatting sqref="AH469:AI480">
    <cfRule type="cellIs" dxfId="2" priority="339" operator="lessThan">
      <formula>0</formula>
    </cfRule>
  </conditionalFormatting>
  <conditionalFormatting sqref="AO409:AO418">
    <cfRule type="cellIs" dxfId="1" priority="14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E16" sqref="E16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41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0</v>
      </c>
      <c r="J4" s="673">
        <v>168782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0</v>
      </c>
      <c r="O4" s="151">
        <f>+IF(OR($Q4=Parametres!$G$2,$Q4=Parametres!$G$3),J4,D4)</f>
        <v>168782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1245</v>
      </c>
      <c r="B5" s="718" t="s">
        <v>497</v>
      </c>
      <c r="C5" s="719"/>
      <c r="D5" s="719"/>
      <c r="E5" s="719"/>
      <c r="F5" s="718" t="s">
        <v>1</v>
      </c>
      <c r="G5" s="718" t="s">
        <v>2456</v>
      </c>
      <c r="H5" s="719"/>
      <c r="I5" s="720">
        <v>0.01</v>
      </c>
      <c r="J5" s="720">
        <v>0</v>
      </c>
      <c r="K5" s="720">
        <v>0.01</v>
      </c>
      <c r="L5" s="149" t="str">
        <f t="shared" si="0"/>
        <v>120A</v>
      </c>
      <c r="M5" s="150" t="str">
        <f t="shared" si="1"/>
        <v>JANV. NB VENTE NEUF BMW AUTO</v>
      </c>
      <c r="N5" s="151">
        <f>+IF(OR($Q5=Parametres!$G$2,$Q5=Parametres!$G$3),I5,C5)</f>
        <v>0.01</v>
      </c>
      <c r="O5" s="504">
        <f>+IF(OR($Q5=Parametres!$G$2,$Q5=Parametres!$G$3),J5,D5)</f>
        <v>0</v>
      </c>
      <c r="P5" s="151">
        <f>+IF(OR($Q5=Parametres!$G$2,$Q5=Parametres!$G$3),K5,E5)</f>
        <v>0.01</v>
      </c>
      <c r="Q5" s="150" t="str">
        <f t="shared" si="2"/>
        <v>1-Mémo</v>
      </c>
      <c r="R5" s="149" t="str">
        <f t="shared" si="3"/>
        <v>120</v>
      </c>
      <c r="S5" s="150">
        <f t="shared" si="4"/>
        <v>0</v>
      </c>
      <c r="T5" s="152" t="str">
        <f>+VLOOKUP($L5,Data_Validation!$A:$D,1,0)</f>
        <v>120A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1246</v>
      </c>
      <c r="B6" s="718" t="s">
        <v>498</v>
      </c>
      <c r="C6" s="720"/>
      <c r="D6" s="720"/>
      <c r="E6" s="720"/>
      <c r="F6" s="718" t="s">
        <v>1</v>
      </c>
      <c r="G6" s="718" t="s">
        <v>2456</v>
      </c>
      <c r="H6" s="673"/>
      <c r="I6" s="672">
        <v>0.03</v>
      </c>
      <c r="J6" s="672">
        <v>0</v>
      </c>
      <c r="K6" s="672">
        <v>0.03</v>
      </c>
      <c r="L6" s="149" t="str">
        <f t="shared" si="0"/>
        <v>120B</v>
      </c>
      <c r="M6" s="150" t="str">
        <f t="shared" si="1"/>
        <v>FEV. NB VENTE NEUF BMW AUTO</v>
      </c>
      <c r="N6" s="151">
        <f>+IF(OR($Q6=Parametres!$G$2,$Q6=Parametres!$G$3),I6,C6)</f>
        <v>0.03</v>
      </c>
      <c r="O6" s="151">
        <f>+IF(OR($Q6=Parametres!$G$2,$Q6=Parametres!$G$3),J6,D6)</f>
        <v>0</v>
      </c>
      <c r="P6" s="151">
        <f>+IF(OR($Q6=Parametres!$G$2,$Q6=Parametres!$G$3),K6,E6)</f>
        <v>0.03</v>
      </c>
      <c r="Q6" s="150" t="str">
        <f t="shared" si="2"/>
        <v>1-Mémo</v>
      </c>
      <c r="R6" s="149" t="str">
        <f t="shared" si="3"/>
        <v>120</v>
      </c>
      <c r="S6" s="150">
        <f t="shared" si="4"/>
        <v>0</v>
      </c>
      <c r="T6" s="152" t="str">
        <f>+VLOOKUP($L6,Data_Validation!$A:$D,1,0)</f>
        <v>120B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1247</v>
      </c>
      <c r="B7" s="718" t="s">
        <v>499</v>
      </c>
      <c r="C7" s="720"/>
      <c r="D7" s="720"/>
      <c r="E7" s="720"/>
      <c r="F7" s="718" t="s">
        <v>1</v>
      </c>
      <c r="G7" s="718" t="s">
        <v>2456</v>
      </c>
      <c r="H7" s="673"/>
      <c r="I7" s="673">
        <v>0.05</v>
      </c>
      <c r="J7" s="673">
        <v>0</v>
      </c>
      <c r="K7" s="673">
        <v>0.05</v>
      </c>
      <c r="L7" s="149" t="str">
        <f t="shared" si="0"/>
        <v>120C</v>
      </c>
      <c r="M7" s="150" t="str">
        <f t="shared" si="1"/>
        <v>MARS NB VENTE NEUF BMW AUTO</v>
      </c>
      <c r="N7" s="151">
        <f>+IF(OR($Q7=Parametres!$G$2,$Q7=Parametres!$G$3),I7,C7)</f>
        <v>0.05</v>
      </c>
      <c r="O7" s="151">
        <f>+IF(OR($Q7=Parametres!$G$2,$Q7=Parametres!$G$3),J7,D7)</f>
        <v>0</v>
      </c>
      <c r="P7" s="151">
        <f>+IF(OR($Q7=Parametres!$G$2,$Q7=Parametres!$G$3),K7,E7)</f>
        <v>0.05</v>
      </c>
      <c r="Q7" s="150" t="str">
        <f t="shared" si="2"/>
        <v>1-Mémo</v>
      </c>
      <c r="R7" s="149" t="str">
        <f t="shared" si="3"/>
        <v>120</v>
      </c>
      <c r="S7" s="150">
        <f t="shared" si="4"/>
        <v>0</v>
      </c>
      <c r="T7" s="152" t="str">
        <f>+VLOOKUP($L7,Data_Validation!$A:$D,1,0)</f>
        <v>120C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1248</v>
      </c>
      <c r="B8" s="718" t="s">
        <v>989</v>
      </c>
      <c r="C8" s="720"/>
      <c r="D8" s="720"/>
      <c r="E8" s="720"/>
      <c r="F8" s="718" t="s">
        <v>1</v>
      </c>
      <c r="G8" s="718" t="s">
        <v>2456</v>
      </c>
      <c r="H8" s="666"/>
      <c r="I8" s="665">
        <v>0</v>
      </c>
      <c r="J8" s="665">
        <v>0.08</v>
      </c>
      <c r="K8" s="665">
        <v>0.08</v>
      </c>
      <c r="L8" s="149" t="str">
        <f t="shared" si="0"/>
        <v>120D</v>
      </c>
      <c r="M8" s="150" t="str">
        <f t="shared" si="1"/>
        <v>AVRIL NB VENTE NEUF BMW AUTO</v>
      </c>
      <c r="N8" s="151">
        <f>+IF(OR($Q8=Parametres!$G$2,$Q8=Parametres!$G$3),I8,C8)</f>
        <v>0</v>
      </c>
      <c r="O8" s="151">
        <f>+IF(OR($Q8=Parametres!$G$2,$Q8=Parametres!$G$3),J8,D8)</f>
        <v>0.08</v>
      </c>
      <c r="P8" s="151">
        <f>+IF(OR($Q8=Parametres!$G$2,$Q8=Parametres!$G$3),K8,E8)</f>
        <v>0.08</v>
      </c>
      <c r="Q8" s="150" t="str">
        <f t="shared" si="2"/>
        <v>1-Mémo</v>
      </c>
      <c r="R8" s="149" t="str">
        <f t="shared" si="3"/>
        <v>120</v>
      </c>
      <c r="S8" s="150">
        <f t="shared" si="4"/>
        <v>0</v>
      </c>
      <c r="T8" s="152" t="str">
        <f>+VLOOKUP($L8,Data_Validation!$A:$D,1,0)</f>
        <v>120D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1999</v>
      </c>
      <c r="B9" s="718" t="s">
        <v>2000</v>
      </c>
      <c r="C9" s="720"/>
      <c r="D9" s="720"/>
      <c r="E9" s="720"/>
      <c r="F9" s="718" t="s">
        <v>1</v>
      </c>
      <c r="G9" s="718" t="s">
        <v>2476</v>
      </c>
      <c r="H9" s="666"/>
      <c r="I9" s="665">
        <v>0.04</v>
      </c>
      <c r="J9" s="665">
        <v>0</v>
      </c>
      <c r="K9" s="665">
        <v>0.04</v>
      </c>
      <c r="L9" s="149" t="str">
        <f t="shared" si="0"/>
        <v>122A</v>
      </c>
      <c r="M9" s="150" t="str">
        <f t="shared" si="1"/>
        <v>JANV. NB VENTE NEUF BMW I</v>
      </c>
      <c r="N9" s="151">
        <f>+IF(OR($Q9=Parametres!$G$2,$Q9=Parametres!$G$3),I9,C9)</f>
        <v>0.04</v>
      </c>
      <c r="O9" s="504">
        <f>+IF(OR($Q9=Parametres!$G$2,$Q9=Parametres!$G$3),J9,D9)</f>
        <v>0</v>
      </c>
      <c r="P9" s="151">
        <f>+IF(OR($Q9=Parametres!$G$2,$Q9=Parametres!$G$3),K9,E9)</f>
        <v>0.04</v>
      </c>
      <c r="Q9" s="150" t="str">
        <f t="shared" si="2"/>
        <v>1-Mémo</v>
      </c>
      <c r="R9" s="149" t="str">
        <f t="shared" si="3"/>
        <v>122</v>
      </c>
      <c r="S9" s="150">
        <f t="shared" si="4"/>
        <v>0</v>
      </c>
      <c r="T9" s="152" t="str">
        <f>+VLOOKUP($L9,Data_Validation!$A:$D,1,0)</f>
        <v>122A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1068</v>
      </c>
      <c r="B10" s="718" t="s">
        <v>509</v>
      </c>
      <c r="C10" s="720"/>
      <c r="D10" s="720"/>
      <c r="E10" s="720"/>
      <c r="F10" s="718" t="s">
        <v>1</v>
      </c>
      <c r="G10" s="718" t="s">
        <v>2476</v>
      </c>
      <c r="H10" s="673"/>
      <c r="I10" s="672">
        <v>0.02</v>
      </c>
      <c r="J10" s="672">
        <v>0</v>
      </c>
      <c r="K10" s="672">
        <v>0.02</v>
      </c>
      <c r="L10" s="149" t="str">
        <f t="shared" si="0"/>
        <v>122B</v>
      </c>
      <c r="M10" s="150" t="str">
        <f t="shared" si="1"/>
        <v>FEV. NB VENTE NEUF BMW I</v>
      </c>
      <c r="N10" s="151">
        <f>+IF(OR($Q10=Parametres!$G$2,$Q10=Parametres!$G$3),I10,C10)</f>
        <v>0.02</v>
      </c>
      <c r="O10" s="151">
        <f>+IF(OR($Q10=Parametres!$G$2,$Q10=Parametres!$G$3),J10,D10)</f>
        <v>0</v>
      </c>
      <c r="P10" s="151">
        <f>+IF(OR($Q10=Parametres!$G$2,$Q10=Parametres!$G$3),K10,E10)</f>
        <v>0.02</v>
      </c>
      <c r="Q10" s="150" t="str">
        <f t="shared" si="2"/>
        <v>1-Mémo</v>
      </c>
      <c r="R10" s="149" t="str">
        <f t="shared" si="3"/>
        <v>122</v>
      </c>
      <c r="S10" s="150">
        <f t="shared" si="4"/>
        <v>0</v>
      </c>
      <c r="T10" s="152" t="str">
        <f>+VLOOKUP($L10,Data_Validation!$A:$D,1,0)</f>
        <v>122B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1258</v>
      </c>
      <c r="B11" s="718" t="s">
        <v>1259</v>
      </c>
      <c r="C11" s="720"/>
      <c r="D11" s="720"/>
      <c r="E11" s="720"/>
      <c r="F11" s="718" t="s">
        <v>1</v>
      </c>
      <c r="G11" s="718" t="s">
        <v>2476</v>
      </c>
      <c r="H11" s="673"/>
      <c r="I11" s="672">
        <v>0.01</v>
      </c>
      <c r="J11" s="672">
        <v>0</v>
      </c>
      <c r="K11" s="672">
        <v>0.01</v>
      </c>
      <c r="L11" s="149" t="str">
        <f t="shared" si="0"/>
        <v>122C</v>
      </c>
      <c r="M11" s="150" t="str">
        <f t="shared" si="1"/>
        <v>MARS NB VENTE NEUF BMW I</v>
      </c>
      <c r="N11" s="151">
        <f>+IF(OR($Q11=Parametres!$G$2,$Q11=Parametres!$G$3),I11,C11)</f>
        <v>0.01</v>
      </c>
      <c r="O11" s="151">
        <f>+IF(OR($Q11=Parametres!$G$2,$Q11=Parametres!$G$3),J11,D11)</f>
        <v>0</v>
      </c>
      <c r="P11" s="151">
        <f>+IF(OR($Q11=Parametres!$G$2,$Q11=Parametres!$G$3),K11,E11)</f>
        <v>0.01</v>
      </c>
      <c r="Q11" s="150" t="str">
        <f t="shared" si="2"/>
        <v>1-Mémo</v>
      </c>
      <c r="R11" s="149" t="str">
        <f t="shared" si="3"/>
        <v>122</v>
      </c>
      <c r="S11" s="150">
        <f t="shared" si="4"/>
        <v>0</v>
      </c>
      <c r="T11" s="152" t="str">
        <f>+VLOOKUP($L11,Data_Validation!$A:$D,1,0)</f>
        <v>122C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990</v>
      </c>
      <c r="B12" s="718" t="s">
        <v>991</v>
      </c>
      <c r="C12" s="719"/>
      <c r="D12" s="719"/>
      <c r="E12" s="719"/>
      <c r="F12" s="718" t="s">
        <v>1</v>
      </c>
      <c r="G12" s="718" t="s">
        <v>2476</v>
      </c>
      <c r="H12" s="719"/>
      <c r="I12" s="720">
        <v>0</v>
      </c>
      <c r="J12" s="720">
        <v>0.08</v>
      </c>
      <c r="K12" s="720">
        <v>0.08</v>
      </c>
      <c r="L12" s="149" t="str">
        <f t="shared" si="0"/>
        <v>122D</v>
      </c>
      <c r="M12" s="150" t="str">
        <f t="shared" si="1"/>
        <v>AVRIL NB VENTE NEUF BMW I</v>
      </c>
      <c r="N12" s="151">
        <f>+IF(OR($Q12=Parametres!$G$2,$Q12=Parametres!$G$3),I12,C12)</f>
        <v>0</v>
      </c>
      <c r="O12" s="151">
        <f>+IF(OR($Q12=Parametres!$G$2,$Q12=Parametres!$G$3),J12,D12)</f>
        <v>0.08</v>
      </c>
      <c r="P12" s="151">
        <f>+IF(OR($Q12=Parametres!$G$2,$Q12=Parametres!$G$3),K12,E12)</f>
        <v>0.08</v>
      </c>
      <c r="Q12" s="150" t="str">
        <f t="shared" si="2"/>
        <v>1-Mémo</v>
      </c>
      <c r="R12" s="149" t="str">
        <f t="shared" si="3"/>
        <v>122</v>
      </c>
      <c r="S12" s="150">
        <f t="shared" si="4"/>
        <v>0</v>
      </c>
      <c r="T12" s="152" t="str">
        <f>+VLOOKUP($L12,Data_Validation!$A:$D,1,0)</f>
        <v>122D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1260</v>
      </c>
      <c r="B13" s="718" t="s">
        <v>510</v>
      </c>
      <c r="C13" s="720"/>
      <c r="D13" s="720"/>
      <c r="E13" s="720"/>
      <c r="F13" s="718" t="s">
        <v>1</v>
      </c>
      <c r="G13" s="718" t="s">
        <v>2457</v>
      </c>
      <c r="H13" s="673"/>
      <c r="I13" s="672">
        <v>0.12</v>
      </c>
      <c r="J13" s="672">
        <v>0</v>
      </c>
      <c r="K13" s="672">
        <v>0.12</v>
      </c>
      <c r="L13" s="149" t="str">
        <f t="shared" si="0"/>
        <v>124A</v>
      </c>
      <c r="M13" s="150" t="str">
        <f t="shared" si="1"/>
        <v>JANV. NB VENTE USAGE DETAIL</v>
      </c>
      <c r="N13" s="151">
        <f>+IF(OR($Q13=Parametres!$G$2,$Q13=Parametres!$G$3),I13,C13)</f>
        <v>0.12</v>
      </c>
      <c r="O13" s="151">
        <f>+IF(OR($Q13=Parametres!$G$2,$Q13=Parametres!$G$3),J13,D13)</f>
        <v>0</v>
      </c>
      <c r="P13" s="151">
        <f>+IF(OR($Q13=Parametres!$G$2,$Q13=Parametres!$G$3),K13,E13)</f>
        <v>0.12</v>
      </c>
      <c r="Q13" s="150" t="str">
        <f t="shared" si="2"/>
        <v>1-Mémo</v>
      </c>
      <c r="R13" s="149" t="str">
        <f t="shared" si="3"/>
        <v>124</v>
      </c>
      <c r="S13" s="150">
        <f t="shared" si="4"/>
        <v>0</v>
      </c>
      <c r="T13" s="152" t="str">
        <f>+VLOOKUP($L13,Data_Validation!$A:$D,1,0)</f>
        <v>124A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1261</v>
      </c>
      <c r="B14" s="718" t="s">
        <v>511</v>
      </c>
      <c r="C14" s="720"/>
      <c r="D14" s="720"/>
      <c r="E14" s="720"/>
      <c r="F14" s="718" t="s">
        <v>1</v>
      </c>
      <c r="G14" s="718" t="s">
        <v>2457</v>
      </c>
      <c r="H14" s="673"/>
      <c r="I14" s="672">
        <v>0.13</v>
      </c>
      <c r="J14" s="672">
        <v>0</v>
      </c>
      <c r="K14" s="672">
        <v>0.13</v>
      </c>
      <c r="L14" s="149" t="str">
        <f t="shared" si="0"/>
        <v>124B</v>
      </c>
      <c r="M14" s="150" t="str">
        <f t="shared" si="1"/>
        <v>FEV. NB VENTE USAGE DETAIL</v>
      </c>
      <c r="N14" s="151">
        <f>+IF(OR($Q14=Parametres!$G$2,$Q14=Parametres!$G$3),I14,C14)</f>
        <v>0.13</v>
      </c>
      <c r="O14" s="151">
        <f>+IF(OR($Q14=Parametres!$G$2,$Q14=Parametres!$G$3),J14,D14)</f>
        <v>0</v>
      </c>
      <c r="P14" s="151">
        <f>+IF(OR($Q14=Parametres!$G$2,$Q14=Parametres!$G$3),K14,E14)</f>
        <v>0.13</v>
      </c>
      <c r="Q14" s="150" t="str">
        <f t="shared" si="2"/>
        <v>1-Mémo</v>
      </c>
      <c r="R14" s="149" t="str">
        <f t="shared" si="3"/>
        <v>124</v>
      </c>
      <c r="S14" s="150">
        <f t="shared" si="4"/>
        <v>0</v>
      </c>
      <c r="T14" s="152" t="str">
        <f>+VLOOKUP($L14,Data_Validation!$A:$D,1,0)</f>
        <v>124B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1262</v>
      </c>
      <c r="B15" s="718" t="s">
        <v>512</v>
      </c>
      <c r="C15" s="719"/>
      <c r="D15" s="719"/>
      <c r="E15" s="719"/>
      <c r="F15" s="718" t="s">
        <v>1</v>
      </c>
      <c r="G15" s="718" t="s">
        <v>2457</v>
      </c>
      <c r="H15" s="719"/>
      <c r="I15" s="720">
        <v>0.14000000000000001</v>
      </c>
      <c r="J15" s="720">
        <v>0</v>
      </c>
      <c r="K15" s="720">
        <v>0.14000000000000001</v>
      </c>
      <c r="L15" s="149" t="str">
        <f t="shared" si="0"/>
        <v>124C</v>
      </c>
      <c r="M15" s="150" t="str">
        <f t="shared" si="1"/>
        <v>MARS NB VENTE USAGE DETAIL</v>
      </c>
      <c r="N15" s="151">
        <f>+IF(OR($Q15=Parametres!$G$2,$Q15=Parametres!$G$3),I15,C15)</f>
        <v>0.14000000000000001</v>
      </c>
      <c r="O15" s="151">
        <f>+IF(OR($Q15=Parametres!$G$2,$Q15=Parametres!$G$3),J15,D15)</f>
        <v>0</v>
      </c>
      <c r="P15" s="151">
        <f>+IF(OR($Q15=Parametres!$G$2,$Q15=Parametres!$G$3),K15,E15)</f>
        <v>0.14000000000000001</v>
      </c>
      <c r="Q15" s="150" t="str">
        <f t="shared" si="2"/>
        <v>1-Mémo</v>
      </c>
      <c r="R15" s="149" t="str">
        <f t="shared" si="3"/>
        <v>124</v>
      </c>
      <c r="S15" s="150">
        <f t="shared" si="4"/>
        <v>0</v>
      </c>
      <c r="T15" s="152" t="str">
        <f>+VLOOKUP($L15,Data_Validation!$A:$D,1,0)</f>
        <v>124C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1263</v>
      </c>
      <c r="B16" s="718" t="s">
        <v>513</v>
      </c>
      <c r="C16" s="719"/>
      <c r="D16" s="719"/>
      <c r="E16" s="719"/>
      <c r="F16" s="718" t="s">
        <v>1</v>
      </c>
      <c r="G16" s="718" t="s">
        <v>2457</v>
      </c>
      <c r="H16" s="719"/>
      <c r="I16" s="720">
        <v>0</v>
      </c>
      <c r="J16" s="720">
        <v>0.28000000000000003</v>
      </c>
      <c r="K16" s="720">
        <v>0.28000000000000003</v>
      </c>
      <c r="L16" s="149" t="str">
        <f t="shared" si="0"/>
        <v>124D</v>
      </c>
      <c r="M16" s="150" t="str">
        <f t="shared" si="1"/>
        <v>AVRIL NB VENTE USAGE DETAIL</v>
      </c>
      <c r="N16" s="151">
        <f>+IF(OR($Q16=Parametres!$G$2,$Q16=Parametres!$G$3),I16,C16)</f>
        <v>0</v>
      </c>
      <c r="O16" s="505">
        <f>+IF(OR($Q16=Parametres!$G$2,$Q16=Parametres!$G$3),J16,D16)</f>
        <v>0.28000000000000003</v>
      </c>
      <c r="P16" s="151">
        <f>+IF(OR($Q16=Parametres!$G$2,$Q16=Parametres!$G$3),K16,E16)</f>
        <v>0.28000000000000003</v>
      </c>
      <c r="Q16" s="150" t="str">
        <f t="shared" si="2"/>
        <v>1-Mémo</v>
      </c>
      <c r="R16" s="149" t="str">
        <f t="shared" si="3"/>
        <v>124</v>
      </c>
      <c r="S16" s="150">
        <f t="shared" si="4"/>
        <v>0</v>
      </c>
      <c r="T16" s="152" t="str">
        <f>+VLOOKUP($L16,Data_Validation!$A:$D,1,0)</f>
        <v>124D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1271</v>
      </c>
      <c r="B17" s="718" t="s">
        <v>521</v>
      </c>
      <c r="C17" s="720"/>
      <c r="D17" s="720"/>
      <c r="E17" s="720"/>
      <c r="F17" s="718" t="s">
        <v>1</v>
      </c>
      <c r="G17" s="718" t="s">
        <v>2458</v>
      </c>
      <c r="H17" s="673"/>
      <c r="I17" s="672">
        <v>0.04</v>
      </c>
      <c r="J17" s="672">
        <v>0</v>
      </c>
      <c r="K17" s="672">
        <v>0.04</v>
      </c>
      <c r="L17" s="149" t="str">
        <f t="shared" si="0"/>
        <v>126A</v>
      </c>
      <c r="M17" s="150" t="str">
        <f t="shared" si="1"/>
        <v>JANV. NB VENTE NEUF BMW CAMION</v>
      </c>
      <c r="N17" s="151">
        <f>+IF(OR($Q17=Parametres!$G$2,$Q17=Parametres!$G$3),I17,C17)</f>
        <v>0.04</v>
      </c>
      <c r="O17" s="151">
        <f>+IF(OR($Q17=Parametres!$G$2,$Q17=Parametres!$G$3),J17,D17)</f>
        <v>0</v>
      </c>
      <c r="P17" s="151">
        <f>+IF(OR($Q17=Parametres!$G$2,$Q17=Parametres!$G$3),K17,E17)</f>
        <v>0.04</v>
      </c>
      <c r="Q17" s="150" t="str">
        <f t="shared" si="2"/>
        <v>1-Mémo</v>
      </c>
      <c r="R17" s="149" t="str">
        <f t="shared" si="3"/>
        <v>126</v>
      </c>
      <c r="S17" s="150">
        <f t="shared" si="4"/>
        <v>0</v>
      </c>
      <c r="T17" s="152" t="str">
        <f>+VLOOKUP($L17,Data_Validation!$A:$D,1,0)</f>
        <v>126A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1272</v>
      </c>
      <c r="B18" s="718" t="s">
        <v>522</v>
      </c>
      <c r="C18" s="720"/>
      <c r="D18" s="720"/>
      <c r="E18" s="720"/>
      <c r="F18" s="718" t="s">
        <v>1</v>
      </c>
      <c r="G18" s="718" t="s">
        <v>2458</v>
      </c>
      <c r="H18" s="666"/>
      <c r="I18" s="665">
        <v>0.04</v>
      </c>
      <c r="J18" s="665">
        <v>0</v>
      </c>
      <c r="K18" s="665">
        <v>0.04</v>
      </c>
      <c r="L18" s="149" t="str">
        <f t="shared" si="0"/>
        <v>126B</v>
      </c>
      <c r="M18" s="150" t="str">
        <f t="shared" si="1"/>
        <v>FEV. NB VENTE NEUF BMW CAMION</v>
      </c>
      <c r="N18" s="151">
        <f>+IF(OR($Q18=Parametres!$G$2,$Q18=Parametres!$G$3),I18,C18)</f>
        <v>0.04</v>
      </c>
      <c r="O18" s="151">
        <f>+IF(OR($Q18=Parametres!$G$2,$Q18=Parametres!$G$3),J18,D18)</f>
        <v>0</v>
      </c>
      <c r="P18" s="151">
        <f>+IF(OR($Q18=Parametres!$G$2,$Q18=Parametres!$G$3),K18,E18)</f>
        <v>0.04</v>
      </c>
      <c r="Q18" s="150" t="str">
        <f t="shared" si="2"/>
        <v>1-Mémo</v>
      </c>
      <c r="R18" s="149" t="str">
        <f t="shared" si="3"/>
        <v>126</v>
      </c>
      <c r="S18" s="150">
        <f t="shared" si="4"/>
        <v>0</v>
      </c>
      <c r="T18" s="152" t="str">
        <f>+VLOOKUP($L18,Data_Validation!$A:$D,1,0)</f>
        <v>126B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1273</v>
      </c>
      <c r="B19" s="718" t="s">
        <v>523</v>
      </c>
      <c r="C19" s="720"/>
      <c r="D19" s="720"/>
      <c r="E19" s="720"/>
      <c r="F19" s="718" t="s">
        <v>1</v>
      </c>
      <c r="G19" s="718" t="s">
        <v>2458</v>
      </c>
      <c r="H19" s="673"/>
      <c r="I19" s="672">
        <v>0.15</v>
      </c>
      <c r="J19" s="672">
        <v>0</v>
      </c>
      <c r="K19" s="672">
        <v>0.15</v>
      </c>
      <c r="L19" s="149" t="str">
        <f t="shared" si="0"/>
        <v>126C</v>
      </c>
      <c r="M19" s="150" t="str">
        <f t="shared" si="1"/>
        <v>MARS NB VENTE NEUF BMW CAMION</v>
      </c>
      <c r="N19" s="151">
        <f>+IF(OR($Q19=Parametres!$G$2,$Q19=Parametres!$G$3),I19,C19)</f>
        <v>0.15</v>
      </c>
      <c r="O19" s="151">
        <f>+IF(OR($Q19=Parametres!$G$2,$Q19=Parametres!$G$3),J19,D19)</f>
        <v>0</v>
      </c>
      <c r="P19" s="151">
        <f>+IF(OR($Q19=Parametres!$G$2,$Q19=Parametres!$G$3),K19,E19)</f>
        <v>0.15</v>
      </c>
      <c r="Q19" s="150" t="str">
        <f t="shared" si="2"/>
        <v>1-Mémo</v>
      </c>
      <c r="R19" s="149" t="str">
        <f t="shared" si="3"/>
        <v>126</v>
      </c>
      <c r="S19" s="150">
        <f t="shared" si="4"/>
        <v>0</v>
      </c>
      <c r="T19" s="152" t="str">
        <f>+VLOOKUP($L19,Data_Validation!$A:$D,1,0)</f>
        <v>126C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1274</v>
      </c>
      <c r="B20" s="718" t="s">
        <v>524</v>
      </c>
      <c r="C20" s="720"/>
      <c r="D20" s="720"/>
      <c r="E20" s="720"/>
      <c r="F20" s="718" t="s">
        <v>1</v>
      </c>
      <c r="G20" s="718" t="s">
        <v>2458</v>
      </c>
      <c r="H20" s="607"/>
      <c r="I20" s="608">
        <v>0</v>
      </c>
      <c r="J20" s="608">
        <v>0.14000000000000001</v>
      </c>
      <c r="K20" s="608">
        <v>0.14000000000000001</v>
      </c>
      <c r="L20" s="149" t="str">
        <f t="shared" si="0"/>
        <v>126D</v>
      </c>
      <c r="M20" s="150" t="str">
        <f t="shared" si="1"/>
        <v>AVRIL NB VENTE NEUF BMW CAMION</v>
      </c>
      <c r="N20" s="151">
        <f>+IF(OR($Q20=Parametres!$G$2,$Q20=Parametres!$G$3),I20,C20)</f>
        <v>0</v>
      </c>
      <c r="O20" s="151">
        <f>+IF(OR($Q20=Parametres!$G$2,$Q20=Parametres!$G$3),J20,D20)</f>
        <v>0.14000000000000001</v>
      </c>
      <c r="P20" s="151">
        <f>+IF(OR($Q20=Parametres!$G$2,$Q20=Parametres!$G$3),K20,E20)</f>
        <v>0.14000000000000001</v>
      </c>
      <c r="Q20" s="150" t="str">
        <f t="shared" si="2"/>
        <v>1-Mémo</v>
      </c>
      <c r="R20" s="149" t="str">
        <f t="shared" si="3"/>
        <v>126</v>
      </c>
      <c r="S20" s="150">
        <f t="shared" si="4"/>
        <v>0</v>
      </c>
      <c r="T20" s="152" t="str">
        <f>+VLOOKUP($L20,Data_Validation!$A:$D,1,0)</f>
        <v>126D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1280</v>
      </c>
      <c r="B21" s="718" t="s">
        <v>530</v>
      </c>
      <c r="C21" s="720"/>
      <c r="D21" s="720"/>
      <c r="E21" s="720"/>
      <c r="F21" s="718" t="s">
        <v>1</v>
      </c>
      <c r="G21" s="718" t="s">
        <v>2459</v>
      </c>
      <c r="H21" s="673"/>
      <c r="I21" s="672">
        <v>0.1</v>
      </c>
      <c r="J21" s="672">
        <v>0</v>
      </c>
      <c r="K21" s="672">
        <v>0.1</v>
      </c>
      <c r="L21" s="149" t="str">
        <f t="shared" si="0"/>
        <v>127A</v>
      </c>
      <c r="M21" s="150" t="str">
        <f t="shared" si="1"/>
        <v>JANV. NB VENTE USAGE GROS</v>
      </c>
      <c r="N21" s="151">
        <f>+IF(OR($Q21=Parametres!$G$2,$Q21=Parametres!$G$3),I21,C21)</f>
        <v>0.1</v>
      </c>
      <c r="O21" s="151">
        <f>+IF(OR($Q21=Parametres!$G$2,$Q21=Parametres!$G$3),J21,D21)</f>
        <v>0</v>
      </c>
      <c r="P21" s="151">
        <f>+IF(OR($Q21=Parametres!$G$2,$Q21=Parametres!$G$3),K21,E21)</f>
        <v>0.1</v>
      </c>
      <c r="Q21" s="150" t="str">
        <f t="shared" si="2"/>
        <v>1-Mémo</v>
      </c>
      <c r="R21" s="149" t="str">
        <f t="shared" si="3"/>
        <v>127</v>
      </c>
      <c r="S21" s="150">
        <f t="shared" si="4"/>
        <v>0</v>
      </c>
      <c r="T21" s="152" t="str">
        <f>+VLOOKUP($L21,Data_Validation!$A:$D,1,0)</f>
        <v>127A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1281</v>
      </c>
      <c r="B22" s="718" t="s">
        <v>531</v>
      </c>
      <c r="C22" s="719"/>
      <c r="D22" s="719"/>
      <c r="E22" s="719"/>
      <c r="F22" s="718" t="s">
        <v>1</v>
      </c>
      <c r="G22" s="718" t="s">
        <v>2459</v>
      </c>
      <c r="H22" s="719"/>
      <c r="I22" s="720">
        <v>0.13</v>
      </c>
      <c r="J22" s="720">
        <v>0</v>
      </c>
      <c r="K22" s="720">
        <v>0.13</v>
      </c>
      <c r="L22" s="149" t="str">
        <f t="shared" si="0"/>
        <v>127B</v>
      </c>
      <c r="M22" s="150" t="str">
        <f t="shared" si="1"/>
        <v>FEV. NB VENTE USAGE GROS</v>
      </c>
      <c r="N22" s="151">
        <f>+IF(OR($Q22=Parametres!$G$2,$Q22=Parametres!$G$3),I22,C22)</f>
        <v>0.13</v>
      </c>
      <c r="O22" s="151">
        <f>+IF(OR($Q22=Parametres!$G$2,$Q22=Parametres!$G$3),J22,D22)</f>
        <v>0</v>
      </c>
      <c r="P22" s="151">
        <f>+IF(OR($Q22=Parametres!$G$2,$Q22=Parametres!$G$3),K22,E22)</f>
        <v>0.13</v>
      </c>
      <c r="Q22" s="150" t="str">
        <f t="shared" si="2"/>
        <v>1-Mémo</v>
      </c>
      <c r="R22" s="149" t="str">
        <f t="shared" si="3"/>
        <v>127</v>
      </c>
      <c r="S22" s="150">
        <f t="shared" si="4"/>
        <v>0</v>
      </c>
      <c r="T22" s="152" t="str">
        <f>+VLOOKUP($L22,Data_Validation!$A:$D,1,0)</f>
        <v>127B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1282</v>
      </c>
      <c r="B23" s="718" t="s">
        <v>532</v>
      </c>
      <c r="C23" s="720"/>
      <c r="D23" s="720"/>
      <c r="E23" s="720"/>
      <c r="F23" s="718" t="s">
        <v>1</v>
      </c>
      <c r="G23" s="718" t="s">
        <v>2459</v>
      </c>
      <c r="H23" s="673"/>
      <c r="I23" s="672">
        <v>0.14000000000000001</v>
      </c>
      <c r="J23" s="672">
        <v>0</v>
      </c>
      <c r="K23" s="672">
        <v>0.14000000000000001</v>
      </c>
      <c r="L23" s="149" t="str">
        <f t="shared" si="0"/>
        <v>127C</v>
      </c>
      <c r="M23" s="150" t="str">
        <f t="shared" si="1"/>
        <v>MARS NB VENTE USAGE GROS</v>
      </c>
      <c r="N23" s="151">
        <f>+IF(OR($Q23=Parametres!$G$2,$Q23=Parametres!$G$3),I23,C23)</f>
        <v>0.14000000000000001</v>
      </c>
      <c r="O23" s="151">
        <f>+IF(OR($Q23=Parametres!$G$2,$Q23=Parametres!$G$3),J23,D23)</f>
        <v>0</v>
      </c>
      <c r="P23" s="151">
        <f>+IF(OR($Q23=Parametres!$G$2,$Q23=Parametres!$G$3),K23,E23)</f>
        <v>0.14000000000000001</v>
      </c>
      <c r="Q23" s="150" t="str">
        <f t="shared" si="2"/>
        <v>1-Mémo</v>
      </c>
      <c r="R23" s="149" t="str">
        <f t="shared" si="3"/>
        <v>127</v>
      </c>
      <c r="S23" s="150">
        <f t="shared" si="4"/>
        <v>0</v>
      </c>
      <c r="T23" s="152" t="str">
        <f>+VLOOKUP($L23,Data_Validation!$A:$D,1,0)</f>
        <v>127C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1283</v>
      </c>
      <c r="B24" s="718" t="s">
        <v>533</v>
      </c>
      <c r="C24" s="720"/>
      <c r="D24" s="720"/>
      <c r="E24" s="720"/>
      <c r="F24" s="718" t="s">
        <v>1</v>
      </c>
      <c r="G24" s="718" t="s">
        <v>2459</v>
      </c>
      <c r="H24" s="673"/>
      <c r="I24" s="673">
        <v>0</v>
      </c>
      <c r="J24" s="673">
        <v>0.16</v>
      </c>
      <c r="K24" s="673">
        <v>0.16</v>
      </c>
      <c r="L24" s="149" t="str">
        <f t="shared" si="0"/>
        <v>127D</v>
      </c>
      <c r="M24" s="150" t="str">
        <f t="shared" si="1"/>
        <v>AVRIL NB VENTE USAGE GROS</v>
      </c>
      <c r="N24" s="151">
        <f>+IF(OR($Q24=Parametres!$G$2,$Q24=Parametres!$G$3),I24,C24)</f>
        <v>0</v>
      </c>
      <c r="O24" s="151">
        <f>+IF(OR($Q24=Parametres!$G$2,$Q24=Parametres!$G$3),J24,D24)</f>
        <v>0.16</v>
      </c>
      <c r="P24" s="151">
        <f>+IF(OR($Q24=Parametres!$G$2,$Q24=Parametres!$G$3),K24,E24)</f>
        <v>0.16</v>
      </c>
      <c r="Q24" s="150" t="str">
        <f t="shared" si="2"/>
        <v>1-Mémo</v>
      </c>
      <c r="R24" s="149" t="str">
        <f t="shared" si="3"/>
        <v>127</v>
      </c>
      <c r="S24" s="150">
        <f t="shared" si="4"/>
        <v>0</v>
      </c>
      <c r="T24" s="152" t="str">
        <f>+VLOOKUP($L24,Data_Validation!$A:$D,1,0)</f>
        <v>127D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1291</v>
      </c>
      <c r="B25" s="718" t="s">
        <v>541</v>
      </c>
      <c r="C25" s="720"/>
      <c r="D25" s="720"/>
      <c r="E25" s="720"/>
      <c r="F25" s="718" t="s">
        <v>1</v>
      </c>
      <c r="G25" s="718" t="s">
        <v>574</v>
      </c>
      <c r="H25" s="666"/>
      <c r="I25" s="665">
        <v>0.24</v>
      </c>
      <c r="J25" s="665">
        <v>0.09</v>
      </c>
      <c r="K25" s="665">
        <v>0.33</v>
      </c>
      <c r="L25" s="149" t="str">
        <f t="shared" si="0"/>
        <v>130D</v>
      </c>
      <c r="M25" s="150" t="str">
        <f t="shared" si="1"/>
        <v>NB INV + 30 JOURS USAGE BMW CAMION</v>
      </c>
      <c r="N25" s="151">
        <f>+IF(OR($Q25=Parametres!$G$2,$Q25=Parametres!$G$3),I25,C25)</f>
        <v>0.24</v>
      </c>
      <c r="O25" s="151">
        <f>+IF(OR($Q25=Parametres!$G$2,$Q25=Parametres!$G$3),J25,D25)</f>
        <v>0.09</v>
      </c>
      <c r="P25" s="151">
        <f>+IF(OR($Q25=Parametres!$G$2,$Q25=Parametres!$G$3),K25,E25)</f>
        <v>0.33</v>
      </c>
      <c r="Q25" s="150" t="str">
        <f t="shared" si="2"/>
        <v>1-Mémo</v>
      </c>
      <c r="R25" s="149" t="str">
        <f t="shared" si="3"/>
        <v>156</v>
      </c>
      <c r="S25" s="150">
        <f t="shared" si="4"/>
        <v>0</v>
      </c>
      <c r="T25" s="152" t="str">
        <f>+VLOOKUP($L25,Data_Validation!$A:$D,1,0)</f>
        <v>130D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1292</v>
      </c>
      <c r="B26" s="718" t="s">
        <v>542</v>
      </c>
      <c r="C26" s="720"/>
      <c r="D26" s="720"/>
      <c r="E26" s="720"/>
      <c r="F26" s="718" t="s">
        <v>1</v>
      </c>
      <c r="G26" s="718" t="s">
        <v>574</v>
      </c>
      <c r="H26" s="673"/>
      <c r="I26" s="672">
        <v>0.42</v>
      </c>
      <c r="J26" s="672">
        <v>0.11</v>
      </c>
      <c r="K26" s="672">
        <v>0.53</v>
      </c>
      <c r="L26" s="149" t="str">
        <f t="shared" si="0"/>
        <v>130F</v>
      </c>
      <c r="M26" s="150" t="str">
        <f t="shared" si="1"/>
        <v>NB INV + 30 JOURS USAGE AUTRES</v>
      </c>
      <c r="N26" s="151">
        <f>+IF(OR($Q26=Parametres!$G$2,$Q26=Parametres!$G$3),I26,C26)</f>
        <v>0.42</v>
      </c>
      <c r="O26" s="151">
        <f>+IF(OR($Q26=Parametres!$G$2,$Q26=Parametres!$G$3),J26,D26)</f>
        <v>0.11</v>
      </c>
      <c r="P26" s="151">
        <f>+IF(OR($Q26=Parametres!$G$2,$Q26=Parametres!$G$3),K26,E26)</f>
        <v>0.53</v>
      </c>
      <c r="Q26" s="150" t="str">
        <f t="shared" si="2"/>
        <v>1-Mémo</v>
      </c>
      <c r="R26" s="149" t="str">
        <f t="shared" si="3"/>
        <v>156</v>
      </c>
      <c r="S26" s="150">
        <f t="shared" si="4"/>
        <v>0</v>
      </c>
      <c r="T26" s="152" t="str">
        <f>+VLOOKUP($L26,Data_Validation!$A:$D,1,0)</f>
        <v>130F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1293</v>
      </c>
      <c r="B27" s="718" t="s">
        <v>543</v>
      </c>
      <c r="C27" s="720"/>
      <c r="D27" s="720"/>
      <c r="E27" s="720"/>
      <c r="F27" s="718" t="s">
        <v>1</v>
      </c>
      <c r="G27" s="718" t="s">
        <v>543</v>
      </c>
      <c r="H27" s="673"/>
      <c r="I27" s="672">
        <v>0.1</v>
      </c>
      <c r="J27" s="672">
        <v>0.03</v>
      </c>
      <c r="K27" s="672">
        <v>0.13</v>
      </c>
      <c r="L27" s="149" t="str">
        <f t="shared" si="0"/>
        <v>132B</v>
      </c>
      <c r="M27" s="150" t="str">
        <f t="shared" si="1"/>
        <v>NB INV USAGE BMW AUTO 31-60 JRS</v>
      </c>
      <c r="N27" s="151">
        <f>+IF(OR($Q27=Parametres!$G$2,$Q27=Parametres!$G$3),I27,C27)</f>
        <v>0.1</v>
      </c>
      <c r="O27" s="151">
        <f>+IF(OR($Q27=Parametres!$G$2,$Q27=Parametres!$G$3),J27,D27)</f>
        <v>0.03</v>
      </c>
      <c r="P27" s="151">
        <f>+IF(OR($Q27=Parametres!$G$2,$Q27=Parametres!$G$3),K27,E27)</f>
        <v>0.13</v>
      </c>
      <c r="Q27" s="150" t="str">
        <f t="shared" si="2"/>
        <v>1-Mémo</v>
      </c>
      <c r="R27" s="149" t="str">
        <f t="shared" si="3"/>
        <v>132B</v>
      </c>
      <c r="S27" s="150">
        <f t="shared" si="4"/>
        <v>0</v>
      </c>
      <c r="T27" s="152" t="str">
        <f>+VLOOKUP($L27,Data_Validation!$A:$D,1,0)</f>
        <v>132B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1294</v>
      </c>
      <c r="B28" s="671" t="s">
        <v>544</v>
      </c>
      <c r="C28" s="672"/>
      <c r="D28" s="672"/>
      <c r="E28" s="672"/>
      <c r="F28" s="671" t="s">
        <v>1</v>
      </c>
      <c r="G28" s="671" t="s">
        <v>543</v>
      </c>
      <c r="H28" s="666"/>
      <c r="I28" s="665">
        <v>0.1</v>
      </c>
      <c r="J28" s="665">
        <v>0</v>
      </c>
      <c r="K28" s="665">
        <v>0.1</v>
      </c>
      <c r="L28" s="149" t="str">
        <f t="shared" si="0"/>
        <v>132C</v>
      </c>
      <c r="M28" s="150" t="str">
        <f t="shared" si="1"/>
        <v>NB INV USAGE BMW AUTO 61-90 JRS</v>
      </c>
      <c r="N28" s="151">
        <f>+IF(OR($Q28=Parametres!$G$2,$Q28=Parametres!$G$3),I28,C28)</f>
        <v>0.1</v>
      </c>
      <c r="O28" s="151">
        <f>+IF(OR($Q28=Parametres!$G$2,$Q28=Parametres!$G$3),J28,D28)</f>
        <v>0</v>
      </c>
      <c r="P28" s="151">
        <f>+IF(OR($Q28=Parametres!$G$2,$Q28=Parametres!$G$3),K28,E28)</f>
        <v>0.1</v>
      </c>
      <c r="Q28" s="150" t="str">
        <f t="shared" si="2"/>
        <v>1-Mémo</v>
      </c>
      <c r="R28" s="149" t="str">
        <f t="shared" si="3"/>
        <v>132B</v>
      </c>
      <c r="S28" s="150">
        <f t="shared" si="4"/>
        <v>0</v>
      </c>
      <c r="T28" s="152" t="str">
        <f>+VLOOKUP($L28,Data_Validation!$A:$D,1,0)</f>
        <v>132C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1295</v>
      </c>
      <c r="B29" s="718" t="s">
        <v>545</v>
      </c>
      <c r="C29" s="719"/>
      <c r="D29" s="719"/>
      <c r="E29" s="719"/>
      <c r="F29" s="718" t="s">
        <v>1</v>
      </c>
      <c r="G29" s="718" t="s">
        <v>543</v>
      </c>
      <c r="H29" s="719"/>
      <c r="I29" s="720">
        <v>7.0000000000000007E-2</v>
      </c>
      <c r="J29" s="720">
        <v>0.01</v>
      </c>
      <c r="K29" s="720">
        <v>0.08</v>
      </c>
      <c r="L29" s="149" t="str">
        <f t="shared" si="0"/>
        <v>132D</v>
      </c>
      <c r="M29" s="150" t="str">
        <f t="shared" si="1"/>
        <v>NB INV USAGE BMW AUTO 91-120 JRS</v>
      </c>
      <c r="N29" s="151">
        <f>+IF(OR($Q29=Parametres!$G$2,$Q29=Parametres!$G$3),I29,C29)</f>
        <v>7.0000000000000007E-2</v>
      </c>
      <c r="O29" s="505">
        <f>+IF(OR($Q29=Parametres!$G$2,$Q29=Parametres!$G$3),J29,D29)</f>
        <v>0.01</v>
      </c>
      <c r="P29" s="151">
        <f>+IF(OR($Q29=Parametres!$G$2,$Q29=Parametres!$G$3),K29,E29)</f>
        <v>0.08</v>
      </c>
      <c r="Q29" s="150" t="str">
        <f t="shared" si="2"/>
        <v>1-Mémo</v>
      </c>
      <c r="R29" s="149" t="str">
        <f t="shared" si="3"/>
        <v>132B</v>
      </c>
      <c r="S29" s="150">
        <f t="shared" si="4"/>
        <v>0</v>
      </c>
      <c r="T29" s="152" t="str">
        <f>+VLOOKUP($L29,Data_Validation!$A:$D,1,0)</f>
        <v>132D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1296</v>
      </c>
      <c r="B30" s="718" t="s">
        <v>546</v>
      </c>
      <c r="C30" s="719"/>
      <c r="D30" s="719"/>
      <c r="E30" s="719"/>
      <c r="F30" s="718" t="s">
        <v>1</v>
      </c>
      <c r="G30" s="718" t="s">
        <v>543</v>
      </c>
      <c r="H30" s="719"/>
      <c r="I30" s="720">
        <v>0.09</v>
      </c>
      <c r="J30" s="720">
        <v>0.02</v>
      </c>
      <c r="K30" s="720">
        <v>0.11</v>
      </c>
      <c r="L30" s="149" t="str">
        <f t="shared" si="0"/>
        <v>132E</v>
      </c>
      <c r="M30" s="150" t="str">
        <f t="shared" si="1"/>
        <v>NB INV USAGE BMW AUTO 120+ JRS</v>
      </c>
      <c r="N30" s="151">
        <f>+IF(OR($Q30=Parametres!$G$2,$Q30=Parametres!$G$3),I30,C30)</f>
        <v>0.09</v>
      </c>
      <c r="O30" s="504">
        <f>+IF(OR($Q30=Parametres!$G$2,$Q30=Parametres!$G$3),J30,D30)</f>
        <v>0.02</v>
      </c>
      <c r="P30" s="151">
        <f>+IF(OR($Q30=Parametres!$G$2,$Q30=Parametres!$G$3),K30,E30)</f>
        <v>0.11</v>
      </c>
      <c r="Q30" s="150" t="str">
        <f t="shared" si="2"/>
        <v>1-Mémo</v>
      </c>
      <c r="R30" s="149" t="str">
        <f t="shared" si="3"/>
        <v>132B</v>
      </c>
      <c r="S30" s="150">
        <f t="shared" si="4"/>
        <v>0</v>
      </c>
      <c r="T30" s="152" t="str">
        <f>+VLOOKUP($L30,Data_Validation!$A:$D,1,0)</f>
        <v>132E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1297</v>
      </c>
      <c r="B31" s="718" t="s">
        <v>547</v>
      </c>
      <c r="C31" s="720"/>
      <c r="D31" s="720"/>
      <c r="E31" s="720"/>
      <c r="F31" s="718" t="s">
        <v>1</v>
      </c>
      <c r="G31" s="718" t="s">
        <v>547</v>
      </c>
      <c r="H31" s="609"/>
      <c r="I31" s="608">
        <v>7.0000000000000007E-2</v>
      </c>
      <c r="J31" s="608">
        <v>0.03</v>
      </c>
      <c r="K31" s="608">
        <v>0.1</v>
      </c>
      <c r="L31" s="149" t="str">
        <f t="shared" si="0"/>
        <v>133B</v>
      </c>
      <c r="M31" s="150" t="str">
        <f t="shared" si="1"/>
        <v>NB INV USAGE BMW CAMION 31-60 JRS</v>
      </c>
      <c r="N31" s="151">
        <f>+IF(OR($Q31=Parametres!$G$2,$Q31=Parametres!$G$3),I31,C31)</f>
        <v>7.0000000000000007E-2</v>
      </c>
      <c r="O31" s="151">
        <f>+IF(OR($Q31=Parametres!$G$2,$Q31=Parametres!$G$3),J31,D31)</f>
        <v>0.03</v>
      </c>
      <c r="P31" s="151">
        <f>+IF(OR($Q31=Parametres!$G$2,$Q31=Parametres!$G$3),K31,E31)</f>
        <v>0.1</v>
      </c>
      <c r="Q31" s="150" t="str">
        <f t="shared" si="2"/>
        <v>1-Mémo</v>
      </c>
      <c r="R31" s="149" t="str">
        <f t="shared" si="3"/>
        <v>133B</v>
      </c>
      <c r="S31" s="150">
        <f t="shared" si="4"/>
        <v>0</v>
      </c>
      <c r="T31" s="152" t="str">
        <f>+VLOOKUP($L31,Data_Validation!$A:$D,1,0)</f>
        <v>133B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1298</v>
      </c>
      <c r="B32" s="718" t="s">
        <v>548</v>
      </c>
      <c r="C32" s="720"/>
      <c r="D32" s="720"/>
      <c r="E32" s="720"/>
      <c r="F32" s="718" t="s">
        <v>1</v>
      </c>
      <c r="G32" s="718" t="s">
        <v>547</v>
      </c>
      <c r="H32" s="666"/>
      <c r="I32" s="665">
        <v>0.04</v>
      </c>
      <c r="J32" s="665">
        <v>0.01</v>
      </c>
      <c r="K32" s="665">
        <v>0.05</v>
      </c>
      <c r="L32" s="149" t="str">
        <f t="shared" si="0"/>
        <v>133C</v>
      </c>
      <c r="M32" s="150" t="str">
        <f t="shared" si="1"/>
        <v>NB INV USAGE BMW CAMION 61-90 JRS</v>
      </c>
      <c r="N32" s="151">
        <f>+IF(OR($Q32=Parametres!$G$2,$Q32=Parametres!$G$3),I32,C32)</f>
        <v>0.04</v>
      </c>
      <c r="O32" s="151">
        <f>+IF(OR($Q32=Parametres!$G$2,$Q32=Parametres!$G$3),J32,D32)</f>
        <v>0.01</v>
      </c>
      <c r="P32" s="151">
        <f>+IF(OR($Q32=Parametres!$G$2,$Q32=Parametres!$G$3),K32,E32)</f>
        <v>0.05</v>
      </c>
      <c r="Q32" s="150" t="str">
        <f t="shared" si="2"/>
        <v>1-Mémo</v>
      </c>
      <c r="R32" s="149" t="str">
        <f t="shared" si="3"/>
        <v>133B</v>
      </c>
      <c r="S32" s="150">
        <f t="shared" si="4"/>
        <v>0</v>
      </c>
      <c r="T32" s="152" t="str">
        <f>+VLOOKUP($L32,Data_Validation!$A:$D,1,0)</f>
        <v>133C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1299</v>
      </c>
      <c r="B33" s="718" t="s">
        <v>549</v>
      </c>
      <c r="C33" s="720"/>
      <c r="D33" s="720"/>
      <c r="E33" s="720"/>
      <c r="F33" s="718" t="s">
        <v>1</v>
      </c>
      <c r="G33" s="718" t="s">
        <v>547</v>
      </c>
      <c r="H33" s="673"/>
      <c r="I33" s="672">
        <v>0.04</v>
      </c>
      <c r="J33" s="672">
        <v>0.01</v>
      </c>
      <c r="K33" s="672">
        <v>0.05</v>
      </c>
      <c r="L33" s="149" t="str">
        <f t="shared" si="0"/>
        <v>133D</v>
      </c>
      <c r="M33" s="150" t="str">
        <f t="shared" si="1"/>
        <v>NB INV USAGE BMW CAMION 91-120 JRS</v>
      </c>
      <c r="N33" s="151">
        <f>+IF(OR($Q33=Parametres!$G$2,$Q33=Parametres!$G$3),I33,C33)</f>
        <v>0.04</v>
      </c>
      <c r="O33" s="151">
        <f>+IF(OR($Q33=Parametres!$G$2,$Q33=Parametres!$G$3),J33,D33)</f>
        <v>0.01</v>
      </c>
      <c r="P33" s="151">
        <f>+IF(OR($Q33=Parametres!$G$2,$Q33=Parametres!$G$3),K33,E33)</f>
        <v>0.05</v>
      </c>
      <c r="Q33" s="150" t="str">
        <f t="shared" si="2"/>
        <v>1-Mémo</v>
      </c>
      <c r="R33" s="149" t="str">
        <f t="shared" si="3"/>
        <v>133B</v>
      </c>
      <c r="S33" s="150">
        <f t="shared" si="4"/>
        <v>0</v>
      </c>
      <c r="T33" s="152" t="str">
        <f>+VLOOKUP($L33,Data_Validation!$A:$D,1,0)</f>
        <v>133D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1300</v>
      </c>
      <c r="B34" s="718" t="s">
        <v>550</v>
      </c>
      <c r="C34" s="720"/>
      <c r="D34" s="720"/>
      <c r="E34" s="720"/>
      <c r="F34" s="718" t="s">
        <v>1</v>
      </c>
      <c r="G34" s="718" t="s">
        <v>547</v>
      </c>
      <c r="H34" s="673"/>
      <c r="I34" s="672">
        <v>0.09</v>
      </c>
      <c r="J34" s="672">
        <v>0.04</v>
      </c>
      <c r="K34" s="672">
        <v>0.13</v>
      </c>
      <c r="L34" s="149" t="str">
        <f t="shared" si="0"/>
        <v>133E</v>
      </c>
      <c r="M34" s="150" t="str">
        <f t="shared" si="1"/>
        <v>NB INV USAGE BMW CAMION 120+ JRS</v>
      </c>
      <c r="N34" s="151">
        <f>+IF(OR($Q34=Parametres!$G$2,$Q34=Parametres!$G$3),I34,C34)</f>
        <v>0.09</v>
      </c>
      <c r="O34" s="151">
        <f>+IF(OR($Q34=Parametres!$G$2,$Q34=Parametres!$G$3),J34,D34)</f>
        <v>0.04</v>
      </c>
      <c r="P34" s="151">
        <f>+IF(OR($Q34=Parametres!$G$2,$Q34=Parametres!$G$3),K34,E34)</f>
        <v>0.13</v>
      </c>
      <c r="Q34" s="150" t="str">
        <f t="shared" si="2"/>
        <v>1-Mémo</v>
      </c>
      <c r="R34" s="149" t="str">
        <f t="shared" si="3"/>
        <v>133B</v>
      </c>
      <c r="S34" s="150">
        <f t="shared" si="4"/>
        <v>0</v>
      </c>
      <c r="T34" s="152" t="str">
        <f>+VLOOKUP($L34,Data_Validation!$A:$D,1,0)</f>
        <v>133E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1301</v>
      </c>
      <c r="B35" s="718" t="s">
        <v>551</v>
      </c>
      <c r="C35" s="720"/>
      <c r="D35" s="720"/>
      <c r="E35" s="720"/>
      <c r="F35" s="718" t="s">
        <v>1</v>
      </c>
      <c r="G35" s="718" t="s">
        <v>551</v>
      </c>
      <c r="H35" s="666"/>
      <c r="I35" s="665">
        <v>0.18</v>
      </c>
      <c r="J35" s="665">
        <v>0.03</v>
      </c>
      <c r="K35" s="665">
        <v>0.21</v>
      </c>
      <c r="L35" s="149" t="str">
        <f t="shared" si="0"/>
        <v>138B</v>
      </c>
      <c r="M35" s="150" t="str">
        <f t="shared" si="1"/>
        <v>NB INV USAGE AUTRE 31-60 JRS</v>
      </c>
      <c r="N35" s="151">
        <f>+IF(OR($Q35=Parametres!$G$2,$Q35=Parametres!$G$3),I35,C35)</f>
        <v>0.18</v>
      </c>
      <c r="O35" s="151">
        <f>+IF(OR($Q35=Parametres!$G$2,$Q35=Parametres!$G$3),J35,D35)</f>
        <v>0.03</v>
      </c>
      <c r="P35" s="151">
        <f>+IF(OR($Q35=Parametres!$G$2,$Q35=Parametres!$G$3),K35,E35)</f>
        <v>0.21</v>
      </c>
      <c r="Q35" s="150" t="str">
        <f t="shared" si="2"/>
        <v>1-Mémo</v>
      </c>
      <c r="R35" s="149" t="str">
        <f t="shared" si="3"/>
        <v>138B</v>
      </c>
      <c r="S35" s="150">
        <f t="shared" si="4"/>
        <v>0</v>
      </c>
      <c r="T35" s="152" t="str">
        <f>+VLOOKUP($L35,Data_Validation!$A:$D,1,0)</f>
        <v>138B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1302</v>
      </c>
      <c r="B36" s="718" t="s">
        <v>552</v>
      </c>
      <c r="C36" s="720"/>
      <c r="D36" s="720"/>
      <c r="E36" s="720"/>
      <c r="F36" s="718" t="s">
        <v>1</v>
      </c>
      <c r="G36" s="718" t="s">
        <v>551</v>
      </c>
      <c r="H36" s="673"/>
      <c r="I36" s="672">
        <v>0.05</v>
      </c>
      <c r="J36" s="672">
        <v>0.06</v>
      </c>
      <c r="K36" s="672">
        <v>0.11</v>
      </c>
      <c r="L36" s="149" t="str">
        <f t="shared" si="0"/>
        <v>138C</v>
      </c>
      <c r="M36" s="150" t="str">
        <f t="shared" si="1"/>
        <v>NB INV USAGE AUTRE 61-90 JRS</v>
      </c>
      <c r="N36" s="151">
        <f>+IF(OR($Q36=Parametres!$G$2,$Q36=Parametres!$G$3),I36,C36)</f>
        <v>0.05</v>
      </c>
      <c r="O36" s="151">
        <f>+IF(OR($Q36=Parametres!$G$2,$Q36=Parametres!$G$3),J36,D36)</f>
        <v>0.06</v>
      </c>
      <c r="P36" s="151">
        <f>+IF(OR($Q36=Parametres!$G$2,$Q36=Parametres!$G$3),K36,E36)</f>
        <v>0.11</v>
      </c>
      <c r="Q36" s="150" t="str">
        <f t="shared" si="2"/>
        <v>1-Mémo</v>
      </c>
      <c r="R36" s="149" t="str">
        <f t="shared" si="3"/>
        <v>138B</v>
      </c>
      <c r="S36" s="150">
        <f t="shared" si="4"/>
        <v>0</v>
      </c>
      <c r="T36" s="152" t="str">
        <f>+VLOOKUP($L36,Data_Validation!$A:$D,1,0)</f>
        <v>138C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1303</v>
      </c>
      <c r="B37" s="718" t="s">
        <v>553</v>
      </c>
      <c r="C37" s="720"/>
      <c r="D37" s="720"/>
      <c r="E37" s="720"/>
      <c r="F37" s="718" t="s">
        <v>1</v>
      </c>
      <c r="G37" s="718" t="s">
        <v>551</v>
      </c>
      <c r="H37" s="666"/>
      <c r="I37" s="665">
        <v>0.05</v>
      </c>
      <c r="J37" s="665">
        <v>0</v>
      </c>
      <c r="K37" s="665">
        <v>0.05</v>
      </c>
      <c r="L37" s="149" t="str">
        <f t="shared" si="0"/>
        <v>138D</v>
      </c>
      <c r="M37" s="150" t="str">
        <f t="shared" si="1"/>
        <v>NB INV USAGE AUTRE 91-120 JRS</v>
      </c>
      <c r="N37" s="151">
        <f>+IF(OR($Q37=Parametres!$G$2,$Q37=Parametres!$G$3),I37,C37)</f>
        <v>0.05</v>
      </c>
      <c r="O37" s="151">
        <f>+IF(OR($Q37=Parametres!$G$2,$Q37=Parametres!$G$3),J37,D37)</f>
        <v>0</v>
      </c>
      <c r="P37" s="151">
        <f>+IF(OR($Q37=Parametres!$G$2,$Q37=Parametres!$G$3),K37,E37)</f>
        <v>0.05</v>
      </c>
      <c r="Q37" s="150" t="str">
        <f t="shared" si="2"/>
        <v>1-Mémo</v>
      </c>
      <c r="R37" s="149" t="str">
        <f t="shared" si="3"/>
        <v>138B</v>
      </c>
      <c r="S37" s="150">
        <f t="shared" si="4"/>
        <v>0</v>
      </c>
      <c r="T37" s="152" t="str">
        <f>+VLOOKUP($L37,Data_Validation!$A:$D,1,0)</f>
        <v>138D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1304</v>
      </c>
      <c r="B38" s="718" t="s">
        <v>1305</v>
      </c>
      <c r="C38" s="720"/>
      <c r="D38" s="720"/>
      <c r="E38" s="720"/>
      <c r="F38" s="718" t="s">
        <v>1</v>
      </c>
      <c r="G38" s="718" t="s">
        <v>551</v>
      </c>
      <c r="H38" s="719"/>
      <c r="I38" s="719">
        <v>0.14000000000000001</v>
      </c>
      <c r="J38" s="719">
        <v>0.02</v>
      </c>
      <c r="K38" s="719">
        <v>0.16</v>
      </c>
      <c r="L38" s="149" t="str">
        <f t="shared" si="0"/>
        <v>138E</v>
      </c>
      <c r="M38" s="150" t="str">
        <f t="shared" si="1"/>
        <v>NB INV USAGE AUTRE 120+ JRS</v>
      </c>
      <c r="N38" s="151">
        <f>+IF(OR($Q38=Parametres!$G$2,$Q38=Parametres!$G$3),I38,C38)</f>
        <v>0.14000000000000001</v>
      </c>
      <c r="O38" s="151">
        <f>+IF(OR($Q38=Parametres!$G$2,$Q38=Parametres!$G$3),J38,D38)</f>
        <v>0.02</v>
      </c>
      <c r="P38" s="151">
        <f>+IF(OR($Q38=Parametres!$G$2,$Q38=Parametres!$G$3),K38,E38)</f>
        <v>0.16</v>
      </c>
      <c r="Q38" s="150" t="str">
        <f t="shared" si="2"/>
        <v>1-Mémo</v>
      </c>
      <c r="R38" s="149" t="str">
        <f t="shared" si="3"/>
        <v>138B</v>
      </c>
      <c r="S38" s="150">
        <f t="shared" si="4"/>
        <v>0</v>
      </c>
      <c r="T38" s="152" t="str">
        <f>+VLOOKUP($L38,Data_Validation!$A:$D,1,0)</f>
        <v>138E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1306</v>
      </c>
      <c r="B39" s="718" t="s">
        <v>554</v>
      </c>
      <c r="C39" s="720"/>
      <c r="D39" s="720"/>
      <c r="E39" s="720"/>
      <c r="F39" s="718" t="s">
        <v>1</v>
      </c>
      <c r="G39" s="718" t="s">
        <v>554</v>
      </c>
      <c r="H39" s="673"/>
      <c r="I39" s="672">
        <v>228698</v>
      </c>
      <c r="J39" s="672">
        <v>14732</v>
      </c>
      <c r="K39" s="672">
        <v>243430</v>
      </c>
      <c r="L39" s="149" t="str">
        <f t="shared" si="0"/>
        <v>141B</v>
      </c>
      <c r="M39" s="150" t="str">
        <f t="shared" si="1"/>
        <v>$ INV USAGE BMW CAMION 31-60 JRS</v>
      </c>
      <c r="N39" s="151">
        <f>+IF(OR($Q39=Parametres!$G$2,$Q39=Parametres!$G$3),I39,C39)</f>
        <v>228698</v>
      </c>
      <c r="O39" s="504">
        <f>+IF(OR($Q39=Parametres!$G$2,$Q39=Parametres!$G$3),J39,D39)</f>
        <v>14732</v>
      </c>
      <c r="P39" s="151">
        <f>+IF(OR($Q39=Parametres!$G$2,$Q39=Parametres!$G$3),K39,E39)</f>
        <v>243430</v>
      </c>
      <c r="Q39" s="150" t="str">
        <f t="shared" si="2"/>
        <v>1-Mémo</v>
      </c>
      <c r="R39" s="149" t="str">
        <f t="shared" si="3"/>
        <v>141B</v>
      </c>
      <c r="S39" s="150">
        <f t="shared" si="4"/>
        <v>0</v>
      </c>
      <c r="T39" s="152" t="str">
        <f>+VLOOKUP($L39,Data_Validation!$A:$D,1,0)</f>
        <v>141B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1307</v>
      </c>
      <c r="B40" s="718" t="s">
        <v>555</v>
      </c>
      <c r="C40" s="720"/>
      <c r="D40" s="720"/>
      <c r="E40" s="720"/>
      <c r="F40" s="718" t="s">
        <v>1</v>
      </c>
      <c r="G40" s="718" t="s">
        <v>554</v>
      </c>
      <c r="H40" s="673"/>
      <c r="I40" s="673">
        <v>147717</v>
      </c>
      <c r="J40" s="673">
        <v>42687</v>
      </c>
      <c r="K40" s="673">
        <v>190404</v>
      </c>
      <c r="L40" s="149" t="str">
        <f t="shared" si="0"/>
        <v>141C</v>
      </c>
      <c r="M40" s="150" t="str">
        <f t="shared" si="1"/>
        <v>$ INV USAGE BMW CAMION 61-90 JRS</v>
      </c>
      <c r="N40" s="151">
        <f>+IF(OR($Q40=Parametres!$G$2,$Q40=Parametres!$G$3),I40,C40)</f>
        <v>147717</v>
      </c>
      <c r="O40" s="504">
        <f>+IF(OR($Q40=Parametres!$G$2,$Q40=Parametres!$G$3),J40,D40)</f>
        <v>42687</v>
      </c>
      <c r="P40" s="151">
        <f>+IF(OR($Q40=Parametres!$G$2,$Q40=Parametres!$G$3),K40,E40)</f>
        <v>190404</v>
      </c>
      <c r="Q40" s="150" t="str">
        <f t="shared" si="2"/>
        <v>1-Mémo</v>
      </c>
      <c r="R40" s="149" t="str">
        <f t="shared" si="3"/>
        <v>141B</v>
      </c>
      <c r="S40" s="150">
        <f t="shared" si="4"/>
        <v>0</v>
      </c>
      <c r="T40" s="152" t="str">
        <f>+VLOOKUP($L40,Data_Validation!$A:$D,1,0)</f>
        <v>141C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1308</v>
      </c>
      <c r="B41" s="718" t="s">
        <v>556</v>
      </c>
      <c r="C41" s="720"/>
      <c r="D41" s="720"/>
      <c r="E41" s="720"/>
      <c r="F41" s="718" t="s">
        <v>1</v>
      </c>
      <c r="G41" s="718" t="s">
        <v>554</v>
      </c>
      <c r="H41" s="666"/>
      <c r="I41" s="665">
        <v>153119</v>
      </c>
      <c r="J41" s="665">
        <v>26356</v>
      </c>
      <c r="K41" s="665">
        <v>179475</v>
      </c>
      <c r="L41" s="149" t="str">
        <f t="shared" si="0"/>
        <v>141D</v>
      </c>
      <c r="M41" s="150" t="str">
        <f t="shared" si="1"/>
        <v>$ INV USAGE BMW CAMION 91-120 JRS</v>
      </c>
      <c r="N41" s="151">
        <f>+IF(OR($Q41=Parametres!$G$2,$Q41=Parametres!$G$3),I41,C41)</f>
        <v>153119</v>
      </c>
      <c r="O41" s="504">
        <f>+IF(OR($Q41=Parametres!$G$2,$Q41=Parametres!$G$3),J41,D41)</f>
        <v>26356</v>
      </c>
      <c r="P41" s="151">
        <f>+IF(OR($Q41=Parametres!$G$2,$Q41=Parametres!$G$3),K41,E41)</f>
        <v>179475</v>
      </c>
      <c r="Q41" s="150" t="str">
        <f t="shared" si="2"/>
        <v>1-Mémo</v>
      </c>
      <c r="R41" s="149" t="str">
        <f t="shared" si="3"/>
        <v>141B</v>
      </c>
      <c r="S41" s="150">
        <f t="shared" si="4"/>
        <v>0</v>
      </c>
      <c r="T41" s="152" t="str">
        <f>+VLOOKUP($L41,Data_Validation!$A:$D,1,0)</f>
        <v>141D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1309</v>
      </c>
      <c r="B42" s="718" t="s">
        <v>557</v>
      </c>
      <c r="C42" s="720"/>
      <c r="D42" s="720"/>
      <c r="E42" s="720"/>
      <c r="F42" s="718" t="s">
        <v>1</v>
      </c>
      <c r="G42" s="718" t="s">
        <v>554</v>
      </c>
      <c r="H42" s="607"/>
      <c r="I42" s="153">
        <v>503829</v>
      </c>
      <c r="J42" s="153">
        <v>142925</v>
      </c>
      <c r="K42" s="153">
        <v>646754</v>
      </c>
      <c r="L42" s="149" t="str">
        <f t="shared" si="0"/>
        <v>141E</v>
      </c>
      <c r="M42" s="150" t="str">
        <f t="shared" si="1"/>
        <v>$ INV USAGE BMW CAMION 120+ JRS</v>
      </c>
      <c r="N42" s="151">
        <f>+IF(OR($Q42=Parametres!$G$2,$Q42=Parametres!$G$3),I42,C42)</f>
        <v>503829</v>
      </c>
      <c r="O42" s="151">
        <f>+IF(OR($Q42=Parametres!$G$2,$Q42=Parametres!$G$3),J42,D42)</f>
        <v>142925</v>
      </c>
      <c r="P42" s="151">
        <f>+IF(OR($Q42=Parametres!$G$2,$Q42=Parametres!$G$3),K42,E42)</f>
        <v>646754</v>
      </c>
      <c r="Q42" s="150" t="str">
        <f t="shared" si="2"/>
        <v>1-Mémo</v>
      </c>
      <c r="R42" s="149" t="str">
        <f t="shared" si="3"/>
        <v>141B</v>
      </c>
      <c r="S42" s="150">
        <f t="shared" si="4"/>
        <v>0</v>
      </c>
      <c r="T42" s="152" t="str">
        <f>+VLOOKUP($L42,Data_Validation!$A:$D,1,0)</f>
        <v>141E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1310</v>
      </c>
      <c r="B43" s="718" t="s">
        <v>558</v>
      </c>
      <c r="C43" s="720"/>
      <c r="D43" s="720"/>
      <c r="E43" s="720"/>
      <c r="F43" s="718" t="s">
        <v>1</v>
      </c>
      <c r="G43" s="718" t="s">
        <v>2460</v>
      </c>
      <c r="H43" s="673"/>
      <c r="I43" s="673">
        <v>750</v>
      </c>
      <c r="J43" s="673">
        <v>626</v>
      </c>
      <c r="K43" s="673">
        <v>1376</v>
      </c>
      <c r="L43" s="149" t="str">
        <f t="shared" si="0"/>
        <v>142B</v>
      </c>
      <c r="M43" s="150" t="str">
        <f t="shared" si="1"/>
        <v>A/R VEHICULES 31-60 JRS</v>
      </c>
      <c r="N43" s="151">
        <f>+IF(OR($Q43=Parametres!$G$2,$Q43=Parametres!$G$3),I43,C43)</f>
        <v>750</v>
      </c>
      <c r="O43" s="151">
        <f>+IF(OR($Q43=Parametres!$G$2,$Q43=Parametres!$G$3),J43,D43)</f>
        <v>626</v>
      </c>
      <c r="P43" s="151">
        <f>+IF(OR($Q43=Parametres!$G$2,$Q43=Parametres!$G$3),K43,E43)</f>
        <v>1376</v>
      </c>
      <c r="Q43" s="150" t="str">
        <f t="shared" si="2"/>
        <v>1-Mémo</v>
      </c>
      <c r="R43" s="149" t="str">
        <f t="shared" si="3"/>
        <v>142</v>
      </c>
      <c r="S43" s="150">
        <f t="shared" si="4"/>
        <v>0</v>
      </c>
      <c r="T43" s="152" t="str">
        <f>+VLOOKUP($L43,Data_Validation!$A:$D,1,0)</f>
        <v>142B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1311</v>
      </c>
      <c r="B44" s="718" t="s">
        <v>559</v>
      </c>
      <c r="C44" s="720"/>
      <c r="D44" s="720"/>
      <c r="E44" s="720"/>
      <c r="F44" s="718" t="s">
        <v>1</v>
      </c>
      <c r="G44" s="718" t="s">
        <v>2460</v>
      </c>
      <c r="H44" s="673"/>
      <c r="I44" s="673">
        <v>323</v>
      </c>
      <c r="J44" s="673">
        <v>170</v>
      </c>
      <c r="K44" s="673">
        <v>493</v>
      </c>
      <c r="L44" s="149" t="str">
        <f t="shared" si="0"/>
        <v>142C</v>
      </c>
      <c r="M44" s="150" t="str">
        <f t="shared" si="1"/>
        <v>A/R VEHICULES 61-90 JRS</v>
      </c>
      <c r="N44" s="151">
        <f>+IF(OR($Q44=Parametres!$G$2,$Q44=Parametres!$G$3),I44,C44)</f>
        <v>323</v>
      </c>
      <c r="O44" s="504">
        <f>+IF(OR($Q44=Parametres!$G$2,$Q44=Parametres!$G$3),J44,D44)</f>
        <v>170</v>
      </c>
      <c r="P44" s="151">
        <f>+IF(OR($Q44=Parametres!$G$2,$Q44=Parametres!$G$3),K44,E44)</f>
        <v>493</v>
      </c>
      <c r="Q44" s="150" t="str">
        <f t="shared" si="2"/>
        <v>1-Mémo</v>
      </c>
      <c r="R44" s="149" t="str">
        <f t="shared" si="3"/>
        <v>142</v>
      </c>
      <c r="S44" s="150">
        <f t="shared" si="4"/>
        <v>0</v>
      </c>
      <c r="T44" s="152" t="str">
        <f>+VLOOKUP($L44,Data_Validation!$A:$D,1,0)</f>
        <v>142C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1312</v>
      </c>
      <c r="B45" s="718" t="s">
        <v>560</v>
      </c>
      <c r="C45" s="720"/>
      <c r="D45" s="720"/>
      <c r="E45" s="720"/>
      <c r="F45" s="718" t="s">
        <v>1</v>
      </c>
      <c r="G45" s="718" t="s">
        <v>2460</v>
      </c>
      <c r="H45" s="673"/>
      <c r="I45" s="672">
        <v>203</v>
      </c>
      <c r="J45" s="672">
        <v>120</v>
      </c>
      <c r="K45" s="672">
        <v>323</v>
      </c>
      <c r="L45" s="149" t="str">
        <f t="shared" si="0"/>
        <v>142D</v>
      </c>
      <c r="M45" s="150" t="str">
        <f t="shared" si="1"/>
        <v>A/R VEHICULES 91-120 JRS</v>
      </c>
      <c r="N45" s="151">
        <f>+IF(OR($Q45=Parametres!$G$2,$Q45=Parametres!$G$3),I45,C45)</f>
        <v>203</v>
      </c>
      <c r="O45" s="151">
        <f>+IF(OR($Q45=Parametres!$G$2,$Q45=Parametres!$G$3),J45,D45)</f>
        <v>120</v>
      </c>
      <c r="P45" s="151">
        <f>+IF(OR($Q45=Parametres!$G$2,$Q45=Parametres!$G$3),K45,E45)</f>
        <v>323</v>
      </c>
      <c r="Q45" s="150" t="str">
        <f t="shared" si="2"/>
        <v>1-Mémo</v>
      </c>
      <c r="R45" s="149" t="str">
        <f t="shared" si="3"/>
        <v>142</v>
      </c>
      <c r="S45" s="150">
        <f t="shared" si="4"/>
        <v>0</v>
      </c>
      <c r="T45" s="152" t="str">
        <f>+VLOOKUP($L45,Data_Validation!$A:$D,1,0)</f>
        <v>142D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1313</v>
      </c>
      <c r="B46" s="718" t="s">
        <v>561</v>
      </c>
      <c r="C46" s="720"/>
      <c r="D46" s="720"/>
      <c r="E46" s="720"/>
      <c r="F46" s="718" t="s">
        <v>1</v>
      </c>
      <c r="G46" s="718" t="s">
        <v>2460</v>
      </c>
      <c r="H46" s="673"/>
      <c r="I46" s="672">
        <v>0</v>
      </c>
      <c r="J46" s="672">
        <v>203</v>
      </c>
      <c r="K46" s="672">
        <v>203</v>
      </c>
      <c r="L46" s="149" t="str">
        <f t="shared" si="0"/>
        <v>142E</v>
      </c>
      <c r="M46" s="150" t="str">
        <f t="shared" si="1"/>
        <v>A/R VEHICULES 120 + JRS</v>
      </c>
      <c r="N46" s="151">
        <f>+IF(OR($Q46=Parametres!$G$2,$Q46=Parametres!$G$3),I46,C46)</f>
        <v>0</v>
      </c>
      <c r="O46" s="151">
        <f>+IF(OR($Q46=Parametres!$G$2,$Q46=Parametres!$G$3),J46,D46)</f>
        <v>203</v>
      </c>
      <c r="P46" s="151">
        <f>+IF(OR($Q46=Parametres!$G$2,$Q46=Parametres!$G$3),K46,E46)</f>
        <v>203</v>
      </c>
      <c r="Q46" s="150" t="str">
        <f t="shared" si="2"/>
        <v>1-Mémo</v>
      </c>
      <c r="R46" s="149" t="str">
        <f t="shared" si="3"/>
        <v>142</v>
      </c>
      <c r="S46" s="150">
        <f t="shared" si="4"/>
        <v>0</v>
      </c>
      <c r="T46" s="152" t="str">
        <f>+VLOOKUP($L46,Data_Validation!$A:$D,1,0)</f>
        <v>142E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1314</v>
      </c>
      <c r="B47" s="718" t="s">
        <v>562</v>
      </c>
      <c r="C47" s="720"/>
      <c r="D47" s="720"/>
      <c r="E47" s="720"/>
      <c r="F47" s="718" t="s">
        <v>1</v>
      </c>
      <c r="G47" s="718" t="s">
        <v>2492</v>
      </c>
      <c r="H47" s="673"/>
      <c r="I47" s="673">
        <v>2314</v>
      </c>
      <c r="J47" s="673">
        <v>0</v>
      </c>
      <c r="K47" s="673">
        <v>2314</v>
      </c>
      <c r="L47" s="149" t="str">
        <f t="shared" si="0"/>
        <v>143B</v>
      </c>
      <c r="M47" s="150" t="str">
        <f t="shared" si="1"/>
        <v>A/R GARANTIE BMW 31-60 JRS</v>
      </c>
      <c r="N47" s="151">
        <f>+IF(OR($Q47=Parametres!$G$2,$Q47=Parametres!$G$3),I47,C47)</f>
        <v>2314</v>
      </c>
      <c r="O47" s="151">
        <f>+IF(OR($Q47=Parametres!$G$2,$Q47=Parametres!$G$3),J47,D47)</f>
        <v>0</v>
      </c>
      <c r="P47" s="151">
        <f>+IF(OR($Q47=Parametres!$G$2,$Q47=Parametres!$G$3),K47,E47)</f>
        <v>2314</v>
      </c>
      <c r="Q47" s="150" t="str">
        <f t="shared" si="2"/>
        <v>1-Mémo</v>
      </c>
      <c r="R47" s="149" t="str">
        <f t="shared" si="3"/>
        <v>143</v>
      </c>
      <c r="S47" s="150">
        <f t="shared" si="4"/>
        <v>0</v>
      </c>
      <c r="T47" s="152" t="str">
        <f>+VLOOKUP($L47,Data_Validation!$A:$D,1,0)</f>
        <v>143B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1317</v>
      </c>
      <c r="B48" s="718" t="s">
        <v>565</v>
      </c>
      <c r="C48" s="719"/>
      <c r="D48" s="719"/>
      <c r="E48" s="719"/>
      <c r="F48" s="718" t="s">
        <v>1</v>
      </c>
      <c r="G48" s="718" t="s">
        <v>2461</v>
      </c>
      <c r="H48" s="719"/>
      <c r="I48" s="720">
        <v>23756</v>
      </c>
      <c r="J48" s="720">
        <v>6169</v>
      </c>
      <c r="K48" s="720">
        <v>29925</v>
      </c>
      <c r="L48" s="149" t="str">
        <f t="shared" si="0"/>
        <v>144B</v>
      </c>
      <c r="M48" s="150" t="str">
        <f t="shared" si="1"/>
        <v>A/R PIECES+SERVICE 31-60 JRS</v>
      </c>
      <c r="N48" s="151">
        <f>+IF(OR($Q48=Parametres!$G$2,$Q48=Parametres!$G$3),I48,C48)</f>
        <v>23756</v>
      </c>
      <c r="O48" s="505">
        <f>+IF(OR($Q48=Parametres!$G$2,$Q48=Parametres!$G$3),J48,D48)</f>
        <v>6169</v>
      </c>
      <c r="P48" s="151">
        <f>+IF(OR($Q48=Parametres!$G$2,$Q48=Parametres!$G$3),K48,E48)</f>
        <v>29925</v>
      </c>
      <c r="Q48" s="150" t="str">
        <f t="shared" si="2"/>
        <v>1-Mémo</v>
      </c>
      <c r="R48" s="149" t="str">
        <f t="shared" si="3"/>
        <v>144</v>
      </c>
      <c r="S48" s="150">
        <f t="shared" si="4"/>
        <v>0</v>
      </c>
      <c r="T48" s="152" t="str">
        <f>+VLOOKUP($L48,Data_Validation!$A:$D,1,0)</f>
        <v>144B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1318</v>
      </c>
      <c r="B49" s="718" t="s">
        <v>566</v>
      </c>
      <c r="C49" s="720"/>
      <c r="D49" s="720"/>
      <c r="E49" s="720"/>
      <c r="F49" s="718" t="s">
        <v>1</v>
      </c>
      <c r="G49" s="718" t="s">
        <v>2461</v>
      </c>
      <c r="H49" s="673"/>
      <c r="I49" s="672">
        <v>4008</v>
      </c>
      <c r="J49" s="672">
        <v>3797</v>
      </c>
      <c r="K49" s="672">
        <v>7805</v>
      </c>
      <c r="L49" s="149" t="str">
        <f t="shared" si="0"/>
        <v>144C</v>
      </c>
      <c r="M49" s="150" t="str">
        <f t="shared" si="1"/>
        <v>A/R PIECES+SERVICE 61-90 JRS</v>
      </c>
      <c r="N49" s="151">
        <f>+IF(OR($Q49=Parametres!$G$2,$Q49=Parametres!$G$3),I49,C49)</f>
        <v>4008</v>
      </c>
      <c r="O49" s="151">
        <f>+IF(OR($Q49=Parametres!$G$2,$Q49=Parametres!$G$3),J49,D49)</f>
        <v>3797</v>
      </c>
      <c r="P49" s="151">
        <f>+IF(OR($Q49=Parametres!$G$2,$Q49=Parametres!$G$3),K49,E49)</f>
        <v>7805</v>
      </c>
      <c r="Q49" s="150" t="str">
        <f t="shared" si="2"/>
        <v>1-Mémo</v>
      </c>
      <c r="R49" s="149" t="str">
        <f t="shared" si="3"/>
        <v>144</v>
      </c>
      <c r="S49" s="150">
        <f t="shared" si="4"/>
        <v>0</v>
      </c>
      <c r="T49" s="152" t="str">
        <f>+VLOOKUP($L49,Data_Validation!$A:$D,1,0)</f>
        <v>144C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1319</v>
      </c>
      <c r="B50" s="718" t="s">
        <v>567</v>
      </c>
      <c r="C50" s="720"/>
      <c r="D50" s="720"/>
      <c r="E50" s="720"/>
      <c r="F50" s="718" t="s">
        <v>1</v>
      </c>
      <c r="G50" s="718" t="s">
        <v>2461</v>
      </c>
      <c r="H50" s="673"/>
      <c r="I50" s="673">
        <v>9062</v>
      </c>
      <c r="J50" s="673">
        <v>571</v>
      </c>
      <c r="K50" s="673">
        <v>9633</v>
      </c>
      <c r="L50" s="149" t="str">
        <f t="shared" si="0"/>
        <v>144D</v>
      </c>
      <c r="M50" s="150" t="str">
        <f t="shared" si="1"/>
        <v>A/R PIECES+SERVICE 91-120 JRS</v>
      </c>
      <c r="N50" s="151">
        <f>+IF(OR($Q50=Parametres!$G$2,$Q50=Parametres!$G$3),I50,C50)</f>
        <v>9062</v>
      </c>
      <c r="O50" s="151">
        <f>+IF(OR($Q50=Parametres!$G$2,$Q50=Parametres!$G$3),J50,D50)</f>
        <v>571</v>
      </c>
      <c r="P50" s="151">
        <f>+IF(OR($Q50=Parametres!$G$2,$Q50=Parametres!$G$3),K50,E50)</f>
        <v>9633</v>
      </c>
      <c r="Q50" s="150" t="str">
        <f t="shared" si="2"/>
        <v>1-Mémo</v>
      </c>
      <c r="R50" s="149" t="str">
        <f t="shared" si="3"/>
        <v>144</v>
      </c>
      <c r="S50" s="150">
        <f t="shared" si="4"/>
        <v>0</v>
      </c>
      <c r="T50" s="152" t="str">
        <f>+VLOOKUP($L50,Data_Validation!$A:$D,1,0)</f>
        <v>144D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1320</v>
      </c>
      <c r="B51" s="718" t="s">
        <v>568</v>
      </c>
      <c r="C51" s="720"/>
      <c r="D51" s="720"/>
      <c r="E51" s="720"/>
      <c r="F51" s="718" t="s">
        <v>1</v>
      </c>
      <c r="G51" s="718" t="s">
        <v>2461</v>
      </c>
      <c r="H51" s="673"/>
      <c r="I51" s="672">
        <v>24254</v>
      </c>
      <c r="J51" s="672">
        <v>698</v>
      </c>
      <c r="K51" s="672">
        <v>24952</v>
      </c>
      <c r="L51" s="149" t="str">
        <f t="shared" si="0"/>
        <v>144E</v>
      </c>
      <c r="M51" s="150" t="str">
        <f t="shared" si="1"/>
        <v>A/R PIECES+SERVICE 120+ JRS</v>
      </c>
      <c r="N51" s="151">
        <f>+IF(OR($Q51=Parametres!$G$2,$Q51=Parametres!$G$3),I51,C51)</f>
        <v>24254</v>
      </c>
      <c r="O51" s="151">
        <f>+IF(OR($Q51=Parametres!$G$2,$Q51=Parametres!$G$3),J51,D51)</f>
        <v>698</v>
      </c>
      <c r="P51" s="151">
        <f>+IF(OR($Q51=Parametres!$G$2,$Q51=Parametres!$G$3),K51,E51)</f>
        <v>24952</v>
      </c>
      <c r="Q51" s="150" t="str">
        <f t="shared" si="2"/>
        <v>1-Mémo</v>
      </c>
      <c r="R51" s="149" t="str">
        <f t="shared" si="3"/>
        <v>144</v>
      </c>
      <c r="S51" s="150">
        <f t="shared" si="4"/>
        <v>0</v>
      </c>
      <c r="T51" s="152" t="str">
        <f>+VLOOKUP($L51,Data_Validation!$A:$D,1,0)</f>
        <v>144E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1321</v>
      </c>
      <c r="B52" s="718" t="s">
        <v>569</v>
      </c>
      <c r="C52" s="719"/>
      <c r="D52" s="719"/>
      <c r="E52" s="719"/>
      <c r="F52" s="718" t="s">
        <v>1</v>
      </c>
      <c r="G52" s="718" t="s">
        <v>569</v>
      </c>
      <c r="H52" s="719"/>
      <c r="I52" s="720">
        <v>1055756</v>
      </c>
      <c r="J52" s="720">
        <v>0</v>
      </c>
      <c r="K52" s="720">
        <v>1055756</v>
      </c>
      <c r="L52" s="149" t="str">
        <f t="shared" si="0"/>
        <v>145</v>
      </c>
      <c r="M52" s="150" t="str">
        <f t="shared" si="1"/>
        <v>FONDS DE ROULEMENT REQUIS</v>
      </c>
      <c r="N52" s="151">
        <f>+IF(OR($Q52=Parametres!$G$2,$Q52=Parametres!$G$3),I52,C52)</f>
        <v>1055756</v>
      </c>
      <c r="O52" s="151">
        <f>+IF(OR($Q52=Parametres!$G$2,$Q52=Parametres!$G$3),J52,D52)</f>
        <v>0</v>
      </c>
      <c r="P52" s="151">
        <f>+IF(OR($Q52=Parametres!$G$2,$Q52=Parametres!$G$3),K52,E52)</f>
        <v>1055756</v>
      </c>
      <c r="Q52" s="150" t="str">
        <f t="shared" si="2"/>
        <v>1-Mémo</v>
      </c>
      <c r="R52" s="149" t="str">
        <f t="shared" si="3"/>
        <v>145</v>
      </c>
      <c r="S52" s="150">
        <f t="shared" si="4"/>
        <v>0</v>
      </c>
      <c r="T52" s="152" t="str">
        <f>+VLOOKUP($L52,Data_Validation!$A:$D,1,0)</f>
        <v>145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1322</v>
      </c>
      <c r="B53" s="718" t="s">
        <v>570</v>
      </c>
      <c r="C53" s="720"/>
      <c r="D53" s="720"/>
      <c r="E53" s="720"/>
      <c r="F53" s="718" t="s">
        <v>1</v>
      </c>
      <c r="G53" s="718" t="s">
        <v>570</v>
      </c>
      <c r="H53" s="673"/>
      <c r="I53" s="672">
        <v>485906</v>
      </c>
      <c r="J53" s="672">
        <v>115284</v>
      </c>
      <c r="K53" s="672">
        <v>601190</v>
      </c>
      <c r="L53" s="149" t="str">
        <f t="shared" si="0"/>
        <v>154B</v>
      </c>
      <c r="M53" s="150" t="str">
        <f t="shared" si="1"/>
        <v>$ INV USAGE BMW AUTO 31-60 JRS</v>
      </c>
      <c r="N53" s="151">
        <f>+IF(OR($Q53=Parametres!$G$2,$Q53=Parametres!$G$3),I53,C53)</f>
        <v>485906</v>
      </c>
      <c r="O53" s="151">
        <f>+IF(OR($Q53=Parametres!$G$2,$Q53=Parametres!$G$3),J53,D53)</f>
        <v>115284</v>
      </c>
      <c r="P53" s="151">
        <f>+IF(OR($Q53=Parametres!$G$2,$Q53=Parametres!$G$3),K53,E53)</f>
        <v>601190</v>
      </c>
      <c r="Q53" s="150" t="str">
        <f t="shared" si="2"/>
        <v>1-Mémo</v>
      </c>
      <c r="R53" s="149" t="str">
        <f t="shared" si="3"/>
        <v>154B</v>
      </c>
      <c r="S53" s="150">
        <f t="shared" si="4"/>
        <v>0</v>
      </c>
      <c r="T53" s="152" t="str">
        <f>+VLOOKUP($L53,Data_Validation!$A:$D,1,0)</f>
        <v>154B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1323</v>
      </c>
      <c r="B54" s="718" t="s">
        <v>571</v>
      </c>
      <c r="C54" s="720"/>
      <c r="D54" s="720"/>
      <c r="E54" s="720"/>
      <c r="F54" s="718" t="s">
        <v>1</v>
      </c>
      <c r="G54" s="718" t="s">
        <v>570</v>
      </c>
      <c r="H54" s="673"/>
      <c r="I54" s="673">
        <v>485612</v>
      </c>
      <c r="J54" s="673">
        <v>0</v>
      </c>
      <c r="K54" s="673">
        <v>485612</v>
      </c>
      <c r="L54" s="149" t="str">
        <f t="shared" si="0"/>
        <v>154C</v>
      </c>
      <c r="M54" s="150" t="str">
        <f t="shared" si="1"/>
        <v>$ INV USAGE BMW AUTO 61-90 JRS</v>
      </c>
      <c r="N54" s="151">
        <f>+IF(OR($Q54=Parametres!$G$2,$Q54=Parametres!$G$3),I54,C54)</f>
        <v>485612</v>
      </c>
      <c r="O54" s="151">
        <f>+IF(OR($Q54=Parametres!$G$2,$Q54=Parametres!$G$3),J54,D54)</f>
        <v>0</v>
      </c>
      <c r="P54" s="151">
        <f>+IF(OR($Q54=Parametres!$G$2,$Q54=Parametres!$G$3),K54,E54)</f>
        <v>485612</v>
      </c>
      <c r="Q54" s="150" t="str">
        <f t="shared" si="2"/>
        <v>1-Mémo</v>
      </c>
      <c r="R54" s="149" t="str">
        <f t="shared" si="3"/>
        <v>154B</v>
      </c>
      <c r="S54" s="150">
        <f t="shared" si="4"/>
        <v>0</v>
      </c>
      <c r="T54" s="152" t="str">
        <f>+VLOOKUP($L54,Data_Validation!$A:$D,1,0)</f>
        <v>154C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1324</v>
      </c>
      <c r="B55" s="718" t="s">
        <v>572</v>
      </c>
      <c r="C55" s="720"/>
      <c r="D55" s="720"/>
      <c r="E55" s="720"/>
      <c r="F55" s="718" t="s">
        <v>1</v>
      </c>
      <c r="G55" s="718" t="s">
        <v>570</v>
      </c>
      <c r="H55" s="673"/>
      <c r="I55" s="672">
        <v>311599</v>
      </c>
      <c r="J55" s="672">
        <v>52922</v>
      </c>
      <c r="K55" s="672">
        <v>364521</v>
      </c>
      <c r="L55" s="149" t="str">
        <f t="shared" si="0"/>
        <v>154D</v>
      </c>
      <c r="M55" s="150" t="str">
        <f t="shared" si="1"/>
        <v>$ INV USAGE BMW AUTO 91-120 JRS</v>
      </c>
      <c r="N55" s="151">
        <f>+IF(OR($Q55=Parametres!$G$2,$Q55=Parametres!$G$3),I55,C55)</f>
        <v>311599</v>
      </c>
      <c r="O55" s="151">
        <f>+IF(OR($Q55=Parametres!$G$2,$Q55=Parametres!$G$3),J55,D55)</f>
        <v>52922</v>
      </c>
      <c r="P55" s="151">
        <f>+IF(OR($Q55=Parametres!$G$2,$Q55=Parametres!$G$3),K55,E55)</f>
        <v>364521</v>
      </c>
      <c r="Q55" s="150" t="str">
        <f t="shared" si="2"/>
        <v>1-Mémo</v>
      </c>
      <c r="R55" s="149" t="str">
        <f t="shared" si="3"/>
        <v>154B</v>
      </c>
      <c r="S55" s="150">
        <f t="shared" si="4"/>
        <v>0</v>
      </c>
      <c r="T55" s="152" t="str">
        <f>+VLOOKUP($L55,Data_Validation!$A:$D,1,0)</f>
        <v>154D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1325</v>
      </c>
      <c r="B56" s="718" t="s">
        <v>573</v>
      </c>
      <c r="C56" s="720"/>
      <c r="D56" s="720"/>
      <c r="E56" s="720"/>
      <c r="F56" s="718" t="s">
        <v>1</v>
      </c>
      <c r="G56" s="718" t="s">
        <v>570</v>
      </c>
      <c r="H56" s="673"/>
      <c r="I56" s="672">
        <v>497527</v>
      </c>
      <c r="J56" s="672">
        <v>99623</v>
      </c>
      <c r="K56" s="672">
        <v>597150</v>
      </c>
      <c r="L56" s="149" t="str">
        <f t="shared" si="0"/>
        <v>154E</v>
      </c>
      <c r="M56" s="150" t="str">
        <f t="shared" si="1"/>
        <v>$ INV USAGE BMW AUTO 120+ JRS</v>
      </c>
      <c r="N56" s="151">
        <f>+IF(OR($Q56=Parametres!$G$2,$Q56=Parametres!$G$3),I56,C56)</f>
        <v>497527</v>
      </c>
      <c r="O56" s="151">
        <f>+IF(OR($Q56=Parametres!$G$2,$Q56=Parametres!$G$3),J56,D56)</f>
        <v>99623</v>
      </c>
      <c r="P56" s="151">
        <f>+IF(OR($Q56=Parametres!$G$2,$Q56=Parametres!$G$3),K56,E56)</f>
        <v>597150</v>
      </c>
      <c r="Q56" s="150" t="str">
        <f t="shared" si="2"/>
        <v>1-Mémo</v>
      </c>
      <c r="R56" s="149" t="str">
        <f t="shared" si="3"/>
        <v>154B</v>
      </c>
      <c r="S56" s="150">
        <f t="shared" si="4"/>
        <v>0</v>
      </c>
      <c r="T56" s="152" t="str">
        <f>+VLOOKUP($L56,Data_Validation!$A:$D,1,0)</f>
        <v>154E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1326</v>
      </c>
      <c r="B57" s="718" t="s">
        <v>574</v>
      </c>
      <c r="C57" s="720"/>
      <c r="D57" s="720"/>
      <c r="E57" s="720"/>
      <c r="F57" s="718" t="s">
        <v>1</v>
      </c>
      <c r="G57" s="718" t="s">
        <v>574</v>
      </c>
      <c r="H57" s="673"/>
      <c r="I57" s="672">
        <v>0.36</v>
      </c>
      <c r="J57" s="672">
        <v>0.06</v>
      </c>
      <c r="K57" s="672">
        <v>0.42</v>
      </c>
      <c r="L57" s="149" t="str">
        <f t="shared" si="0"/>
        <v>156</v>
      </c>
      <c r="M57" s="150" t="str">
        <f t="shared" si="1"/>
        <v>NB INV + 30 JOURS USAGE BMW AUTO</v>
      </c>
      <c r="N57" s="151">
        <f>+IF(OR($Q57=Parametres!$G$2,$Q57=Parametres!$G$3),I57,C57)</f>
        <v>0.36</v>
      </c>
      <c r="O57" s="151">
        <f>+IF(OR($Q57=Parametres!$G$2,$Q57=Parametres!$G$3),J57,D57)</f>
        <v>0.06</v>
      </c>
      <c r="P57" s="151">
        <f>+IF(OR($Q57=Parametres!$G$2,$Q57=Parametres!$G$3),K57,E57)</f>
        <v>0.42</v>
      </c>
      <c r="Q57" s="150" t="str">
        <f t="shared" si="2"/>
        <v>1-Mémo</v>
      </c>
      <c r="R57" s="149" t="str">
        <f t="shared" si="3"/>
        <v>156</v>
      </c>
      <c r="S57" s="150">
        <f t="shared" si="4"/>
        <v>0</v>
      </c>
      <c r="T57" s="152" t="str">
        <f>+VLOOKUP($L57,Data_Validation!$A:$D,1,0)</f>
        <v>156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1327</v>
      </c>
      <c r="B58" s="718" t="s">
        <v>575</v>
      </c>
      <c r="C58" s="720"/>
      <c r="D58" s="720"/>
      <c r="E58" s="720"/>
      <c r="F58" s="718" t="s">
        <v>1</v>
      </c>
      <c r="G58" s="718" t="s">
        <v>575</v>
      </c>
      <c r="H58" s="607"/>
      <c r="I58" s="608">
        <v>519631</v>
      </c>
      <c r="J58" s="608">
        <v>102217</v>
      </c>
      <c r="K58" s="608">
        <v>621848</v>
      </c>
      <c r="L58" s="149" t="str">
        <f t="shared" si="0"/>
        <v>157B</v>
      </c>
      <c r="M58" s="150" t="str">
        <f t="shared" si="1"/>
        <v>$ INV USAGE AUTRE 31-60 JRS</v>
      </c>
      <c r="N58" s="151">
        <f>+IF(OR($Q58=Parametres!$G$2,$Q58=Parametres!$G$3),I58,C58)</f>
        <v>519631</v>
      </c>
      <c r="O58" s="151">
        <f>+IF(OR($Q58=Parametres!$G$2,$Q58=Parametres!$G$3),J58,D58)</f>
        <v>102217</v>
      </c>
      <c r="P58" s="151">
        <f>+IF(OR($Q58=Parametres!$G$2,$Q58=Parametres!$G$3),K58,E58)</f>
        <v>621848</v>
      </c>
      <c r="Q58" s="150" t="str">
        <f t="shared" si="2"/>
        <v>1-Mémo</v>
      </c>
      <c r="R58" s="149" t="str">
        <f t="shared" si="3"/>
        <v>157B</v>
      </c>
      <c r="S58" s="150">
        <f t="shared" si="4"/>
        <v>0</v>
      </c>
      <c r="T58" s="152" t="str">
        <f>+VLOOKUP($L58,Data_Validation!$A:$D,1,0)</f>
        <v>157B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1328</v>
      </c>
      <c r="B59" s="718" t="s">
        <v>576</v>
      </c>
      <c r="C59" s="720"/>
      <c r="D59" s="720"/>
      <c r="E59" s="720"/>
      <c r="F59" s="718" t="s">
        <v>1</v>
      </c>
      <c r="G59" s="718" t="s">
        <v>575</v>
      </c>
      <c r="H59" s="673"/>
      <c r="I59" s="672">
        <v>169743</v>
      </c>
      <c r="J59" s="672">
        <v>170788</v>
      </c>
      <c r="K59" s="672">
        <v>340531</v>
      </c>
      <c r="L59" s="149" t="str">
        <f t="shared" si="0"/>
        <v>157C</v>
      </c>
      <c r="M59" s="150" t="str">
        <f t="shared" si="1"/>
        <v>$ INV USAGE AUTRE 61-90 JRS</v>
      </c>
      <c r="N59" s="151">
        <f>+IF(OR($Q59=Parametres!$G$2,$Q59=Parametres!$G$3),I59,C59)</f>
        <v>169743</v>
      </c>
      <c r="O59" s="151">
        <f>+IF(OR($Q59=Parametres!$G$2,$Q59=Parametres!$G$3),J59,D59)</f>
        <v>170788</v>
      </c>
      <c r="P59" s="151">
        <f>+IF(OR($Q59=Parametres!$G$2,$Q59=Parametres!$G$3),K59,E59)</f>
        <v>340531</v>
      </c>
      <c r="Q59" s="150" t="str">
        <f t="shared" si="2"/>
        <v>1-Mémo</v>
      </c>
      <c r="R59" s="149" t="str">
        <f t="shared" si="3"/>
        <v>157B</v>
      </c>
      <c r="S59" s="150">
        <f t="shared" si="4"/>
        <v>0</v>
      </c>
      <c r="T59" s="152" t="str">
        <f>+VLOOKUP($L59,Data_Validation!$A:$D,1,0)</f>
        <v>157C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1329</v>
      </c>
      <c r="B60" s="718" t="s">
        <v>577</v>
      </c>
      <c r="C60" s="720"/>
      <c r="D60" s="720"/>
      <c r="E60" s="720"/>
      <c r="F60" s="718" t="s">
        <v>1</v>
      </c>
      <c r="G60" s="718" t="s">
        <v>575</v>
      </c>
      <c r="H60" s="673"/>
      <c r="I60" s="673">
        <v>208063</v>
      </c>
      <c r="J60" s="673">
        <v>0</v>
      </c>
      <c r="K60" s="673">
        <v>208063</v>
      </c>
      <c r="L60" s="149" t="str">
        <f t="shared" si="0"/>
        <v>157D</v>
      </c>
      <c r="M60" s="150" t="str">
        <f t="shared" si="1"/>
        <v>$ INV USAGE AUTRE 91-120 JRS</v>
      </c>
      <c r="N60" s="151">
        <f>+IF(OR($Q60=Parametres!$G$2,$Q60=Parametres!$G$3),I60,C60)</f>
        <v>208063</v>
      </c>
      <c r="O60" s="151">
        <f>+IF(OR($Q60=Parametres!$G$2,$Q60=Parametres!$G$3),J60,D60)</f>
        <v>0</v>
      </c>
      <c r="P60" s="151">
        <f>+IF(OR($Q60=Parametres!$G$2,$Q60=Parametres!$G$3),K60,E60)</f>
        <v>208063</v>
      </c>
      <c r="Q60" s="150" t="str">
        <f t="shared" si="2"/>
        <v>1-Mémo</v>
      </c>
      <c r="R60" s="149" t="str">
        <f t="shared" si="3"/>
        <v>157B</v>
      </c>
      <c r="S60" s="150">
        <f t="shared" si="4"/>
        <v>0</v>
      </c>
      <c r="T60" s="152" t="str">
        <f>+VLOOKUP($L60,Data_Validation!$A:$D,1,0)</f>
        <v>157D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1330</v>
      </c>
      <c r="B61" s="718" t="s">
        <v>1331</v>
      </c>
      <c r="C61" s="720"/>
      <c r="D61" s="720"/>
      <c r="E61" s="720"/>
      <c r="F61" s="718" t="s">
        <v>1</v>
      </c>
      <c r="G61" s="718" t="s">
        <v>575</v>
      </c>
      <c r="H61" s="673"/>
      <c r="I61" s="673">
        <v>526367</v>
      </c>
      <c r="J61" s="673">
        <v>35932</v>
      </c>
      <c r="K61" s="673">
        <v>562299</v>
      </c>
      <c r="L61" s="149" t="str">
        <f t="shared" si="0"/>
        <v>157E</v>
      </c>
      <c r="M61" s="150" t="str">
        <f t="shared" si="1"/>
        <v>$ INV USAGE AUTRE 120+ JRS</v>
      </c>
      <c r="N61" s="151">
        <f>+IF(OR($Q61=Parametres!$G$2,$Q61=Parametres!$G$3),I61,C61)</f>
        <v>526367</v>
      </c>
      <c r="O61" s="151">
        <f>+IF(OR($Q61=Parametres!$G$2,$Q61=Parametres!$G$3),J61,D61)</f>
        <v>35932</v>
      </c>
      <c r="P61" s="151">
        <f>+IF(OR($Q61=Parametres!$G$2,$Q61=Parametres!$G$3),K61,E61)</f>
        <v>562299</v>
      </c>
      <c r="Q61" s="150" t="str">
        <f t="shared" si="2"/>
        <v>1-Mémo</v>
      </c>
      <c r="R61" s="149" t="str">
        <f t="shared" si="3"/>
        <v>157B</v>
      </c>
      <c r="S61" s="150">
        <f t="shared" si="4"/>
        <v>0</v>
      </c>
      <c r="T61" s="152" t="str">
        <f>+VLOOKUP($L61,Data_Validation!$A:$D,1,0)</f>
        <v>157E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1332</v>
      </c>
      <c r="B62" s="718" t="s">
        <v>578</v>
      </c>
      <c r="C62" s="720"/>
      <c r="D62" s="720"/>
      <c r="E62" s="720"/>
      <c r="F62" s="718" t="s">
        <v>1</v>
      </c>
      <c r="G62" s="718" t="s">
        <v>578</v>
      </c>
      <c r="H62" s="607"/>
      <c r="I62" s="153">
        <v>1</v>
      </c>
      <c r="J62" s="153">
        <v>0</v>
      </c>
      <c r="K62" s="153">
        <v>1</v>
      </c>
      <c r="L62" s="149" t="str">
        <f t="shared" si="0"/>
        <v>160Z</v>
      </c>
      <c r="M62" s="150" t="str">
        <f t="shared" si="1"/>
        <v>NB EMP. PROPRIETAIRE ADMIN.</v>
      </c>
      <c r="N62" s="151">
        <f>+IF(OR($Q62=Parametres!$G$2,$Q62=Parametres!$G$3),I62,C62)</f>
        <v>1</v>
      </c>
      <c r="O62" s="151">
        <f>+IF(OR($Q62=Parametres!$G$2,$Q62=Parametres!$G$3),J62,D62)</f>
        <v>0</v>
      </c>
      <c r="P62" s="151">
        <f>+IF(OR($Q62=Parametres!$G$2,$Q62=Parametres!$G$3),K62,E62)</f>
        <v>1</v>
      </c>
      <c r="Q62" s="150" t="str">
        <f t="shared" si="2"/>
        <v>1-Mémo</v>
      </c>
      <c r="R62" s="149" t="str">
        <f t="shared" si="3"/>
        <v>160Z</v>
      </c>
      <c r="S62" s="150">
        <f t="shared" si="4"/>
        <v>0</v>
      </c>
      <c r="T62" s="152" t="str">
        <f>+VLOOKUP($L62,Data_Validation!$A:$D,1,0)</f>
        <v>160Z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1333</v>
      </c>
      <c r="B63" s="718" t="s">
        <v>579</v>
      </c>
      <c r="C63" s="720"/>
      <c r="D63" s="720"/>
      <c r="E63" s="720"/>
      <c r="F63" s="718" t="s">
        <v>1</v>
      </c>
      <c r="G63" s="718" t="s">
        <v>2462</v>
      </c>
      <c r="H63" s="673"/>
      <c r="I63" s="672">
        <v>0.5</v>
      </c>
      <c r="J63" s="672">
        <v>0</v>
      </c>
      <c r="K63" s="672">
        <v>0.5</v>
      </c>
      <c r="L63" s="149" t="str">
        <f t="shared" si="0"/>
        <v>161A</v>
      </c>
      <c r="M63" s="150" t="str">
        <f t="shared" si="1"/>
        <v>NB EMP. SUPERVISION - NEUF</v>
      </c>
      <c r="N63" s="151">
        <f>+IF(OR($Q63=Parametres!$G$2,$Q63=Parametres!$G$3),I63,C63)</f>
        <v>0.5</v>
      </c>
      <c r="O63" s="151">
        <f>+IF(OR($Q63=Parametres!$G$2,$Q63=Parametres!$G$3),J63,D63)</f>
        <v>0</v>
      </c>
      <c r="P63" s="151">
        <f>+IF(OR($Q63=Parametres!$G$2,$Q63=Parametres!$G$3),K63,E63)</f>
        <v>0.5</v>
      </c>
      <c r="Q63" s="150" t="str">
        <f t="shared" si="2"/>
        <v>1-Mémo</v>
      </c>
      <c r="R63" s="149" t="str">
        <f t="shared" si="3"/>
        <v>161</v>
      </c>
      <c r="S63" s="150">
        <f t="shared" si="4"/>
        <v>0</v>
      </c>
      <c r="T63" s="152" t="str">
        <f>+VLOOKUP($L63,Data_Validation!$A:$D,1,0)</f>
        <v>161A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1334</v>
      </c>
      <c r="B64" s="718" t="s">
        <v>580</v>
      </c>
      <c r="C64" s="719"/>
      <c r="D64" s="719"/>
      <c r="E64" s="719"/>
      <c r="F64" s="718" t="s">
        <v>1</v>
      </c>
      <c r="G64" s="718" t="s">
        <v>2462</v>
      </c>
      <c r="H64" s="719"/>
      <c r="I64" s="720">
        <v>0.5</v>
      </c>
      <c r="J64" s="720">
        <v>0</v>
      </c>
      <c r="K64" s="720">
        <v>0.5</v>
      </c>
      <c r="L64" s="149" t="str">
        <f t="shared" si="0"/>
        <v>161B</v>
      </c>
      <c r="M64" s="150" t="str">
        <f t="shared" si="1"/>
        <v>NB EMP. SUPERVISION - USAGE</v>
      </c>
      <c r="N64" s="151">
        <f>+IF(OR($Q64=Parametres!$G$2,$Q64=Parametres!$G$3),I64,C64)</f>
        <v>0.5</v>
      </c>
      <c r="O64" s="504">
        <f>+IF(OR($Q64=Parametres!$G$2,$Q64=Parametres!$G$3),J64,D64)</f>
        <v>0</v>
      </c>
      <c r="P64" s="151">
        <f>+IF(OR($Q64=Parametres!$G$2,$Q64=Parametres!$G$3),K64,E64)</f>
        <v>0.5</v>
      </c>
      <c r="Q64" s="150" t="str">
        <f t="shared" si="2"/>
        <v>1-Mémo</v>
      </c>
      <c r="R64" s="149" t="str">
        <f t="shared" si="3"/>
        <v>161</v>
      </c>
      <c r="S64" s="150">
        <f t="shared" si="4"/>
        <v>0</v>
      </c>
      <c r="T64" s="152" t="str">
        <f>+VLOOKUP($L64,Data_Validation!$A:$D,1,0)</f>
        <v>161B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1335</v>
      </c>
      <c r="B65" s="718" t="s">
        <v>581</v>
      </c>
      <c r="C65" s="720"/>
      <c r="D65" s="720"/>
      <c r="E65" s="720"/>
      <c r="F65" s="718" t="s">
        <v>1</v>
      </c>
      <c r="G65" s="718" t="s">
        <v>2462</v>
      </c>
      <c r="H65" s="673"/>
      <c r="I65" s="672">
        <v>0.5</v>
      </c>
      <c r="J65" s="672">
        <v>0</v>
      </c>
      <c r="K65" s="672">
        <v>0.5</v>
      </c>
      <c r="L65" s="149" t="str">
        <f t="shared" si="0"/>
        <v>161C</v>
      </c>
      <c r="M65" s="150" t="str">
        <f t="shared" si="1"/>
        <v>NB EMP. SUPERBISION - SERVICE</v>
      </c>
      <c r="N65" s="151">
        <f>+IF(OR($Q65=Parametres!$G$2,$Q65=Parametres!$G$3),I65,C65)</f>
        <v>0.5</v>
      </c>
      <c r="O65" s="151">
        <f>+IF(OR($Q65=Parametres!$G$2,$Q65=Parametres!$G$3),J65,D65)</f>
        <v>0</v>
      </c>
      <c r="P65" s="151">
        <f>+IF(OR($Q65=Parametres!$G$2,$Q65=Parametres!$G$3),K65,E65)</f>
        <v>0.5</v>
      </c>
      <c r="Q65" s="150" t="str">
        <f t="shared" si="2"/>
        <v>1-Mémo</v>
      </c>
      <c r="R65" s="149" t="str">
        <f t="shared" si="3"/>
        <v>161</v>
      </c>
      <c r="S65" s="150">
        <f t="shared" si="4"/>
        <v>0</v>
      </c>
      <c r="T65" s="152" t="str">
        <f>+VLOOKUP($L65,Data_Validation!$A:$D,1,0)</f>
        <v>161C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1336</v>
      </c>
      <c r="B66" s="718" t="s">
        <v>582</v>
      </c>
      <c r="C66" s="720"/>
      <c r="D66" s="720"/>
      <c r="E66" s="720"/>
      <c r="F66" s="718" t="s">
        <v>1</v>
      </c>
      <c r="G66" s="718" t="s">
        <v>2462</v>
      </c>
      <c r="H66" s="666"/>
      <c r="I66" s="665">
        <v>0.5</v>
      </c>
      <c r="J66" s="665">
        <v>0</v>
      </c>
      <c r="K66" s="665">
        <v>0.5</v>
      </c>
      <c r="L66" s="149" t="str">
        <f t="shared" ref="L66:L129" si="5">+B66</f>
        <v>161D</v>
      </c>
      <c r="M66" s="150" t="str">
        <f t="shared" ref="M66:M129" si="6">+A66</f>
        <v>NB EMP. SUPERVISION - PIECES</v>
      </c>
      <c r="N66" s="151">
        <f>+IF(OR($Q66=Parametres!$G$2,$Q66=Parametres!$G$3),I66,C66)</f>
        <v>0.5</v>
      </c>
      <c r="O66" s="151">
        <f>+IF(OR($Q66=Parametres!$G$2,$Q66=Parametres!$G$3),J66,D66)</f>
        <v>0</v>
      </c>
      <c r="P66" s="151">
        <f>+IF(OR($Q66=Parametres!$G$2,$Q66=Parametres!$G$3),K66,E66)</f>
        <v>0.5</v>
      </c>
      <c r="Q66" s="150" t="str">
        <f t="shared" ref="Q66:Q129" si="7">+F66</f>
        <v>1-Mémo</v>
      </c>
      <c r="R66" s="149" t="str">
        <f t="shared" ref="R66:R129" si="8">+G66</f>
        <v>161</v>
      </c>
      <c r="S66" s="150">
        <f t="shared" ref="S66:S129" si="9">+H66</f>
        <v>0</v>
      </c>
      <c r="T66" s="152" t="str">
        <f>+VLOOKUP($L66,Data_Validation!$A:$D,1,0)</f>
        <v>161D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1337</v>
      </c>
      <c r="B67" s="718" t="s">
        <v>583</v>
      </c>
      <c r="C67" s="720"/>
      <c r="D67" s="720"/>
      <c r="E67" s="720"/>
      <c r="F67" s="718" t="s">
        <v>1</v>
      </c>
      <c r="G67" s="718" t="s">
        <v>2462</v>
      </c>
      <c r="H67" s="673"/>
      <c r="I67" s="672">
        <v>0.5</v>
      </c>
      <c r="J67" s="672">
        <v>0</v>
      </c>
      <c r="K67" s="672">
        <v>0.5</v>
      </c>
      <c r="L67" s="149" t="str">
        <f t="shared" si="5"/>
        <v>161Z</v>
      </c>
      <c r="M67" s="150" t="str">
        <f t="shared" si="6"/>
        <v>NB EMP. SUPERVISION - ADMIN.</v>
      </c>
      <c r="N67" s="151">
        <f>+IF(OR($Q67=Parametres!$G$2,$Q67=Parametres!$G$3),I67,C67)</f>
        <v>0.5</v>
      </c>
      <c r="O67" s="151">
        <f>+IF(OR($Q67=Parametres!$G$2,$Q67=Parametres!$G$3),J67,D67)</f>
        <v>0</v>
      </c>
      <c r="P67" s="151">
        <f>+IF(OR($Q67=Parametres!$G$2,$Q67=Parametres!$G$3),K67,E67)</f>
        <v>0.5</v>
      </c>
      <c r="Q67" s="150" t="str">
        <f t="shared" si="7"/>
        <v>1-Mémo</v>
      </c>
      <c r="R67" s="149" t="str">
        <f t="shared" si="8"/>
        <v>161</v>
      </c>
      <c r="S67" s="150">
        <f t="shared" si="9"/>
        <v>0</v>
      </c>
      <c r="T67" s="152" t="str">
        <f>+VLOOKUP($L67,Data_Validation!$A:$D,1,0)</f>
        <v>161Z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1338</v>
      </c>
      <c r="B68" s="718" t="s">
        <v>584</v>
      </c>
      <c r="C68" s="720"/>
      <c r="D68" s="720"/>
      <c r="E68" s="720"/>
      <c r="F68" s="718" t="s">
        <v>1</v>
      </c>
      <c r="G68" s="718" t="s">
        <v>584</v>
      </c>
      <c r="H68" s="666"/>
      <c r="I68" s="665">
        <v>1</v>
      </c>
      <c r="J68" s="665">
        <v>0</v>
      </c>
      <c r="K68" s="665">
        <v>1</v>
      </c>
      <c r="L68" s="149" t="str">
        <f t="shared" si="5"/>
        <v>164</v>
      </c>
      <c r="M68" s="150" t="str">
        <f t="shared" si="6"/>
        <v>NB EMP. VENDEURS BMW - F&amp;I</v>
      </c>
      <c r="N68" s="151">
        <f>+IF(OR($Q68=Parametres!$G$2,$Q68=Parametres!$G$3),I68,C68)</f>
        <v>1</v>
      </c>
      <c r="O68" s="151">
        <f>+IF(OR($Q68=Parametres!$G$2,$Q68=Parametres!$G$3),J68,D68)</f>
        <v>0</v>
      </c>
      <c r="P68" s="151">
        <f>+IF(OR($Q68=Parametres!$G$2,$Q68=Parametres!$G$3),K68,E68)</f>
        <v>1</v>
      </c>
      <c r="Q68" s="150" t="str">
        <f t="shared" si="7"/>
        <v>1-Mémo</v>
      </c>
      <c r="R68" s="149" t="str">
        <f t="shared" si="8"/>
        <v>164</v>
      </c>
      <c r="S68" s="150">
        <f t="shared" si="9"/>
        <v>0</v>
      </c>
      <c r="T68" s="152" t="str">
        <f>+VLOOKUP($L68,Data_Validation!$A:$D,1,0)</f>
        <v>164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1339</v>
      </c>
      <c r="B69" s="718" t="s">
        <v>585</v>
      </c>
      <c r="C69" s="720"/>
      <c r="D69" s="720"/>
      <c r="E69" s="720"/>
      <c r="F69" s="718" t="s">
        <v>1</v>
      </c>
      <c r="G69" s="718" t="s">
        <v>584</v>
      </c>
      <c r="H69" s="673"/>
      <c r="I69" s="672">
        <v>2</v>
      </c>
      <c r="J69" s="672">
        <v>0</v>
      </c>
      <c r="K69" s="672">
        <v>2</v>
      </c>
      <c r="L69" s="149" t="str">
        <f t="shared" si="5"/>
        <v>164A</v>
      </c>
      <c r="M69" s="150" t="str">
        <f t="shared" si="6"/>
        <v>NB EMP. VENDEURS BMW - NEUF</v>
      </c>
      <c r="N69" s="151">
        <f>+IF(OR($Q69=Parametres!$G$2,$Q69=Parametres!$G$3),I69,C69)</f>
        <v>2</v>
      </c>
      <c r="O69" s="151">
        <f>+IF(OR($Q69=Parametres!$G$2,$Q69=Parametres!$G$3),J69,D69)</f>
        <v>0</v>
      </c>
      <c r="P69" s="151">
        <f>+IF(OR($Q69=Parametres!$G$2,$Q69=Parametres!$G$3),K69,E69)</f>
        <v>2</v>
      </c>
      <c r="Q69" s="150" t="str">
        <f t="shared" si="7"/>
        <v>1-Mémo</v>
      </c>
      <c r="R69" s="149" t="str">
        <f t="shared" si="8"/>
        <v>164</v>
      </c>
      <c r="S69" s="150">
        <f t="shared" si="9"/>
        <v>0</v>
      </c>
      <c r="T69" s="152" t="str">
        <f>+VLOOKUP($L69,Data_Validation!$A:$D,1,0)</f>
        <v>164A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1340</v>
      </c>
      <c r="B70" s="718" t="s">
        <v>586</v>
      </c>
      <c r="C70" s="720"/>
      <c r="D70" s="720"/>
      <c r="E70" s="720"/>
      <c r="F70" s="718" t="s">
        <v>1</v>
      </c>
      <c r="G70" s="718" t="s">
        <v>584</v>
      </c>
      <c r="H70" s="666"/>
      <c r="I70" s="665">
        <v>2</v>
      </c>
      <c r="J70" s="665">
        <v>0</v>
      </c>
      <c r="K70" s="665">
        <v>2</v>
      </c>
      <c r="L70" s="149" t="str">
        <f t="shared" si="5"/>
        <v>164B</v>
      </c>
      <c r="M70" s="150" t="str">
        <f t="shared" si="6"/>
        <v>NB EMP. VENDEURS BMW - USAGE</v>
      </c>
      <c r="N70" s="151">
        <f>+IF(OR($Q70=Parametres!$G$2,$Q70=Parametres!$G$3),I70,C70)</f>
        <v>2</v>
      </c>
      <c r="O70" s="151">
        <f>+IF(OR($Q70=Parametres!$G$2,$Q70=Parametres!$G$3),J70,D70)</f>
        <v>0</v>
      </c>
      <c r="P70" s="151">
        <f>+IF(OR($Q70=Parametres!$G$2,$Q70=Parametres!$G$3),K70,E70)</f>
        <v>2</v>
      </c>
      <c r="Q70" s="150" t="str">
        <f t="shared" si="7"/>
        <v>1-Mémo</v>
      </c>
      <c r="R70" s="149" t="str">
        <f t="shared" si="8"/>
        <v>164</v>
      </c>
      <c r="S70" s="150">
        <f t="shared" si="9"/>
        <v>0</v>
      </c>
      <c r="T70" s="152" t="str">
        <f>+VLOOKUP($L70,Data_Validation!$A:$D,1,0)</f>
        <v>164B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1341</v>
      </c>
      <c r="B71" s="718" t="s">
        <v>587</v>
      </c>
      <c r="C71" s="720"/>
      <c r="D71" s="720"/>
      <c r="E71" s="720"/>
      <c r="F71" s="718" t="s">
        <v>1</v>
      </c>
      <c r="G71" s="718" t="s">
        <v>587</v>
      </c>
      <c r="H71" s="673"/>
      <c r="I71" s="672">
        <v>2</v>
      </c>
      <c r="J71" s="672">
        <v>0</v>
      </c>
      <c r="K71" s="672">
        <v>2</v>
      </c>
      <c r="L71" s="149" t="str">
        <f t="shared" si="5"/>
        <v>164D</v>
      </c>
      <c r="M71" s="150" t="str">
        <f t="shared" si="6"/>
        <v>NB EMP. COMMIS COMPTOIR - PIECES</v>
      </c>
      <c r="N71" s="151">
        <f>+IF(OR($Q71=Parametres!$G$2,$Q71=Parametres!$G$3),I71,C71)</f>
        <v>2</v>
      </c>
      <c r="O71" s="151">
        <f>+IF(OR($Q71=Parametres!$G$2,$Q71=Parametres!$G$3),J71,D71)</f>
        <v>0</v>
      </c>
      <c r="P71" s="151">
        <f>+IF(OR($Q71=Parametres!$G$2,$Q71=Parametres!$G$3),K71,E71)</f>
        <v>2</v>
      </c>
      <c r="Q71" s="150" t="str">
        <f t="shared" si="7"/>
        <v>1-Mémo</v>
      </c>
      <c r="R71" s="149" t="str">
        <f t="shared" si="8"/>
        <v>164D</v>
      </c>
      <c r="S71" s="150">
        <f t="shared" si="9"/>
        <v>0</v>
      </c>
      <c r="T71" s="152" t="str">
        <f>+VLOOKUP($L71,Data_Validation!$A:$D,1,0)</f>
        <v>164D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2001</v>
      </c>
      <c r="B72" s="718" t="s">
        <v>2002</v>
      </c>
      <c r="C72" s="720"/>
      <c r="D72" s="720"/>
      <c r="E72" s="720"/>
      <c r="F72" s="718" t="s">
        <v>1</v>
      </c>
      <c r="G72" s="718" t="s">
        <v>2003</v>
      </c>
      <c r="H72" s="673"/>
      <c r="I72" s="672">
        <v>0.5</v>
      </c>
      <c r="J72" s="672">
        <v>0</v>
      </c>
      <c r="K72" s="672">
        <v>0.5</v>
      </c>
      <c r="L72" s="149" t="str">
        <f t="shared" si="5"/>
        <v>166A</v>
      </c>
      <c r="M72" s="150" t="str">
        <f t="shared" si="6"/>
        <v>NB EMP. AUTRES - NEUF</v>
      </c>
      <c r="N72" s="151">
        <f>+IF(OR($Q72=Parametres!$G$2,$Q72=Parametres!$G$3),I72,C72)</f>
        <v>0.5</v>
      </c>
      <c r="O72" s="151">
        <f>+IF(OR($Q72=Parametres!$G$2,$Q72=Parametres!$G$3),J72,D72)</f>
        <v>0</v>
      </c>
      <c r="P72" s="151">
        <f>+IF(OR($Q72=Parametres!$G$2,$Q72=Parametres!$G$3),K72,E72)</f>
        <v>0.5</v>
      </c>
      <c r="Q72" s="150" t="str">
        <f t="shared" si="7"/>
        <v>1-Mémo</v>
      </c>
      <c r="R72" s="149" t="str">
        <f t="shared" si="8"/>
        <v>166</v>
      </c>
      <c r="S72" s="150">
        <f t="shared" si="9"/>
        <v>0</v>
      </c>
      <c r="T72" s="152" t="str">
        <f>+VLOOKUP($L72,Data_Validation!$A:$D,1,0)</f>
        <v>166A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2004</v>
      </c>
      <c r="B73" s="718" t="s">
        <v>2005</v>
      </c>
      <c r="C73" s="720"/>
      <c r="D73" s="720"/>
      <c r="E73" s="720"/>
      <c r="F73" s="718" t="s">
        <v>1</v>
      </c>
      <c r="G73" s="718" t="s">
        <v>2003</v>
      </c>
      <c r="H73" s="666"/>
      <c r="I73" s="665">
        <v>0.5</v>
      </c>
      <c r="J73" s="665">
        <v>0</v>
      </c>
      <c r="K73" s="665">
        <v>0.5</v>
      </c>
      <c r="L73" s="149" t="str">
        <f t="shared" si="5"/>
        <v>166B</v>
      </c>
      <c r="M73" s="150" t="str">
        <f t="shared" si="6"/>
        <v>NB EMP. AUTRES - USAGE</v>
      </c>
      <c r="N73" s="151">
        <f>+IF(OR($Q73=Parametres!$G$2,$Q73=Parametres!$G$3),I73,C73)</f>
        <v>0.5</v>
      </c>
      <c r="O73" s="151">
        <f>+IF(OR($Q73=Parametres!$G$2,$Q73=Parametres!$G$3),J73,D73)</f>
        <v>0</v>
      </c>
      <c r="P73" s="151">
        <f>+IF(OR($Q73=Parametres!$G$2,$Q73=Parametres!$G$3),K73,E73)</f>
        <v>0.5</v>
      </c>
      <c r="Q73" s="150" t="str">
        <f t="shared" si="7"/>
        <v>1-Mémo</v>
      </c>
      <c r="R73" s="149" t="str">
        <f t="shared" si="8"/>
        <v>166</v>
      </c>
      <c r="S73" s="150">
        <f t="shared" si="9"/>
        <v>0</v>
      </c>
      <c r="T73" s="152" t="str">
        <f>+VLOOKUP($L73,Data_Validation!$A:$D,1,0)</f>
        <v>166B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1342</v>
      </c>
      <c r="B74" s="718" t="s">
        <v>588</v>
      </c>
      <c r="C74" s="720"/>
      <c r="D74" s="720"/>
      <c r="E74" s="720"/>
      <c r="F74" s="718" t="s">
        <v>1</v>
      </c>
      <c r="G74" s="718" t="s">
        <v>2003</v>
      </c>
      <c r="H74" s="673"/>
      <c r="I74" s="672">
        <v>1.5</v>
      </c>
      <c r="J74" s="672">
        <v>0</v>
      </c>
      <c r="K74" s="672">
        <v>1.5</v>
      </c>
      <c r="L74" s="149" t="str">
        <f t="shared" si="5"/>
        <v>166C</v>
      </c>
      <c r="M74" s="150" t="str">
        <f t="shared" si="6"/>
        <v>NB EMP. AUTRES - SERVICE</v>
      </c>
      <c r="N74" s="151">
        <f>+IF(OR($Q74=Parametres!$G$2,$Q74=Parametres!$G$3),I74,C74)</f>
        <v>1.5</v>
      </c>
      <c r="O74" s="151">
        <f>+IF(OR($Q74=Parametres!$G$2,$Q74=Parametres!$G$3),J74,D74)</f>
        <v>0</v>
      </c>
      <c r="P74" s="151">
        <f>+IF(OR($Q74=Parametres!$G$2,$Q74=Parametres!$G$3),K74,E74)</f>
        <v>1.5</v>
      </c>
      <c r="Q74" s="150" t="str">
        <f t="shared" si="7"/>
        <v>1-Mémo</v>
      </c>
      <c r="R74" s="149" t="str">
        <f t="shared" si="8"/>
        <v>166</v>
      </c>
      <c r="S74" s="150">
        <f t="shared" si="9"/>
        <v>0</v>
      </c>
      <c r="T74" s="152" t="str">
        <f>+VLOOKUP($L74,Data_Validation!$A:$D,1,0)</f>
        <v>166C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1343</v>
      </c>
      <c r="B75" s="718" t="s">
        <v>589</v>
      </c>
      <c r="C75" s="720"/>
      <c r="D75" s="720"/>
      <c r="E75" s="720"/>
      <c r="F75" s="718" t="s">
        <v>1</v>
      </c>
      <c r="G75" s="718" t="s">
        <v>2003</v>
      </c>
      <c r="H75" s="666"/>
      <c r="I75" s="665">
        <v>2</v>
      </c>
      <c r="J75" s="665">
        <v>0</v>
      </c>
      <c r="K75" s="665">
        <v>2</v>
      </c>
      <c r="L75" s="149" t="str">
        <f t="shared" si="5"/>
        <v>166Z</v>
      </c>
      <c r="M75" s="150" t="str">
        <f t="shared" si="6"/>
        <v>NB EMP. AUTRES - ADMIN.</v>
      </c>
      <c r="N75" s="151">
        <f>+IF(OR($Q75=Parametres!$G$2,$Q75=Parametres!$G$3),I75,C75)</f>
        <v>2</v>
      </c>
      <c r="O75" s="151">
        <f>+IF(OR($Q75=Parametres!$G$2,$Q75=Parametres!$G$3),J75,D75)</f>
        <v>0</v>
      </c>
      <c r="P75" s="151">
        <f>+IF(OR($Q75=Parametres!$G$2,$Q75=Parametres!$G$3),K75,E75)</f>
        <v>2</v>
      </c>
      <c r="Q75" s="150" t="str">
        <f t="shared" si="7"/>
        <v>1-Mémo</v>
      </c>
      <c r="R75" s="149" t="str">
        <f t="shared" si="8"/>
        <v>166</v>
      </c>
      <c r="S75" s="150">
        <f t="shared" si="9"/>
        <v>0</v>
      </c>
      <c r="T75" s="152" t="str">
        <f>+VLOOKUP($L75,Data_Validation!$A:$D,1,0)</f>
        <v>166Z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1344</v>
      </c>
      <c r="B76" s="718" t="s">
        <v>590</v>
      </c>
      <c r="C76" s="720"/>
      <c r="D76" s="720"/>
      <c r="E76" s="720"/>
      <c r="F76" s="718" t="s">
        <v>1</v>
      </c>
      <c r="G76" s="718" t="s">
        <v>2468</v>
      </c>
      <c r="H76" s="673"/>
      <c r="I76" s="672">
        <v>4</v>
      </c>
      <c r="J76" s="672">
        <v>0</v>
      </c>
      <c r="K76" s="672">
        <v>4</v>
      </c>
      <c r="L76" s="149" t="str">
        <f t="shared" si="5"/>
        <v>170C</v>
      </c>
      <c r="M76" s="150" t="str">
        <f t="shared" si="6"/>
        <v>NB EMP. MECANICIENS - SERVICE</v>
      </c>
      <c r="N76" s="151">
        <f>+IF(OR($Q76=Parametres!$G$2,$Q76=Parametres!$G$3),I76,C76)</f>
        <v>4</v>
      </c>
      <c r="O76" s="151">
        <f>+IF(OR($Q76=Parametres!$G$2,$Q76=Parametres!$G$3),J76,D76)</f>
        <v>0</v>
      </c>
      <c r="P76" s="151">
        <f>+IF(OR($Q76=Parametres!$G$2,$Q76=Parametres!$G$3),K76,E76)</f>
        <v>4</v>
      </c>
      <c r="Q76" s="150" t="str">
        <f t="shared" si="7"/>
        <v>1-Mémo</v>
      </c>
      <c r="R76" s="149" t="str">
        <f t="shared" si="8"/>
        <v>170</v>
      </c>
      <c r="S76" s="150">
        <f t="shared" si="9"/>
        <v>0</v>
      </c>
      <c r="T76" s="152" t="str">
        <f>+VLOOKUP($L76,Data_Validation!$A:$D,1,0)</f>
        <v>170C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1345</v>
      </c>
      <c r="B77" s="718" t="s">
        <v>1346</v>
      </c>
      <c r="C77" s="720"/>
      <c r="D77" s="720"/>
      <c r="E77" s="720"/>
      <c r="F77" s="718" t="s">
        <v>1</v>
      </c>
      <c r="G77" s="718" t="s">
        <v>1346</v>
      </c>
      <c r="H77" s="666"/>
      <c r="I77" s="665">
        <v>0.08</v>
      </c>
      <c r="J77" s="665">
        <v>0</v>
      </c>
      <c r="K77" s="665">
        <v>0.08</v>
      </c>
      <c r="L77" s="149" t="str">
        <f t="shared" si="5"/>
        <v>172M</v>
      </c>
      <c r="M77" s="150" t="str">
        <f t="shared" si="6"/>
        <v># DE BAIE DE TECHNICIEN</v>
      </c>
      <c r="N77" s="151">
        <f>+IF(OR($Q77=Parametres!$G$2,$Q77=Parametres!$G$3),I77,C77)</f>
        <v>0.08</v>
      </c>
      <c r="O77" s="151">
        <f>+IF(OR($Q77=Parametres!$G$2,$Q77=Parametres!$G$3),J77,D77)</f>
        <v>0</v>
      </c>
      <c r="P77" s="151">
        <f>+IF(OR($Q77=Parametres!$G$2,$Q77=Parametres!$G$3),K77,E77)</f>
        <v>0.08</v>
      </c>
      <c r="Q77" s="150" t="str">
        <f t="shared" si="7"/>
        <v>1-Mémo</v>
      </c>
      <c r="R77" s="149" t="str">
        <f t="shared" si="8"/>
        <v>172M</v>
      </c>
      <c r="S77" s="150">
        <f t="shared" si="9"/>
        <v>0</v>
      </c>
      <c r="T77" s="152" t="str">
        <f>+VLOOKUP($L77,Data_Validation!$A:$D,1,0)</f>
        <v>172M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1347</v>
      </c>
      <c r="B78" s="718" t="s">
        <v>1348</v>
      </c>
      <c r="C78" s="720"/>
      <c r="D78" s="720"/>
      <c r="E78" s="720"/>
      <c r="F78" s="718" t="s">
        <v>1</v>
      </c>
      <c r="G78" s="718" t="s">
        <v>1348</v>
      </c>
      <c r="H78" s="673"/>
      <c r="I78" s="672">
        <v>0.04</v>
      </c>
      <c r="J78" s="672">
        <v>0</v>
      </c>
      <c r="K78" s="672">
        <v>0.04</v>
      </c>
      <c r="L78" s="149" t="str">
        <f t="shared" si="5"/>
        <v>172N</v>
      </c>
      <c r="M78" s="150" t="str">
        <f t="shared" si="6"/>
        <v># DE BAIE DE LAVAGE</v>
      </c>
      <c r="N78" s="151">
        <f>+IF(OR($Q78=Parametres!$G$2,$Q78=Parametres!$G$3),I78,C78)</f>
        <v>0.04</v>
      </c>
      <c r="O78" s="151">
        <f>+IF(OR($Q78=Parametres!$G$2,$Q78=Parametres!$G$3),J78,D78)</f>
        <v>0</v>
      </c>
      <c r="P78" s="151">
        <f>+IF(OR($Q78=Parametres!$G$2,$Q78=Parametres!$G$3),K78,E78)</f>
        <v>0.04</v>
      </c>
      <c r="Q78" s="150" t="str">
        <f t="shared" si="7"/>
        <v>1-Mémo</v>
      </c>
      <c r="R78" s="149" t="str">
        <f t="shared" si="8"/>
        <v>172N</v>
      </c>
      <c r="S78" s="150">
        <f t="shared" si="9"/>
        <v>0</v>
      </c>
      <c r="T78" s="152" t="str">
        <f>+VLOOKUP($L78,Data_Validation!$A:$D,1,0)</f>
        <v>172N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1349</v>
      </c>
      <c r="B79" s="718" t="s">
        <v>591</v>
      </c>
      <c r="C79" s="720"/>
      <c r="D79" s="720"/>
      <c r="E79" s="720"/>
      <c r="F79" s="718" t="s">
        <v>1</v>
      </c>
      <c r="G79" s="718" t="s">
        <v>2463</v>
      </c>
      <c r="H79" s="673"/>
      <c r="I79" s="672">
        <v>1</v>
      </c>
      <c r="J79" s="672">
        <v>0</v>
      </c>
      <c r="K79" s="672">
        <v>1</v>
      </c>
      <c r="L79" s="149" t="str">
        <f t="shared" si="5"/>
        <v>173C</v>
      </c>
      <c r="M79" s="150" t="str">
        <f t="shared" si="6"/>
        <v>NB EMP. AVISEURS - SERVICE</v>
      </c>
      <c r="N79" s="151">
        <f>+IF(OR($Q79=Parametres!$G$2,$Q79=Parametres!$G$3),I79,C79)</f>
        <v>1</v>
      </c>
      <c r="O79" s="151">
        <f>+IF(OR($Q79=Parametres!$G$2,$Q79=Parametres!$G$3),J79,D79)</f>
        <v>0</v>
      </c>
      <c r="P79" s="151">
        <f>+IF(OR($Q79=Parametres!$G$2,$Q79=Parametres!$G$3),K79,E79)</f>
        <v>1</v>
      </c>
      <c r="Q79" s="150" t="str">
        <f t="shared" si="7"/>
        <v>1-Mémo</v>
      </c>
      <c r="R79" s="149" t="str">
        <f t="shared" si="8"/>
        <v>173</v>
      </c>
      <c r="S79" s="150">
        <f t="shared" si="9"/>
        <v>0</v>
      </c>
      <c r="T79" s="152" t="str">
        <f>+VLOOKUP($L79,Data_Validation!$A:$D,1,0)</f>
        <v>173C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1350</v>
      </c>
      <c r="B80" s="718" t="s">
        <v>592</v>
      </c>
      <c r="C80" s="720"/>
      <c r="D80" s="720"/>
      <c r="E80" s="720"/>
      <c r="F80" s="718" t="s">
        <v>1</v>
      </c>
      <c r="G80" s="718" t="s">
        <v>2464</v>
      </c>
      <c r="H80" s="607"/>
      <c r="I80" s="609">
        <v>179.95</v>
      </c>
      <c r="J80" s="609">
        <v>0</v>
      </c>
      <c r="K80" s="609">
        <v>179.95</v>
      </c>
      <c r="L80" s="149" t="str">
        <f t="shared" si="5"/>
        <v>175A</v>
      </c>
      <c r="M80" s="150" t="str">
        <f t="shared" si="6"/>
        <v>TAUX M/O CLIENT BMW</v>
      </c>
      <c r="N80" s="151">
        <f>+IF(OR($Q80=Parametres!$G$2,$Q80=Parametres!$G$3),I80,C80)</f>
        <v>179.95</v>
      </c>
      <c r="O80" s="504">
        <f>+IF(OR($Q80=Parametres!$G$2,$Q80=Parametres!$G$3),J80,D80)</f>
        <v>0</v>
      </c>
      <c r="P80" s="151">
        <f>+IF(OR($Q80=Parametres!$G$2,$Q80=Parametres!$G$3),K80,E80)</f>
        <v>179.95</v>
      </c>
      <c r="Q80" s="150" t="str">
        <f t="shared" si="7"/>
        <v>1-Mémo</v>
      </c>
      <c r="R80" s="149" t="str">
        <f t="shared" si="8"/>
        <v>175</v>
      </c>
      <c r="S80" s="150">
        <f t="shared" si="9"/>
        <v>0</v>
      </c>
      <c r="T80" s="152" t="str">
        <f>+VLOOKUP($L80,Data_Validation!$A:$D,1,0)</f>
        <v>175A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1351</v>
      </c>
      <c r="B81" s="718" t="s">
        <v>593</v>
      </c>
      <c r="C81" s="720"/>
      <c r="D81" s="720"/>
      <c r="E81" s="720"/>
      <c r="F81" s="718" t="s">
        <v>1</v>
      </c>
      <c r="G81" s="718" t="s">
        <v>2465</v>
      </c>
      <c r="H81" s="673"/>
      <c r="I81" s="672">
        <v>135.24</v>
      </c>
      <c r="J81" s="672">
        <v>0</v>
      </c>
      <c r="K81" s="672">
        <v>135.24</v>
      </c>
      <c r="L81" s="149" t="str">
        <f t="shared" si="5"/>
        <v>176A</v>
      </c>
      <c r="M81" s="150" t="str">
        <f t="shared" si="6"/>
        <v>TAUX M/O GARANTIE BMW</v>
      </c>
      <c r="N81" s="151">
        <f>+IF(OR($Q81=Parametres!$G$2,$Q81=Parametres!$G$3),I81,C81)</f>
        <v>135.24</v>
      </c>
      <c r="O81" s="151">
        <f>+IF(OR($Q81=Parametres!$G$2,$Q81=Parametres!$G$3),J81,D81)</f>
        <v>0</v>
      </c>
      <c r="P81" s="151">
        <f>+IF(OR($Q81=Parametres!$G$2,$Q81=Parametres!$G$3),K81,E81)</f>
        <v>135.24</v>
      </c>
      <c r="Q81" s="150" t="str">
        <f t="shared" si="7"/>
        <v>1-Mémo</v>
      </c>
      <c r="R81" s="149" t="str">
        <f t="shared" si="8"/>
        <v>176</v>
      </c>
      <c r="S81" s="150">
        <f t="shared" si="9"/>
        <v>0</v>
      </c>
      <c r="T81" s="152" t="str">
        <f>+VLOOKUP($L81,Data_Validation!$A:$D,1,0)</f>
        <v>176A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1352</v>
      </c>
      <c r="B82" s="671" t="s">
        <v>594</v>
      </c>
      <c r="C82" s="672"/>
      <c r="D82" s="672"/>
      <c r="E82" s="672"/>
      <c r="F82" s="671" t="s">
        <v>1</v>
      </c>
      <c r="G82" s="671" t="s">
        <v>2466</v>
      </c>
      <c r="H82" s="666"/>
      <c r="I82" s="665">
        <v>179.95</v>
      </c>
      <c r="J82" s="665">
        <v>0</v>
      </c>
      <c r="K82" s="665">
        <v>179.95</v>
      </c>
      <c r="L82" s="149" t="str">
        <f t="shared" si="5"/>
        <v>177A</v>
      </c>
      <c r="M82" s="150" t="str">
        <f t="shared" si="6"/>
        <v>TAUX M/O INTERNE BMW</v>
      </c>
      <c r="N82" s="151">
        <f>+IF(OR($Q82=Parametres!$G$2,$Q82=Parametres!$G$3),I82,C82)</f>
        <v>179.95</v>
      </c>
      <c r="O82" s="151">
        <f>+IF(OR($Q82=Parametres!$G$2,$Q82=Parametres!$G$3),J82,D82)</f>
        <v>0</v>
      </c>
      <c r="P82" s="151">
        <f>+IF(OR($Q82=Parametres!$G$2,$Q82=Parametres!$G$3),K82,E82)</f>
        <v>179.95</v>
      </c>
      <c r="Q82" s="150" t="str">
        <f t="shared" si="7"/>
        <v>1-Mémo</v>
      </c>
      <c r="R82" s="149" t="str">
        <f t="shared" si="8"/>
        <v>177</v>
      </c>
      <c r="S82" s="150">
        <f t="shared" si="9"/>
        <v>0</v>
      </c>
      <c r="T82" s="152" t="str">
        <f>+VLOOKUP($L82,Data_Validation!$A:$D,1,0)</f>
        <v>177A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1353</v>
      </c>
      <c r="B83" s="718" t="s">
        <v>1354</v>
      </c>
      <c r="C83" s="720"/>
      <c r="D83" s="720"/>
      <c r="E83" s="720"/>
      <c r="F83" s="718" t="s">
        <v>1</v>
      </c>
      <c r="G83" s="718" t="s">
        <v>2466</v>
      </c>
      <c r="H83" s="673"/>
      <c r="I83" s="672">
        <v>70</v>
      </c>
      <c r="J83" s="672">
        <v>0</v>
      </c>
      <c r="K83" s="672">
        <v>70</v>
      </c>
      <c r="L83" s="149" t="str">
        <f t="shared" si="5"/>
        <v>177S</v>
      </c>
      <c r="M83" s="150" t="str">
        <f t="shared" si="6"/>
        <v>TAUX M/O PROGRAMME SPA BMW</v>
      </c>
      <c r="N83" s="151">
        <f>+IF(OR($Q83=Parametres!$G$2,$Q83=Parametres!$G$3),I83,C83)</f>
        <v>70</v>
      </c>
      <c r="O83" s="151">
        <f>+IF(OR($Q83=Parametres!$G$2,$Q83=Parametres!$G$3),J83,D83)</f>
        <v>0</v>
      </c>
      <c r="P83" s="151">
        <f>+IF(OR($Q83=Parametres!$G$2,$Q83=Parametres!$G$3),K83,E83)</f>
        <v>70</v>
      </c>
      <c r="Q83" s="150" t="str">
        <f t="shared" si="7"/>
        <v>1-Mémo</v>
      </c>
      <c r="R83" s="149" t="str">
        <f t="shared" si="8"/>
        <v>177</v>
      </c>
      <c r="S83" s="150">
        <f t="shared" si="9"/>
        <v>0</v>
      </c>
      <c r="T83" s="152" t="str">
        <f>+VLOOKUP($L83,Data_Validation!$A:$D,1,0)</f>
        <v>177S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1355</v>
      </c>
      <c r="B84" s="718" t="s">
        <v>595</v>
      </c>
      <c r="C84" s="720"/>
      <c r="D84" s="720"/>
      <c r="E84" s="720"/>
      <c r="F84" s="718" t="s">
        <v>1</v>
      </c>
      <c r="G84" s="718" t="s">
        <v>2467</v>
      </c>
      <c r="H84" s="673"/>
      <c r="I84" s="672">
        <v>133.69</v>
      </c>
      <c r="J84" s="672">
        <v>25.52</v>
      </c>
      <c r="K84" s="672">
        <v>159.21</v>
      </c>
      <c r="L84" s="149" t="str">
        <f t="shared" si="5"/>
        <v>178D</v>
      </c>
      <c r="M84" s="150" t="str">
        <f t="shared" si="6"/>
        <v>PRODUCTIVITE TECHNICIEN</v>
      </c>
      <c r="N84" s="151">
        <f>+IF(OR($Q84=Parametres!$G$2,$Q84=Parametres!$G$3),I84,C84)</f>
        <v>133.69</v>
      </c>
      <c r="O84" s="151">
        <f>+IF(OR($Q84=Parametres!$G$2,$Q84=Parametres!$G$3),J84,D84)</f>
        <v>25.52</v>
      </c>
      <c r="P84" s="151">
        <f>+IF(OR($Q84=Parametres!$G$2,$Q84=Parametres!$G$3),K84,E84)</f>
        <v>159.21</v>
      </c>
      <c r="Q84" s="150" t="str">
        <f t="shared" si="7"/>
        <v>1-Mémo</v>
      </c>
      <c r="R84" s="149" t="str">
        <f t="shared" si="8"/>
        <v>178</v>
      </c>
      <c r="S84" s="150">
        <f t="shared" si="9"/>
        <v>0</v>
      </c>
      <c r="T84" s="152" t="str">
        <f>+VLOOKUP($L84,Data_Validation!$A:$D,1,0)</f>
        <v>178D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1356</v>
      </c>
      <c r="B85" s="718" t="s">
        <v>596</v>
      </c>
      <c r="C85" s="720"/>
      <c r="D85" s="720"/>
      <c r="E85" s="720"/>
      <c r="F85" s="718" t="s">
        <v>1</v>
      </c>
      <c r="G85" s="718" t="s">
        <v>596</v>
      </c>
      <c r="H85" s="673"/>
      <c r="I85" s="672">
        <v>0.62</v>
      </c>
      <c r="J85" s="672">
        <v>0.22</v>
      </c>
      <c r="K85" s="672">
        <v>0.84</v>
      </c>
      <c r="L85" s="149" t="str">
        <f t="shared" si="5"/>
        <v>179</v>
      </c>
      <c r="M85" s="150" t="str">
        <f t="shared" si="6"/>
        <v>NOMBRE DE JOURS OUVRABLE SERVICE</v>
      </c>
      <c r="N85" s="151">
        <f>+IF(OR($Q85=Parametres!$G$2,$Q85=Parametres!$G$3),I85,C85)</f>
        <v>0.62</v>
      </c>
      <c r="O85" s="151">
        <f>+IF(OR($Q85=Parametres!$G$2,$Q85=Parametres!$G$3),J85,D85)</f>
        <v>0.22</v>
      </c>
      <c r="P85" s="151">
        <f>+IF(OR($Q85=Parametres!$G$2,$Q85=Parametres!$G$3),K85,E85)</f>
        <v>0.84</v>
      </c>
      <c r="Q85" s="150" t="str">
        <f t="shared" si="7"/>
        <v>1-Mémo</v>
      </c>
      <c r="R85" s="149" t="str">
        <f t="shared" si="8"/>
        <v>179</v>
      </c>
      <c r="S85" s="150">
        <f t="shared" si="9"/>
        <v>0</v>
      </c>
      <c r="T85" s="152" t="str">
        <f>+VLOOKUP($L85,Data_Validation!$A:$D,1,0)</f>
        <v>179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359</v>
      </c>
      <c r="B86" s="718" t="s">
        <v>372</v>
      </c>
      <c r="C86" s="720">
        <v>700</v>
      </c>
      <c r="D86" s="720">
        <v>0</v>
      </c>
      <c r="E86" s="720">
        <v>700</v>
      </c>
      <c r="F86" s="718" t="s">
        <v>2228</v>
      </c>
      <c r="G86" s="718" t="s">
        <v>372</v>
      </c>
      <c r="H86" s="609"/>
      <c r="I86" s="608"/>
      <c r="J86" s="608"/>
      <c r="K86" s="608"/>
      <c r="L86" s="149" t="str">
        <f t="shared" si="5"/>
        <v>200</v>
      </c>
      <c r="M86" s="150" t="str">
        <f t="shared" si="6"/>
        <v>PETITE CAISSE</v>
      </c>
      <c r="N86" s="151">
        <f>+IF(OR($Q86=Parametres!$G$2,$Q86=Parametres!$G$3),I86,C86)</f>
        <v>700</v>
      </c>
      <c r="O86" s="151">
        <f>+IF(OR($Q86=Parametres!$G$2,$Q86=Parametres!$G$3),J86,D86)</f>
        <v>0</v>
      </c>
      <c r="P86" s="151">
        <f>+IF(OR($Q86=Parametres!$G$2,$Q86=Parametres!$G$3),K86,E86)</f>
        <v>700</v>
      </c>
      <c r="Q86" s="150" t="str">
        <f t="shared" si="7"/>
        <v>2-Actifs</v>
      </c>
      <c r="R86" s="149" t="str">
        <f t="shared" si="8"/>
        <v>200</v>
      </c>
      <c r="S86" s="150">
        <f t="shared" si="9"/>
        <v>0</v>
      </c>
      <c r="T86" s="152" t="str">
        <f>+VLOOKUP($L86,Data_Validation!$A:$D,1,0)</f>
        <v>200</v>
      </c>
      <c r="U86" s="152" t="str">
        <f>+VLOOKUP($L86,Data_Validation!$A:$D,3,0)</f>
        <v>Bilan</v>
      </c>
      <c r="V86" s="152" t="str">
        <f>+VLOOKUP($L86,Data_Validation!$A:$D,4,0)</f>
        <v>encaisse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1070</v>
      </c>
      <c r="B87" s="718" t="s">
        <v>360</v>
      </c>
      <c r="C87" s="719">
        <v>968049.07</v>
      </c>
      <c r="D87" s="719">
        <v>-509607.34</v>
      </c>
      <c r="E87" s="719">
        <v>458441.73</v>
      </c>
      <c r="F87" s="718" t="s">
        <v>2228</v>
      </c>
      <c r="G87" s="718" t="s">
        <v>360</v>
      </c>
      <c r="H87" s="719"/>
      <c r="I87" s="720"/>
      <c r="J87" s="720"/>
      <c r="K87" s="720"/>
      <c r="L87" s="149" t="str">
        <f t="shared" si="5"/>
        <v>202</v>
      </c>
      <c r="M87" s="150" t="str">
        <f t="shared" si="6"/>
        <v>ENCAISSE</v>
      </c>
      <c r="N87" s="151">
        <f>+IF(OR($Q87=Parametres!$G$2,$Q87=Parametres!$G$3),I87,C87)</f>
        <v>968049.07</v>
      </c>
      <c r="O87" s="504">
        <f>+IF(OR($Q87=Parametres!$G$2,$Q87=Parametres!$G$3),J87,D87)</f>
        <v>-509607.34</v>
      </c>
      <c r="P87" s="151">
        <f>+IF(OR($Q87=Parametres!$G$2,$Q87=Parametres!$G$3),K87,E87)</f>
        <v>458441.73</v>
      </c>
      <c r="Q87" s="150" t="str">
        <f t="shared" si="7"/>
        <v>2-Actifs</v>
      </c>
      <c r="R87" s="149" t="str">
        <f t="shared" si="8"/>
        <v>202</v>
      </c>
      <c r="S87" s="150">
        <f t="shared" si="9"/>
        <v>0</v>
      </c>
      <c r="T87" s="152" t="str">
        <f>+VLOOKUP($L87,Data_Validation!$A:$D,1,0)</f>
        <v>202</v>
      </c>
      <c r="U87" s="152" t="str">
        <f>+VLOOKUP($L87,Data_Validation!$A:$D,3,0)</f>
        <v>Bilan</v>
      </c>
      <c r="V87" s="152" t="str">
        <f>+VLOOKUP($L87,Data_Validation!$A:$D,4,0)</f>
        <v>encaisse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2340</v>
      </c>
      <c r="B88" s="671" t="s">
        <v>2341</v>
      </c>
      <c r="C88" s="672">
        <v>1300000</v>
      </c>
      <c r="D88" s="672">
        <v>0</v>
      </c>
      <c r="E88" s="672">
        <v>1300000</v>
      </c>
      <c r="F88" s="671" t="s">
        <v>2228</v>
      </c>
      <c r="G88" s="671" t="s">
        <v>360</v>
      </c>
      <c r="H88" s="666"/>
      <c r="I88" s="665"/>
      <c r="J88" s="665"/>
      <c r="K88" s="665"/>
      <c r="L88" s="149" t="str">
        <f t="shared" si="5"/>
        <v>202B</v>
      </c>
      <c r="M88" s="150" t="str">
        <f t="shared" si="6"/>
        <v>PAIEMENTS FORFAITAIRES FLOOR PLAN</v>
      </c>
      <c r="N88" s="151">
        <f>+IF(OR($Q88=Parametres!$G$2,$Q88=Parametres!$G$3),I88,C88)</f>
        <v>1300000</v>
      </c>
      <c r="O88" s="151">
        <f>+IF(OR($Q88=Parametres!$G$2,$Q88=Parametres!$G$3),J88,D88)</f>
        <v>0</v>
      </c>
      <c r="P88" s="151">
        <f>+IF(OR($Q88=Parametres!$G$2,$Q88=Parametres!$G$3),K88,E88)</f>
        <v>1300000</v>
      </c>
      <c r="Q88" s="150" t="str">
        <f t="shared" si="7"/>
        <v>2-Actifs</v>
      </c>
      <c r="R88" s="149" t="str">
        <f t="shared" si="8"/>
        <v>202</v>
      </c>
      <c r="S88" s="150">
        <f t="shared" si="9"/>
        <v>0</v>
      </c>
      <c r="T88" s="152" t="str">
        <f>+VLOOKUP($L88,Data_Validation!$A:$D,1,0)</f>
        <v>202B</v>
      </c>
      <c r="U88" s="152" t="str">
        <f>+VLOOKUP($L88,Data_Validation!$A:$D,3,0)</f>
        <v>bilan</v>
      </c>
      <c r="V88" s="152" t="str">
        <f>+VLOOKUP($L88,Data_Validation!$A:$D,4,0)</f>
        <v>Encaisse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400</v>
      </c>
      <c r="B89" s="718" t="s">
        <v>371</v>
      </c>
      <c r="C89" s="720">
        <v>356068.39</v>
      </c>
      <c r="D89" s="720">
        <v>283228.08</v>
      </c>
      <c r="E89" s="720">
        <v>639296.47</v>
      </c>
      <c r="F89" s="718" t="s">
        <v>2228</v>
      </c>
      <c r="G89" s="718" t="s">
        <v>371</v>
      </c>
      <c r="H89" s="673"/>
      <c r="I89" s="672"/>
      <c r="J89" s="672"/>
      <c r="K89" s="672"/>
      <c r="L89" s="149" t="str">
        <f t="shared" si="5"/>
        <v>205</v>
      </c>
      <c r="M89" s="150" t="str">
        <f t="shared" si="6"/>
        <v>CONTRATS EN TRANSIT</v>
      </c>
      <c r="N89" s="151">
        <f>+IF(OR($Q89=Parametres!$G$2,$Q89=Parametres!$G$3),I89,C89)</f>
        <v>356068.39</v>
      </c>
      <c r="O89" s="504">
        <f>+IF(OR($Q89=Parametres!$G$2,$Q89=Parametres!$G$3),J89,D89)</f>
        <v>283228.08</v>
      </c>
      <c r="P89" s="151">
        <f>+IF(OR($Q89=Parametres!$G$2,$Q89=Parametres!$G$3),K89,E89)</f>
        <v>639296.47</v>
      </c>
      <c r="Q89" s="150" t="str">
        <f t="shared" si="7"/>
        <v>2-Actifs</v>
      </c>
      <c r="R89" s="149" t="str">
        <f t="shared" si="8"/>
        <v>205</v>
      </c>
      <c r="S89" s="150">
        <f t="shared" si="9"/>
        <v>0</v>
      </c>
      <c r="T89" s="152" t="str">
        <f>+VLOOKUP($L89,Data_Validation!$A:$D,1,0)</f>
        <v>205</v>
      </c>
      <c r="U89" s="152" t="str">
        <f>+VLOOKUP($L89,Data_Validation!$A:$D,3,0)</f>
        <v>Bilan</v>
      </c>
      <c r="V89" s="152" t="str">
        <f>+VLOOKUP($L89,Data_Validation!$A:$D,4,0)</f>
        <v>Recevables Contrats en Transit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1094</v>
      </c>
      <c r="B90" s="718" t="s">
        <v>376</v>
      </c>
      <c r="C90" s="720">
        <v>39758.879999999997</v>
      </c>
      <c r="D90" s="720">
        <v>-118009.25</v>
      </c>
      <c r="E90" s="720">
        <v>-78250.37</v>
      </c>
      <c r="F90" s="718" t="s">
        <v>2228</v>
      </c>
      <c r="G90" s="718" t="s">
        <v>376</v>
      </c>
      <c r="H90" s="666"/>
      <c r="I90" s="665"/>
      <c r="J90" s="665"/>
      <c r="K90" s="665"/>
      <c r="L90" s="149" t="str">
        <f t="shared" si="5"/>
        <v>210</v>
      </c>
      <c r="M90" s="150" t="str">
        <f t="shared" si="6"/>
        <v>RECEVABLES VEHICULES</v>
      </c>
      <c r="N90" s="151">
        <f>+IF(OR($Q90=Parametres!$G$2,$Q90=Parametres!$G$3),I90,C90)</f>
        <v>39758.879999999997</v>
      </c>
      <c r="O90" s="151">
        <f>+IF(OR($Q90=Parametres!$G$2,$Q90=Parametres!$G$3),J90,D90)</f>
        <v>-118009.25</v>
      </c>
      <c r="P90" s="151">
        <f>+IF(OR($Q90=Parametres!$G$2,$Q90=Parametres!$G$3),K90,E90)</f>
        <v>-78250.37</v>
      </c>
      <c r="Q90" s="150" t="str">
        <f t="shared" si="7"/>
        <v>2-Actifs</v>
      </c>
      <c r="R90" s="149" t="str">
        <f t="shared" si="8"/>
        <v>210</v>
      </c>
      <c r="S90" s="150">
        <f t="shared" si="9"/>
        <v>0</v>
      </c>
      <c r="T90" s="152" t="str">
        <f>+VLOOKUP($L90,Data_Validation!$A:$D,1,0)</f>
        <v>210</v>
      </c>
      <c r="U90" s="152" t="str">
        <f>+VLOOKUP($L90,Data_Validation!$A:$D,3,0)</f>
        <v>Bilan</v>
      </c>
      <c r="V90" s="152" t="str">
        <f>+VLOOKUP($L90,Data_Validation!$A:$D,4,0)</f>
        <v>Recevables Véhicules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1074</v>
      </c>
      <c r="B91" s="718" t="s">
        <v>398</v>
      </c>
      <c r="C91" s="719">
        <v>155811.82999999999</v>
      </c>
      <c r="D91" s="719">
        <v>164196.19</v>
      </c>
      <c r="E91" s="719">
        <v>320008.02</v>
      </c>
      <c r="F91" s="718" t="s">
        <v>2228</v>
      </c>
      <c r="G91" s="718" t="s">
        <v>376</v>
      </c>
      <c r="H91" s="719"/>
      <c r="I91" s="720"/>
      <c r="J91" s="720"/>
      <c r="K91" s="720"/>
      <c r="L91" s="149" t="str">
        <f t="shared" si="5"/>
        <v>210A</v>
      </c>
      <c r="M91" s="150" t="str">
        <f t="shared" si="6"/>
        <v>WHOLESALE &amp; ECHANGE A/R</v>
      </c>
      <c r="N91" s="151">
        <f>+IF(OR($Q91=Parametres!$G$2,$Q91=Parametres!$G$3),I91,C91)</f>
        <v>155811.82999999999</v>
      </c>
      <c r="O91" s="505">
        <f>+IF(OR($Q91=Parametres!$G$2,$Q91=Parametres!$G$3),J91,D91)</f>
        <v>164196.19</v>
      </c>
      <c r="P91" s="151">
        <f>+IF(OR($Q91=Parametres!$G$2,$Q91=Parametres!$G$3),K91,E91)</f>
        <v>320008.02</v>
      </c>
      <c r="Q91" s="150" t="str">
        <f t="shared" si="7"/>
        <v>2-Actifs</v>
      </c>
      <c r="R91" s="149" t="str">
        <f t="shared" si="8"/>
        <v>210</v>
      </c>
      <c r="S91" s="150">
        <f t="shared" si="9"/>
        <v>0</v>
      </c>
      <c r="T91" s="152" t="str">
        <f>+VLOOKUP($L91,Data_Validation!$A:$D,1,0)</f>
        <v>210A</v>
      </c>
      <c r="U91" s="152" t="str">
        <f>+VLOOKUP($L91,Data_Validation!$A:$D,3,0)</f>
        <v>Bilan</v>
      </c>
      <c r="V91" s="152" t="str">
        <f>+VLOOKUP($L91,Data_Validation!$A:$D,4,0)</f>
        <v>Recevables Véhicules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2342</v>
      </c>
      <c r="B92" s="718" t="s">
        <v>2343</v>
      </c>
      <c r="C92" s="720">
        <v>100925</v>
      </c>
      <c r="D92" s="720">
        <v>-60925</v>
      </c>
      <c r="E92" s="720">
        <v>40000</v>
      </c>
      <c r="F92" s="718" t="s">
        <v>2228</v>
      </c>
      <c r="G92" s="718" t="s">
        <v>376</v>
      </c>
      <c r="H92" s="719"/>
      <c r="I92" s="719"/>
      <c r="J92" s="719"/>
      <c r="K92" s="719"/>
      <c r="L92" s="149" t="str">
        <f t="shared" si="5"/>
        <v>210L</v>
      </c>
      <c r="M92" s="150" t="str">
        <f t="shared" si="6"/>
        <v>A/R INTERCO WHOLESALE &amp; ECHANGE</v>
      </c>
      <c r="N92" s="151">
        <f>+IF(OR($Q92=Parametres!$G$2,$Q92=Parametres!$G$3),I92,C92)</f>
        <v>100925</v>
      </c>
      <c r="O92" s="151">
        <f>+IF(OR($Q92=Parametres!$G$2,$Q92=Parametres!$G$3),J92,D92)</f>
        <v>-60925</v>
      </c>
      <c r="P92" s="151">
        <f>+IF(OR($Q92=Parametres!$G$2,$Q92=Parametres!$G$3),K92,E92)</f>
        <v>40000</v>
      </c>
      <c r="Q92" s="150" t="str">
        <f t="shared" si="7"/>
        <v>2-Actifs</v>
      </c>
      <c r="R92" s="149" t="str">
        <f t="shared" si="8"/>
        <v>210</v>
      </c>
      <c r="S92" s="150">
        <f t="shared" si="9"/>
        <v>0</v>
      </c>
      <c r="T92" s="152" t="str">
        <f>+VLOOKUP($L92,Data_Validation!$A:$D,1,0)</f>
        <v>210L</v>
      </c>
      <c r="U92" s="152" t="str">
        <f>+VLOOKUP($L92,Data_Validation!$A:$D,3,0)</f>
        <v>bilan</v>
      </c>
      <c r="V92" s="152" t="str">
        <f>+VLOOKUP($L92,Data_Validation!$A:$D,4,0)</f>
        <v>Recevables Intercos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445</v>
      </c>
      <c r="B93" s="718" t="s">
        <v>373</v>
      </c>
      <c r="C93" s="720">
        <v>31702.57</v>
      </c>
      <c r="D93" s="720">
        <v>28976.05</v>
      </c>
      <c r="E93" s="720">
        <v>60678.62</v>
      </c>
      <c r="F93" s="718" t="s">
        <v>2228</v>
      </c>
      <c r="G93" s="718" t="s">
        <v>373</v>
      </c>
      <c r="H93" s="666"/>
      <c r="I93" s="665"/>
      <c r="J93" s="665"/>
      <c r="K93" s="665"/>
      <c r="L93" s="149" t="str">
        <f t="shared" si="5"/>
        <v>220</v>
      </c>
      <c r="M93" s="150" t="str">
        <f t="shared" si="6"/>
        <v>RECEVABLES PIECES ET SERVICE</v>
      </c>
      <c r="N93" s="151">
        <f>+IF(OR($Q93=Parametres!$G$2,$Q93=Parametres!$G$3),I93,C93)</f>
        <v>31702.57</v>
      </c>
      <c r="O93" s="151">
        <f>+IF(OR($Q93=Parametres!$G$2,$Q93=Parametres!$G$3),J93,D93)</f>
        <v>28976.05</v>
      </c>
      <c r="P93" s="151">
        <f>+IF(OR($Q93=Parametres!$G$2,$Q93=Parametres!$G$3),K93,E93)</f>
        <v>60678.62</v>
      </c>
      <c r="Q93" s="150" t="str">
        <f t="shared" si="7"/>
        <v>2-Actifs</v>
      </c>
      <c r="R93" s="149" t="str">
        <f t="shared" si="8"/>
        <v>220</v>
      </c>
      <c r="S93" s="150">
        <f t="shared" si="9"/>
        <v>0</v>
      </c>
      <c r="T93" s="152" t="str">
        <f>+VLOOKUP($L93,Data_Validation!$A:$D,1,0)</f>
        <v>220</v>
      </c>
      <c r="U93" s="152" t="str">
        <f>+VLOOKUP($L93,Data_Validation!$A:$D,3,0)</f>
        <v>Bilan</v>
      </c>
      <c r="V93" s="152" t="str">
        <f>+VLOOKUP($L93,Data_Validation!$A:$D,4,0)</f>
        <v>Recevables Pièces et Service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2335</v>
      </c>
      <c r="B94" s="718" t="s">
        <v>2336</v>
      </c>
      <c r="C94" s="720">
        <v>1224.2</v>
      </c>
      <c r="D94" s="720">
        <v>-208.3</v>
      </c>
      <c r="E94" s="720">
        <v>1015.9</v>
      </c>
      <c r="F94" s="718" t="s">
        <v>2228</v>
      </c>
      <c r="G94" s="718" t="s">
        <v>373</v>
      </c>
      <c r="H94" s="609"/>
      <c r="I94" s="608"/>
      <c r="J94" s="608"/>
      <c r="K94" s="608"/>
      <c r="L94" s="149" t="str">
        <f t="shared" si="5"/>
        <v>220A</v>
      </c>
      <c r="M94" s="150" t="str">
        <f t="shared" si="6"/>
        <v>ASS COLLECTIVE EMPLOYES A/R</v>
      </c>
      <c r="N94" s="151">
        <f>+IF(OR($Q94=Parametres!$G$2,$Q94=Parametres!$G$3),I94,C94)</f>
        <v>1224.2</v>
      </c>
      <c r="O94" s="151">
        <f>+IF(OR($Q94=Parametres!$G$2,$Q94=Parametres!$G$3),J94,D94)</f>
        <v>-208.3</v>
      </c>
      <c r="P94" s="151">
        <f>+IF(OR($Q94=Parametres!$G$2,$Q94=Parametres!$G$3),K94,E94)</f>
        <v>1015.9</v>
      </c>
      <c r="Q94" s="150" t="str">
        <f t="shared" si="7"/>
        <v>2-Actifs</v>
      </c>
      <c r="R94" s="149" t="str">
        <f t="shared" si="8"/>
        <v>220</v>
      </c>
      <c r="S94" s="150">
        <f t="shared" si="9"/>
        <v>0</v>
      </c>
      <c r="T94" s="152" t="str">
        <f>+VLOOKUP($L94,Data_Validation!$A:$D,1,0)</f>
        <v>220A</v>
      </c>
      <c r="U94" s="152" t="str">
        <f>+VLOOKUP($L94,Data_Validation!$A:$D,3,0)</f>
        <v>Bilan</v>
      </c>
      <c r="V94" s="152" t="str">
        <f>+VLOOKUP($L94,Data_Validation!$A:$D,4,0)</f>
        <v>Recevables Autres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2199</v>
      </c>
      <c r="B95" s="718" t="s">
        <v>2200</v>
      </c>
      <c r="C95" s="719">
        <v>4040.98</v>
      </c>
      <c r="D95" s="719">
        <v>2502.4299999999998</v>
      </c>
      <c r="E95" s="719">
        <v>6543.41</v>
      </c>
      <c r="F95" s="718" t="s">
        <v>2228</v>
      </c>
      <c r="G95" s="718" t="s">
        <v>373</v>
      </c>
      <c r="H95" s="719"/>
      <c r="I95" s="720"/>
      <c r="J95" s="720"/>
      <c r="K95" s="720"/>
      <c r="L95" s="149" t="str">
        <f t="shared" si="5"/>
        <v>220L</v>
      </c>
      <c r="M95" s="150" t="str">
        <f t="shared" si="6"/>
        <v>A/R INTERCOS P&amp;S</v>
      </c>
      <c r="N95" s="151">
        <f>+IF(OR($Q95=Parametres!$G$2,$Q95=Parametres!$G$3),I95,C95)</f>
        <v>4040.98</v>
      </c>
      <c r="O95" s="151">
        <f>+IF(OR($Q95=Parametres!$G$2,$Q95=Parametres!$G$3),J95,D95)</f>
        <v>2502.4299999999998</v>
      </c>
      <c r="P95" s="151">
        <f>+IF(OR($Q95=Parametres!$G$2,$Q95=Parametres!$G$3),K95,E95)</f>
        <v>6543.41</v>
      </c>
      <c r="Q95" s="150" t="str">
        <f t="shared" si="7"/>
        <v>2-Actifs</v>
      </c>
      <c r="R95" s="149" t="str">
        <f t="shared" si="8"/>
        <v>220</v>
      </c>
      <c r="S95" s="150">
        <f t="shared" si="9"/>
        <v>0</v>
      </c>
      <c r="T95" s="152" t="str">
        <f>+VLOOKUP($L95,Data_Validation!$A:$D,1,0)</f>
        <v>220L</v>
      </c>
      <c r="U95" s="152" t="str">
        <f>+VLOOKUP($L95,Data_Validation!$A:$D,3,0)</f>
        <v>Bilan</v>
      </c>
      <c r="V95" s="152" t="str">
        <f>+VLOOKUP($L95,Data_Validation!$A:$D,4,0)</f>
        <v>Recevables Intercos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1115</v>
      </c>
      <c r="B96" s="718" t="s">
        <v>386</v>
      </c>
      <c r="C96" s="720">
        <v>86758.9</v>
      </c>
      <c r="D96" s="720">
        <v>60009.13</v>
      </c>
      <c r="E96" s="720">
        <v>146768.03</v>
      </c>
      <c r="F96" s="718" t="s">
        <v>2228</v>
      </c>
      <c r="G96" s="718" t="s">
        <v>386</v>
      </c>
      <c r="H96" s="673"/>
      <c r="I96" s="672"/>
      <c r="J96" s="672"/>
      <c r="K96" s="672"/>
      <c r="L96" s="149" t="str">
        <f t="shared" si="5"/>
        <v>221</v>
      </c>
      <c r="M96" s="150" t="str">
        <f t="shared" si="6"/>
        <v>BONIS A/R MANUFACTURIER</v>
      </c>
      <c r="N96" s="151">
        <f>+IF(OR($Q96=Parametres!$G$2,$Q96=Parametres!$G$3),I96,C96)</f>
        <v>86758.9</v>
      </c>
      <c r="O96" s="151">
        <f>+IF(OR($Q96=Parametres!$G$2,$Q96=Parametres!$G$3),J96,D96)</f>
        <v>60009.13</v>
      </c>
      <c r="P96" s="151">
        <f>+IF(OR($Q96=Parametres!$G$2,$Q96=Parametres!$G$3),K96,E96)</f>
        <v>146768.03</v>
      </c>
      <c r="Q96" s="150" t="str">
        <f t="shared" si="7"/>
        <v>2-Actifs</v>
      </c>
      <c r="R96" s="149" t="str">
        <f t="shared" si="8"/>
        <v>221</v>
      </c>
      <c r="S96" s="150">
        <f t="shared" si="9"/>
        <v>0</v>
      </c>
      <c r="T96" s="152" t="str">
        <f>+VLOOKUP($L96,Data_Validation!$A:$D,1,0)</f>
        <v>221</v>
      </c>
      <c r="U96" s="152" t="str">
        <f>+VLOOKUP($L96,Data_Validation!$A:$D,3,0)</f>
        <v>Bilan</v>
      </c>
      <c r="V96" s="152" t="str">
        <f>+VLOOKUP($L96,Data_Validation!$A:$D,4,0)</f>
        <v>Recevables Manufacturier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1834</v>
      </c>
      <c r="B97" s="718" t="s">
        <v>452</v>
      </c>
      <c r="C97" s="720">
        <v>-481.3</v>
      </c>
      <c r="D97" s="720">
        <v>22792.799999999999</v>
      </c>
      <c r="E97" s="720">
        <v>22311.5</v>
      </c>
      <c r="F97" s="718" t="s">
        <v>2228</v>
      </c>
      <c r="G97" s="718" t="s">
        <v>452</v>
      </c>
      <c r="H97" s="607"/>
      <c r="I97" s="608"/>
      <c r="J97" s="608"/>
      <c r="K97" s="608"/>
      <c r="L97" s="149" t="str">
        <f t="shared" si="5"/>
        <v>221A</v>
      </c>
      <c r="M97" s="150" t="str">
        <f t="shared" si="6"/>
        <v>PROGRAMMES A/R MANUFACTURIER</v>
      </c>
      <c r="N97" s="151">
        <f>+IF(OR($Q97=Parametres!$G$2,$Q97=Parametres!$G$3),I97,C97)</f>
        <v>-481.3</v>
      </c>
      <c r="O97" s="504">
        <f>+IF(OR($Q97=Parametres!$G$2,$Q97=Parametres!$G$3),J97,D97)</f>
        <v>22792.799999999999</v>
      </c>
      <c r="P97" s="151">
        <f>+IF(OR($Q97=Parametres!$G$2,$Q97=Parametres!$G$3),K97,E97)</f>
        <v>22311.5</v>
      </c>
      <c r="Q97" s="150" t="str">
        <f t="shared" si="7"/>
        <v>2-Actifs</v>
      </c>
      <c r="R97" s="149" t="str">
        <f t="shared" si="8"/>
        <v>221A</v>
      </c>
      <c r="S97" s="150">
        <f t="shared" si="9"/>
        <v>0</v>
      </c>
      <c r="T97" s="152" t="str">
        <f>+VLOOKUP($L97,Data_Validation!$A:$D,1,0)</f>
        <v>221A</v>
      </c>
      <c r="U97" s="152" t="str">
        <f>+VLOOKUP($L97,Data_Validation!$A:$D,3,0)</f>
        <v>Bilan</v>
      </c>
      <c r="V97" s="152" t="str">
        <f>+VLOOKUP($L97,Data_Validation!$A:$D,4,0)</f>
        <v>Recevables Manufacturier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1194</v>
      </c>
      <c r="B98" s="718" t="s">
        <v>1011</v>
      </c>
      <c r="C98" s="720">
        <v>59000</v>
      </c>
      <c r="D98" s="720">
        <v>5250</v>
      </c>
      <c r="E98" s="720">
        <v>64250</v>
      </c>
      <c r="F98" s="718" t="s">
        <v>2228</v>
      </c>
      <c r="G98" s="718" t="s">
        <v>452</v>
      </c>
      <c r="H98" s="673"/>
      <c r="I98" s="672"/>
      <c r="J98" s="672"/>
      <c r="K98" s="672"/>
      <c r="L98" s="149" t="str">
        <f t="shared" si="5"/>
        <v>221C</v>
      </c>
      <c r="M98" s="150" t="str">
        <f t="shared" si="6"/>
        <v>ROULEZ VERT A RECEVOIR</v>
      </c>
      <c r="N98" s="151">
        <f>+IF(OR($Q98=Parametres!$G$2,$Q98=Parametres!$G$3),I98,C98)</f>
        <v>59000</v>
      </c>
      <c r="O98" s="151">
        <f>+IF(OR($Q98=Parametres!$G$2,$Q98=Parametres!$G$3),J98,D98)</f>
        <v>5250</v>
      </c>
      <c r="P98" s="151">
        <f>+IF(OR($Q98=Parametres!$G$2,$Q98=Parametres!$G$3),K98,E98)</f>
        <v>64250</v>
      </c>
      <c r="Q98" s="150" t="str">
        <f t="shared" si="7"/>
        <v>2-Actifs</v>
      </c>
      <c r="R98" s="149" t="str">
        <f t="shared" si="8"/>
        <v>221A</v>
      </c>
      <c r="S98" s="150">
        <f t="shared" si="9"/>
        <v>0</v>
      </c>
      <c r="T98" s="152" t="str">
        <f>+VLOOKUP($L98,Data_Validation!$A:$D,1,0)</f>
        <v>221C</v>
      </c>
      <c r="U98" s="152" t="str">
        <f>+VLOOKUP($L98,Data_Validation!$A:$D,3,0)</f>
        <v>Bilan</v>
      </c>
      <c r="V98" s="152" t="str">
        <f>+VLOOKUP($L98,Data_Validation!$A:$D,4,0)</f>
        <v>Recevables Autres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1789</v>
      </c>
      <c r="B99" s="718" t="s">
        <v>966</v>
      </c>
      <c r="C99" s="720">
        <v>1582.04</v>
      </c>
      <c r="D99" s="720">
        <v>17662.13</v>
      </c>
      <c r="E99" s="720">
        <v>19244.169999999998</v>
      </c>
      <c r="F99" s="718" t="s">
        <v>2228</v>
      </c>
      <c r="G99" s="718" t="s">
        <v>2249</v>
      </c>
      <c r="H99" s="666"/>
      <c r="I99" s="665"/>
      <c r="J99" s="665"/>
      <c r="K99" s="665"/>
      <c r="L99" s="149" t="str">
        <f t="shared" si="5"/>
        <v>222A</v>
      </c>
      <c r="M99" s="150" t="str">
        <f t="shared" si="6"/>
        <v>RECLAMATION GARANTIE A/R BMW</v>
      </c>
      <c r="N99" s="151">
        <f>+IF(OR($Q99=Parametres!$G$2,$Q99=Parametres!$G$3),I99,C99)</f>
        <v>1582.04</v>
      </c>
      <c r="O99" s="151">
        <f>+IF(OR($Q99=Parametres!$G$2,$Q99=Parametres!$G$3),J99,D99)</f>
        <v>17662.13</v>
      </c>
      <c r="P99" s="151">
        <f>+IF(OR($Q99=Parametres!$G$2,$Q99=Parametres!$G$3),K99,E99)</f>
        <v>19244.169999999998</v>
      </c>
      <c r="Q99" s="150" t="str">
        <f t="shared" si="7"/>
        <v>2-Actifs</v>
      </c>
      <c r="R99" s="149" t="str">
        <f t="shared" si="8"/>
        <v>222</v>
      </c>
      <c r="S99" s="150">
        <f t="shared" si="9"/>
        <v>0</v>
      </c>
      <c r="T99" s="152" t="str">
        <f>+VLOOKUP($L99,Data_Validation!$A:$D,1,0)</f>
        <v>222A</v>
      </c>
      <c r="U99" s="152" t="str">
        <f>+VLOOKUP($L99,Data_Validation!$A:$D,3,0)</f>
        <v>Bilan</v>
      </c>
      <c r="V99" s="152" t="str">
        <f>+VLOOKUP($L99,Data_Validation!$A:$D,4,0)</f>
        <v>Recevables Garantie Manufacturier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1818</v>
      </c>
      <c r="B100" s="718" t="s">
        <v>393</v>
      </c>
      <c r="C100" s="720">
        <v>-9656.1200000000008</v>
      </c>
      <c r="D100" s="720">
        <v>0</v>
      </c>
      <c r="E100" s="720">
        <v>-9656.1200000000008</v>
      </c>
      <c r="F100" s="718" t="s">
        <v>2228</v>
      </c>
      <c r="G100" s="718" t="s">
        <v>393</v>
      </c>
      <c r="H100" s="607"/>
      <c r="I100" s="153"/>
      <c r="J100" s="153"/>
      <c r="K100" s="153"/>
      <c r="L100" s="149" t="str">
        <f t="shared" si="5"/>
        <v>223</v>
      </c>
      <c r="M100" s="150" t="str">
        <f t="shared" si="6"/>
        <v>PROVISION CREANCE DOUTEUSE</v>
      </c>
      <c r="N100" s="151">
        <f>+IF(OR($Q100=Parametres!$G$2,$Q100=Parametres!$G$3),I100,C100)</f>
        <v>-9656.1200000000008</v>
      </c>
      <c r="O100" s="504">
        <f>+IF(OR($Q100=Parametres!$G$2,$Q100=Parametres!$G$3),J100,D100)</f>
        <v>0</v>
      </c>
      <c r="P100" s="151">
        <f>+IF(OR($Q100=Parametres!$G$2,$Q100=Parametres!$G$3),K100,E100)</f>
        <v>-9656.1200000000008</v>
      </c>
      <c r="Q100" s="150" t="str">
        <f t="shared" si="7"/>
        <v>2-Actifs</v>
      </c>
      <c r="R100" s="149" t="str">
        <f t="shared" si="8"/>
        <v>223</v>
      </c>
      <c r="S100" s="150">
        <f t="shared" si="9"/>
        <v>0</v>
      </c>
      <c r="T100" s="152" t="str">
        <f>+VLOOKUP($L100,Data_Validation!$A:$D,1,0)</f>
        <v>223</v>
      </c>
      <c r="U100" s="152" t="str">
        <f>+VLOOKUP($L100,Data_Validation!$A:$D,3,0)</f>
        <v>Bilan</v>
      </c>
      <c r="V100" s="152" t="str">
        <f>+VLOOKUP($L100,Data_Validation!$A:$D,4,0)</f>
        <v>Recevables Pièces et Service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1918</v>
      </c>
      <c r="B101" s="718" t="s">
        <v>1919</v>
      </c>
      <c r="C101" s="720">
        <v>-2500</v>
      </c>
      <c r="D101" s="720">
        <v>1489.2</v>
      </c>
      <c r="E101" s="720">
        <v>-1010.8</v>
      </c>
      <c r="F101" s="718" t="s">
        <v>2228</v>
      </c>
      <c r="G101" s="718" t="s">
        <v>452</v>
      </c>
      <c r="H101" s="673"/>
      <c r="I101" s="673"/>
      <c r="J101" s="673"/>
      <c r="K101" s="673"/>
      <c r="L101" s="149" t="str">
        <f t="shared" si="5"/>
        <v>224</v>
      </c>
      <c r="M101" s="150" t="str">
        <f t="shared" si="6"/>
        <v>PROVISION PROGRAMMES MANUFACTURIERS</v>
      </c>
      <c r="N101" s="151">
        <f>+IF(OR($Q101=Parametres!$G$2,$Q101=Parametres!$G$3),I101,C101)</f>
        <v>-2500</v>
      </c>
      <c r="O101" s="151">
        <f>+IF(OR($Q101=Parametres!$G$2,$Q101=Parametres!$G$3),J101,D101)</f>
        <v>1489.2</v>
      </c>
      <c r="P101" s="151">
        <f>+IF(OR($Q101=Parametres!$G$2,$Q101=Parametres!$G$3),K101,E101)</f>
        <v>-1010.8</v>
      </c>
      <c r="Q101" s="150" t="str">
        <f t="shared" si="7"/>
        <v>2-Actifs</v>
      </c>
      <c r="R101" s="149" t="str">
        <f t="shared" si="8"/>
        <v>221A</v>
      </c>
      <c r="S101" s="150">
        <f t="shared" si="9"/>
        <v>0</v>
      </c>
      <c r="T101" s="152" t="str">
        <f>+VLOOKUP($L101,Data_Validation!$A:$D,1,0)</f>
        <v>224</v>
      </c>
      <c r="U101" s="152" t="str">
        <f>+VLOOKUP($L101,Data_Validation!$A:$D,3,0)</f>
        <v>Bilan</v>
      </c>
      <c r="V101" s="152" t="str">
        <f>+VLOOKUP($L101,Data_Validation!$A:$D,4,0)</f>
        <v>Recevables Manufacturier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1851</v>
      </c>
      <c r="B102" s="718" t="s">
        <v>353</v>
      </c>
      <c r="C102" s="719">
        <v>1922585.37</v>
      </c>
      <c r="D102" s="719">
        <v>-306820.51</v>
      </c>
      <c r="E102" s="719">
        <v>1615764.86</v>
      </c>
      <c r="F102" s="718" t="s">
        <v>2228</v>
      </c>
      <c r="G102" s="718" t="s">
        <v>353</v>
      </c>
      <c r="H102" s="719"/>
      <c r="I102" s="720"/>
      <c r="J102" s="720"/>
      <c r="K102" s="720"/>
      <c r="L102" s="149" t="str">
        <f t="shared" si="5"/>
        <v>230</v>
      </c>
      <c r="M102" s="150" t="str">
        <f t="shared" si="6"/>
        <v>INV. VOITURES NEUVES BMW</v>
      </c>
      <c r="N102" s="151">
        <f>+IF(OR($Q102=Parametres!$G$2,$Q102=Parametres!$G$3),I102,C102)</f>
        <v>1922585.37</v>
      </c>
      <c r="O102" s="151">
        <f>+IF(OR($Q102=Parametres!$G$2,$Q102=Parametres!$G$3),J102,D102)</f>
        <v>-306820.51</v>
      </c>
      <c r="P102" s="151">
        <f>+IF(OR($Q102=Parametres!$G$2,$Q102=Parametres!$G$3),K102,E102)</f>
        <v>1615764.86</v>
      </c>
      <c r="Q102" s="150" t="str">
        <f t="shared" si="7"/>
        <v>2-Actifs</v>
      </c>
      <c r="R102" s="149" t="str">
        <f t="shared" si="8"/>
        <v>230</v>
      </c>
      <c r="S102" s="150">
        <f t="shared" si="9"/>
        <v>0</v>
      </c>
      <c r="T102" s="152" t="str">
        <f>+VLOOKUP($L102,Data_Validation!$A:$D,1,0)</f>
        <v>230</v>
      </c>
      <c r="U102" s="152" t="str">
        <f>+VLOOKUP($L102,Data_Validation!$A:$D,3,0)</f>
        <v>Bilan</v>
      </c>
      <c r="V102" s="152" t="str">
        <f>+VLOOKUP($L102,Data_Validation!$A:$D,4,0)</f>
        <v>Inventaire Véhicules Neufs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1075</v>
      </c>
      <c r="B103" s="718" t="s">
        <v>383</v>
      </c>
      <c r="C103" s="720">
        <v>2569339.52</v>
      </c>
      <c r="D103" s="720">
        <v>-16306.54</v>
      </c>
      <c r="E103" s="720">
        <v>2553032.98</v>
      </c>
      <c r="F103" s="718" t="s">
        <v>2228</v>
      </c>
      <c r="G103" s="718" t="s">
        <v>383</v>
      </c>
      <c r="H103" s="666"/>
      <c r="I103" s="665"/>
      <c r="J103" s="665"/>
      <c r="K103" s="665"/>
      <c r="L103" s="149" t="str">
        <f t="shared" si="5"/>
        <v>232</v>
      </c>
      <c r="M103" s="150" t="str">
        <f t="shared" si="6"/>
        <v>INV. CAMIONS NEUFS BMW</v>
      </c>
      <c r="N103" s="151">
        <f>+IF(OR($Q103=Parametres!$G$2,$Q103=Parametres!$G$3),I103,C103)</f>
        <v>2569339.52</v>
      </c>
      <c r="O103" s="151">
        <f>+IF(OR($Q103=Parametres!$G$2,$Q103=Parametres!$G$3),J103,D103)</f>
        <v>-16306.54</v>
      </c>
      <c r="P103" s="151">
        <f>+IF(OR($Q103=Parametres!$G$2,$Q103=Parametres!$G$3),K103,E103)</f>
        <v>2553032.98</v>
      </c>
      <c r="Q103" s="150" t="str">
        <f t="shared" si="7"/>
        <v>2-Actifs</v>
      </c>
      <c r="R103" s="149" t="str">
        <f t="shared" si="8"/>
        <v>232</v>
      </c>
      <c r="S103" s="150">
        <f t="shared" si="9"/>
        <v>0</v>
      </c>
      <c r="T103" s="152" t="str">
        <f>+VLOOKUP($L103,Data_Validation!$A:$D,1,0)</f>
        <v>232</v>
      </c>
      <c r="U103" s="152" t="str">
        <f>+VLOOKUP($L103,Data_Validation!$A:$D,3,0)</f>
        <v>Bilan</v>
      </c>
      <c r="V103" s="152" t="str">
        <f>+VLOOKUP($L103,Data_Validation!$A:$D,4,0)</f>
        <v>Inventaire Véhicules Neufs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1177</v>
      </c>
      <c r="B104" s="718" t="s">
        <v>354</v>
      </c>
      <c r="C104" s="720">
        <v>1596557.19</v>
      </c>
      <c r="D104" s="720">
        <v>282402.3</v>
      </c>
      <c r="E104" s="720">
        <v>1878959.49</v>
      </c>
      <c r="F104" s="718" t="s">
        <v>2228</v>
      </c>
      <c r="G104" s="718" t="s">
        <v>354</v>
      </c>
      <c r="H104" s="673"/>
      <c r="I104" s="672"/>
      <c r="J104" s="672"/>
      <c r="K104" s="672"/>
      <c r="L104" s="149" t="str">
        <f t="shared" si="5"/>
        <v>234</v>
      </c>
      <c r="M104" s="150" t="str">
        <f t="shared" si="6"/>
        <v>INVENTAIRE VEHICULES I</v>
      </c>
      <c r="N104" s="151">
        <f>+IF(OR($Q104=Parametres!$G$2,$Q104=Parametres!$G$3),I104,C104)</f>
        <v>1596557.19</v>
      </c>
      <c r="O104" s="151">
        <f>+IF(OR($Q104=Parametres!$G$2,$Q104=Parametres!$G$3),J104,D104)</f>
        <v>282402.3</v>
      </c>
      <c r="P104" s="151">
        <f>+IF(OR($Q104=Parametres!$G$2,$Q104=Parametres!$G$3),K104,E104)</f>
        <v>1878959.49</v>
      </c>
      <c r="Q104" s="150" t="str">
        <f t="shared" si="7"/>
        <v>2-Actifs</v>
      </c>
      <c r="R104" s="149" t="str">
        <f t="shared" si="8"/>
        <v>234</v>
      </c>
      <c r="S104" s="150">
        <f t="shared" si="9"/>
        <v>0</v>
      </c>
      <c r="T104" s="152" t="str">
        <f>+VLOOKUP($L104,Data_Validation!$A:$D,1,0)</f>
        <v>234</v>
      </c>
      <c r="U104" s="152" t="str">
        <f>+VLOOKUP($L104,Data_Validation!$A:$D,3,0)</f>
        <v>Bilan</v>
      </c>
      <c r="V104" s="152" t="str">
        <f>+VLOOKUP($L104,Data_Validation!$A:$D,4,0)</f>
        <v>Inventaire Véhicules Neufs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1084</v>
      </c>
      <c r="B105" s="718" t="s">
        <v>409</v>
      </c>
      <c r="C105" s="720">
        <v>569937.35</v>
      </c>
      <c r="D105" s="720">
        <v>145116.07999999999</v>
      </c>
      <c r="E105" s="720">
        <v>715053.43</v>
      </c>
      <c r="F105" s="718" t="s">
        <v>2228</v>
      </c>
      <c r="G105" s="718" t="s">
        <v>409</v>
      </c>
      <c r="H105" s="673"/>
      <c r="I105" s="673"/>
      <c r="J105" s="673"/>
      <c r="K105" s="673"/>
      <c r="L105" s="149" t="str">
        <f t="shared" si="5"/>
        <v>240A</v>
      </c>
      <c r="M105" s="150" t="str">
        <f t="shared" si="6"/>
        <v>INV. VOITURES USAGEES BMW</v>
      </c>
      <c r="N105" s="151">
        <f>+IF(OR($Q105=Parametres!$G$2,$Q105=Parametres!$G$3),I105,C105)</f>
        <v>569937.35</v>
      </c>
      <c r="O105" s="151">
        <f>+IF(OR($Q105=Parametres!$G$2,$Q105=Parametres!$G$3),J105,D105)</f>
        <v>145116.07999999999</v>
      </c>
      <c r="P105" s="151">
        <f>+IF(OR($Q105=Parametres!$G$2,$Q105=Parametres!$G$3),K105,E105)</f>
        <v>715053.43</v>
      </c>
      <c r="Q105" s="150" t="str">
        <f t="shared" si="7"/>
        <v>2-Actifs</v>
      </c>
      <c r="R105" s="149" t="str">
        <f t="shared" si="8"/>
        <v>240A</v>
      </c>
      <c r="S105" s="150">
        <f t="shared" si="9"/>
        <v>0</v>
      </c>
      <c r="T105" s="152" t="str">
        <f>+VLOOKUP($L105,Data_Validation!$A:$D,1,0)</f>
        <v>240A</v>
      </c>
      <c r="U105" s="152" t="str">
        <f>+VLOOKUP($L105,Data_Validation!$A:$D,3,0)</f>
        <v>Bilan</v>
      </c>
      <c r="V105" s="152" t="str">
        <f>+VLOOKUP($L105,Data_Validation!$A:$D,4,0)</f>
        <v>Inventaire Véhicules Usagés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1093</v>
      </c>
      <c r="B106" s="718" t="s">
        <v>433</v>
      </c>
      <c r="C106" s="720">
        <v>810756.91</v>
      </c>
      <c r="D106" s="720">
        <v>-170156.55</v>
      </c>
      <c r="E106" s="720">
        <v>640600.36</v>
      </c>
      <c r="F106" s="718" t="s">
        <v>2228</v>
      </c>
      <c r="G106" s="718" t="s">
        <v>433</v>
      </c>
      <c r="H106" s="673"/>
      <c r="I106" s="672"/>
      <c r="J106" s="672"/>
      <c r="K106" s="672"/>
      <c r="L106" s="149" t="str">
        <f t="shared" si="5"/>
        <v>240C</v>
      </c>
      <c r="M106" s="150" t="str">
        <f t="shared" si="6"/>
        <v>INV. VEHICULES USAGES AUTRES</v>
      </c>
      <c r="N106" s="151">
        <f>+IF(OR($Q106=Parametres!$G$2,$Q106=Parametres!$G$3),I106,C106)</f>
        <v>810756.91</v>
      </c>
      <c r="O106" s="151">
        <f>+IF(OR($Q106=Parametres!$G$2,$Q106=Parametres!$G$3),J106,D106)</f>
        <v>-170156.55</v>
      </c>
      <c r="P106" s="151">
        <f>+IF(OR($Q106=Parametres!$G$2,$Q106=Parametres!$G$3),K106,E106)</f>
        <v>640600.36</v>
      </c>
      <c r="Q106" s="150" t="str">
        <f t="shared" si="7"/>
        <v>2-Actifs</v>
      </c>
      <c r="R106" s="149" t="str">
        <f t="shared" si="8"/>
        <v>240C</v>
      </c>
      <c r="S106" s="150">
        <f t="shared" si="9"/>
        <v>0</v>
      </c>
      <c r="T106" s="152" t="str">
        <f>+VLOOKUP($L106,Data_Validation!$A:$D,1,0)</f>
        <v>240C</v>
      </c>
      <c r="U106" s="152" t="str">
        <f>+VLOOKUP($L106,Data_Validation!$A:$D,3,0)</f>
        <v>Bilan</v>
      </c>
      <c r="V106" s="152" t="str">
        <f>+VLOOKUP($L106,Data_Validation!$A:$D,4,0)</f>
        <v>Inventaire Véhicules Usagés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1841</v>
      </c>
      <c r="B107" s="718" t="s">
        <v>820</v>
      </c>
      <c r="C107" s="720">
        <v>776461.4</v>
      </c>
      <c r="D107" s="720">
        <v>-53340.01</v>
      </c>
      <c r="E107" s="720">
        <v>723121.39</v>
      </c>
      <c r="F107" s="718" t="s">
        <v>2228</v>
      </c>
      <c r="G107" s="718" t="s">
        <v>820</v>
      </c>
      <c r="H107" s="673"/>
      <c r="I107" s="672"/>
      <c r="J107" s="672"/>
      <c r="K107" s="672"/>
      <c r="L107" s="149" t="str">
        <f t="shared" si="5"/>
        <v>242A</v>
      </c>
      <c r="M107" s="150" t="str">
        <f t="shared" si="6"/>
        <v>INV. CAMIONS USAGES BMW</v>
      </c>
      <c r="N107" s="151">
        <f>+IF(OR($Q107=Parametres!$G$2,$Q107=Parametres!$G$3),I107,C107)</f>
        <v>776461.4</v>
      </c>
      <c r="O107" s="151">
        <f>+IF(OR($Q107=Parametres!$G$2,$Q107=Parametres!$G$3),J107,D107)</f>
        <v>-53340.01</v>
      </c>
      <c r="P107" s="151">
        <f>+IF(OR($Q107=Parametres!$G$2,$Q107=Parametres!$G$3),K107,E107)</f>
        <v>723121.39</v>
      </c>
      <c r="Q107" s="150" t="str">
        <f t="shared" si="7"/>
        <v>2-Actifs</v>
      </c>
      <c r="R107" s="149" t="str">
        <f t="shared" si="8"/>
        <v>242A</v>
      </c>
      <c r="S107" s="150">
        <f t="shared" si="9"/>
        <v>0</v>
      </c>
      <c r="T107" s="152" t="str">
        <f>+VLOOKUP($L107,Data_Validation!$A:$D,1,0)</f>
        <v>242A</v>
      </c>
      <c r="U107" s="152" t="str">
        <f>+VLOOKUP($L107,Data_Validation!$A:$D,3,0)</f>
        <v>Bilan</v>
      </c>
      <c r="V107" s="152" t="str">
        <f>+VLOOKUP($L107,Data_Validation!$A:$D,4,0)</f>
        <v>Inventaire Véhicules Usagés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1108</v>
      </c>
      <c r="B108" s="718" t="s">
        <v>422</v>
      </c>
      <c r="C108" s="720">
        <v>246757.64</v>
      </c>
      <c r="D108" s="720">
        <v>6143.67</v>
      </c>
      <c r="E108" s="720">
        <v>252901.31</v>
      </c>
      <c r="F108" s="718" t="s">
        <v>2228</v>
      </c>
      <c r="G108" s="718" t="s">
        <v>422</v>
      </c>
      <c r="H108" s="673"/>
      <c r="I108" s="673"/>
      <c r="J108" s="673"/>
      <c r="K108" s="673"/>
      <c r="L108" s="149" t="str">
        <f t="shared" si="5"/>
        <v>243A</v>
      </c>
      <c r="M108" s="150" t="str">
        <f t="shared" si="6"/>
        <v>INV. PIECES BMW</v>
      </c>
      <c r="N108" s="151">
        <f>+IF(OR($Q108=Parametres!$G$2,$Q108=Parametres!$G$3),I108,C108)</f>
        <v>246757.64</v>
      </c>
      <c r="O108" s="151">
        <f>+IF(OR($Q108=Parametres!$G$2,$Q108=Parametres!$G$3),J108,D108)</f>
        <v>6143.67</v>
      </c>
      <c r="P108" s="151">
        <f>+IF(OR($Q108=Parametres!$G$2,$Q108=Parametres!$G$3),K108,E108)</f>
        <v>252901.31</v>
      </c>
      <c r="Q108" s="150" t="str">
        <f t="shared" si="7"/>
        <v>2-Actifs</v>
      </c>
      <c r="R108" s="149" t="str">
        <f t="shared" si="8"/>
        <v>243A</v>
      </c>
      <c r="S108" s="150">
        <f t="shared" si="9"/>
        <v>0</v>
      </c>
      <c r="T108" s="152" t="str">
        <f>+VLOOKUP($L108,Data_Validation!$A:$D,1,0)</f>
        <v>243A</v>
      </c>
      <c r="U108" s="152" t="str">
        <f>+VLOOKUP($L108,Data_Validation!$A:$D,3,0)</f>
        <v>Bilan</v>
      </c>
      <c r="V108" s="152" t="str">
        <f>+VLOOKUP($L108,Data_Validation!$A:$D,4,0)</f>
        <v>Inventaire Pièces, Pneus, Huile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363</v>
      </c>
      <c r="B109" s="718" t="s">
        <v>1148</v>
      </c>
      <c r="C109" s="720">
        <v>2146.17</v>
      </c>
      <c r="D109" s="720">
        <v>407.73</v>
      </c>
      <c r="E109" s="720">
        <v>2553.9</v>
      </c>
      <c r="F109" s="718" t="s">
        <v>2228</v>
      </c>
      <c r="G109" s="718" t="s">
        <v>422</v>
      </c>
      <c r="H109" s="673"/>
      <c r="I109" s="672"/>
      <c r="J109" s="672"/>
      <c r="K109" s="672"/>
      <c r="L109" s="149" t="str">
        <f t="shared" si="5"/>
        <v>243F</v>
      </c>
      <c r="M109" s="150" t="str">
        <f t="shared" si="6"/>
        <v>AJUSTEMENT INVENTAIRE PIECES</v>
      </c>
      <c r="N109" s="151">
        <f>+IF(OR($Q109=Parametres!$G$2,$Q109=Parametres!$G$3),I109,C109)</f>
        <v>2146.17</v>
      </c>
      <c r="O109" s="151">
        <f>+IF(OR($Q109=Parametres!$G$2,$Q109=Parametres!$G$3),J109,D109)</f>
        <v>407.73</v>
      </c>
      <c r="P109" s="151">
        <f>+IF(OR($Q109=Parametres!$G$2,$Q109=Parametres!$G$3),K109,E109)</f>
        <v>2553.9</v>
      </c>
      <c r="Q109" s="150" t="str">
        <f t="shared" si="7"/>
        <v>2-Actifs</v>
      </c>
      <c r="R109" s="149" t="str">
        <f t="shared" si="8"/>
        <v>243A</v>
      </c>
      <c r="S109" s="150">
        <f t="shared" si="9"/>
        <v>0</v>
      </c>
      <c r="T109" s="152" t="str">
        <f>+VLOOKUP($L109,Data_Validation!$A:$D,1,0)</f>
        <v>243F</v>
      </c>
      <c r="U109" s="152" t="str">
        <f>+VLOOKUP($L109,Data_Validation!$A:$D,3,0)</f>
        <v>Bilan</v>
      </c>
      <c r="V109" s="152" t="str">
        <f>+VLOOKUP($L109,Data_Validation!$A:$D,4,0)</f>
        <v>Inventaire Pièces, Pneus, Huile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1193</v>
      </c>
      <c r="B110" s="718" t="s">
        <v>882</v>
      </c>
      <c r="C110" s="720">
        <v>2248.4</v>
      </c>
      <c r="D110" s="720">
        <v>513.52</v>
      </c>
      <c r="E110" s="720">
        <v>2761.92</v>
      </c>
      <c r="F110" s="718" t="s">
        <v>2228</v>
      </c>
      <c r="G110" s="718" t="s">
        <v>882</v>
      </c>
      <c r="H110" s="673"/>
      <c r="I110" s="672"/>
      <c r="J110" s="672"/>
      <c r="K110" s="672"/>
      <c r="L110" s="149" t="str">
        <f t="shared" si="5"/>
        <v>247</v>
      </c>
      <c r="M110" s="150" t="str">
        <f t="shared" si="6"/>
        <v>INV. SOUS TRAITANCE</v>
      </c>
      <c r="N110" s="151">
        <f>+IF(OR($Q110=Parametres!$G$2,$Q110=Parametres!$G$3),I110,C110)</f>
        <v>2248.4</v>
      </c>
      <c r="O110" s="151">
        <f>+IF(OR($Q110=Parametres!$G$2,$Q110=Parametres!$G$3),J110,D110)</f>
        <v>513.52</v>
      </c>
      <c r="P110" s="151">
        <f>+IF(OR($Q110=Parametres!$G$2,$Q110=Parametres!$G$3),K110,E110)</f>
        <v>2761.92</v>
      </c>
      <c r="Q110" s="150" t="str">
        <f t="shared" si="7"/>
        <v>2-Actifs</v>
      </c>
      <c r="R110" s="149" t="str">
        <f t="shared" si="8"/>
        <v>247</v>
      </c>
      <c r="S110" s="150">
        <f t="shared" si="9"/>
        <v>0</v>
      </c>
      <c r="T110" s="152" t="str">
        <f>+VLOOKUP($L110,Data_Validation!$A:$D,1,0)</f>
        <v>247</v>
      </c>
      <c r="U110" s="152" t="str">
        <f>+VLOOKUP($L110,Data_Validation!$A:$D,3,0)</f>
        <v>Bilan</v>
      </c>
      <c r="V110" s="152" t="str">
        <f>+VLOOKUP($L110,Data_Validation!$A:$D,4,0)</f>
        <v>Sous-Traitance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381</v>
      </c>
      <c r="B111" s="718" t="s">
        <v>463</v>
      </c>
      <c r="C111" s="720">
        <v>3605.99</v>
      </c>
      <c r="D111" s="720">
        <v>469.11</v>
      </c>
      <c r="E111" s="720">
        <v>4075.1</v>
      </c>
      <c r="F111" s="718" t="s">
        <v>2228</v>
      </c>
      <c r="G111" s="718" t="s">
        <v>463</v>
      </c>
      <c r="H111" s="609"/>
      <c r="I111" s="608"/>
      <c r="J111" s="608"/>
      <c r="K111" s="608"/>
      <c r="L111" s="149" t="str">
        <f t="shared" si="5"/>
        <v>248</v>
      </c>
      <c r="M111" s="150" t="str">
        <f t="shared" si="6"/>
        <v>TRAVAUX EN COURS</v>
      </c>
      <c r="N111" s="151">
        <f>+IF(OR($Q111=Parametres!$G$2,$Q111=Parametres!$G$3),I111,C111)</f>
        <v>3605.99</v>
      </c>
      <c r="O111" s="151">
        <f>+IF(OR($Q111=Parametres!$G$2,$Q111=Parametres!$G$3),J111,D111)</f>
        <v>469.11</v>
      </c>
      <c r="P111" s="151">
        <f>+IF(OR($Q111=Parametres!$G$2,$Q111=Parametres!$G$3),K111,E111)</f>
        <v>4075.1</v>
      </c>
      <c r="Q111" s="150" t="str">
        <f t="shared" si="7"/>
        <v>2-Actifs</v>
      </c>
      <c r="R111" s="149" t="str">
        <f t="shared" si="8"/>
        <v>248</v>
      </c>
      <c r="S111" s="150">
        <f t="shared" si="9"/>
        <v>0</v>
      </c>
      <c r="T111" s="152" t="str">
        <f>+VLOOKUP($L111,Data_Validation!$A:$D,1,0)</f>
        <v>248</v>
      </c>
      <c r="U111" s="152" t="str">
        <f>+VLOOKUP($L111,Data_Validation!$A:$D,3,0)</f>
        <v>Bilan</v>
      </c>
      <c r="V111" s="152" t="str">
        <f>+VLOOKUP($L111,Data_Validation!$A:$D,4,0)</f>
        <v>Travaux en Cours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1826</v>
      </c>
      <c r="B112" s="718" t="s">
        <v>428</v>
      </c>
      <c r="C112" s="719">
        <v>196729.28</v>
      </c>
      <c r="D112" s="719">
        <v>-25456.63</v>
      </c>
      <c r="E112" s="719">
        <v>171272.65</v>
      </c>
      <c r="F112" s="718" t="s">
        <v>2228</v>
      </c>
      <c r="G112" s="718" t="s">
        <v>422</v>
      </c>
      <c r="H112" s="719"/>
      <c r="I112" s="720"/>
      <c r="J112" s="720"/>
      <c r="K112" s="720"/>
      <c r="L112" s="149" t="str">
        <f t="shared" si="5"/>
        <v>249</v>
      </c>
      <c r="M112" s="150" t="str">
        <f t="shared" si="6"/>
        <v>INV. PNEUS</v>
      </c>
      <c r="N112" s="151">
        <f>+IF(OR($Q112=Parametres!$G$2,$Q112=Parametres!$G$3),I112,C112)</f>
        <v>196729.28</v>
      </c>
      <c r="O112" s="504">
        <f>+IF(OR($Q112=Parametres!$G$2,$Q112=Parametres!$G$3),J112,D112)</f>
        <v>-25456.63</v>
      </c>
      <c r="P112" s="151">
        <f>+IF(OR($Q112=Parametres!$G$2,$Q112=Parametres!$G$3),K112,E112)</f>
        <v>171272.65</v>
      </c>
      <c r="Q112" s="150" t="str">
        <f t="shared" si="7"/>
        <v>2-Actifs</v>
      </c>
      <c r="R112" s="149" t="str">
        <f t="shared" si="8"/>
        <v>243A</v>
      </c>
      <c r="S112" s="150">
        <f t="shared" si="9"/>
        <v>0</v>
      </c>
      <c r="T112" s="152" t="str">
        <f>+VLOOKUP($L112,Data_Validation!$A:$D,1,0)</f>
        <v>249</v>
      </c>
      <c r="U112" s="152" t="str">
        <f>+VLOOKUP($L112,Data_Validation!$A:$D,3,0)</f>
        <v>Bilan</v>
      </c>
      <c r="V112" s="152" t="str">
        <f>+VLOOKUP($L112,Data_Validation!$A:$D,4,0)</f>
        <v>Inventaire Pièces, Pneus, Huile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1822</v>
      </c>
      <c r="B113" s="718" t="s">
        <v>447</v>
      </c>
      <c r="C113" s="720">
        <v>228.6</v>
      </c>
      <c r="D113" s="720">
        <v>-8388.77</v>
      </c>
      <c r="E113" s="720">
        <v>-8160.17</v>
      </c>
      <c r="F113" s="718" t="s">
        <v>2228</v>
      </c>
      <c r="G113" s="718" t="s">
        <v>2248</v>
      </c>
      <c r="H113" s="719"/>
      <c r="I113" s="719"/>
      <c r="J113" s="719"/>
      <c r="K113" s="719"/>
      <c r="L113" s="149" t="str">
        <f t="shared" si="5"/>
        <v>270A</v>
      </c>
      <c r="M113" s="150" t="str">
        <f t="shared" si="6"/>
        <v>TAXES PAYEES D'AVANCE</v>
      </c>
      <c r="N113" s="151">
        <f>+IF(OR($Q113=Parametres!$G$2,$Q113=Parametres!$G$3),I113,C113)</f>
        <v>228.6</v>
      </c>
      <c r="O113" s="151">
        <f>+IF(OR($Q113=Parametres!$G$2,$Q113=Parametres!$G$3),J113,D113)</f>
        <v>-8388.77</v>
      </c>
      <c r="P113" s="151">
        <f>+IF(OR($Q113=Parametres!$G$2,$Q113=Parametres!$G$3),K113,E113)</f>
        <v>-8160.17</v>
      </c>
      <c r="Q113" s="150" t="str">
        <f t="shared" si="7"/>
        <v>2-Actifs</v>
      </c>
      <c r="R113" s="149" t="str">
        <f t="shared" si="8"/>
        <v>270</v>
      </c>
      <c r="S113" s="150">
        <f t="shared" si="9"/>
        <v>0</v>
      </c>
      <c r="T113" s="152" t="str">
        <f>+VLOOKUP($L113,Data_Validation!$A:$D,1,0)</f>
        <v>270A</v>
      </c>
      <c r="U113" s="152" t="str">
        <f>+VLOOKUP($L113,Data_Validation!$A:$D,3,0)</f>
        <v>Bilan</v>
      </c>
      <c r="V113" s="152" t="str">
        <f>+VLOOKUP($L113,Data_Validation!$A:$D,4,0)</f>
        <v>Frais Payés d'Avance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1780</v>
      </c>
      <c r="B114" s="718" t="s">
        <v>1781</v>
      </c>
      <c r="C114" s="719">
        <v>-2123.9299999999998</v>
      </c>
      <c r="D114" s="719">
        <v>500</v>
      </c>
      <c r="E114" s="719">
        <v>-1623.93</v>
      </c>
      <c r="F114" s="718" t="s">
        <v>2228</v>
      </c>
      <c r="G114" s="718" t="s">
        <v>2248</v>
      </c>
      <c r="H114" s="719"/>
      <c r="I114" s="720"/>
      <c r="J114" s="720"/>
      <c r="K114" s="720"/>
      <c r="L114" s="149" t="str">
        <f t="shared" si="5"/>
        <v>270B</v>
      </c>
      <c r="M114" s="150" t="str">
        <f t="shared" si="6"/>
        <v>ELECTRICITE PAYES D'AVANCE</v>
      </c>
      <c r="N114" s="151">
        <f>+IF(OR($Q114=Parametres!$G$2,$Q114=Parametres!$G$3),I114,C114)</f>
        <v>-2123.9299999999998</v>
      </c>
      <c r="O114" s="151">
        <f>+IF(OR($Q114=Parametres!$G$2,$Q114=Parametres!$G$3),J114,D114)</f>
        <v>500</v>
      </c>
      <c r="P114" s="151">
        <f>+IF(OR($Q114=Parametres!$G$2,$Q114=Parametres!$G$3),K114,E114)</f>
        <v>-1623.93</v>
      </c>
      <c r="Q114" s="150" t="str">
        <f t="shared" si="7"/>
        <v>2-Actifs</v>
      </c>
      <c r="R114" s="149" t="str">
        <f t="shared" si="8"/>
        <v>270</v>
      </c>
      <c r="S114" s="150">
        <f t="shared" si="9"/>
        <v>0</v>
      </c>
      <c r="T114" s="152" t="str">
        <f>+VLOOKUP($L114,Data_Validation!$A:$D,1,0)</f>
        <v>270B</v>
      </c>
      <c r="U114" s="152" t="str">
        <f>+VLOOKUP($L114,Data_Validation!$A:$D,3,0)</f>
        <v>Bilan</v>
      </c>
      <c r="V114" s="152" t="str">
        <f>+VLOOKUP($L114,Data_Validation!$A:$D,4,0)</f>
        <v>Autres courus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1812</v>
      </c>
      <c r="B115" s="718" t="s">
        <v>1813</v>
      </c>
      <c r="C115" s="720">
        <v>7581.52</v>
      </c>
      <c r="D115" s="720">
        <v>11101.75</v>
      </c>
      <c r="E115" s="720">
        <v>18683.27</v>
      </c>
      <c r="F115" s="718" t="s">
        <v>2228</v>
      </c>
      <c r="G115" s="718" t="s">
        <v>2248</v>
      </c>
      <c r="H115" s="673"/>
      <c r="I115" s="673"/>
      <c r="J115" s="673"/>
      <c r="K115" s="673"/>
      <c r="L115" s="149" t="str">
        <f t="shared" si="5"/>
        <v>270C</v>
      </c>
      <c r="M115" s="150" t="str">
        <f t="shared" si="6"/>
        <v>PLAQUES PAYES D'AVANCE</v>
      </c>
      <c r="N115" s="151">
        <f>+IF(OR($Q115=Parametres!$G$2,$Q115=Parametres!$G$3),I115,C115)</f>
        <v>7581.52</v>
      </c>
      <c r="O115" s="151">
        <f>+IF(OR($Q115=Parametres!$G$2,$Q115=Parametres!$G$3),J115,D115)</f>
        <v>11101.75</v>
      </c>
      <c r="P115" s="151">
        <f>+IF(OR($Q115=Parametres!$G$2,$Q115=Parametres!$G$3),K115,E115)</f>
        <v>18683.27</v>
      </c>
      <c r="Q115" s="150" t="str">
        <f t="shared" si="7"/>
        <v>2-Actifs</v>
      </c>
      <c r="R115" s="149" t="str">
        <f t="shared" si="8"/>
        <v>270</v>
      </c>
      <c r="S115" s="150">
        <f t="shared" si="9"/>
        <v>0</v>
      </c>
      <c r="T115" s="152" t="str">
        <f>+VLOOKUP($L115,Data_Validation!$A:$D,1,0)</f>
        <v>270C</v>
      </c>
      <c r="U115" s="152" t="str">
        <f>+VLOOKUP($L115,Data_Validation!$A:$D,3,0)</f>
        <v>Bilan</v>
      </c>
      <c r="V115" s="152" t="str">
        <f>+VLOOKUP($L115,Data_Validation!$A:$D,4,0)</f>
        <v>Frais Payés d'Avance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941</v>
      </c>
      <c r="B116" s="718" t="s">
        <v>387</v>
      </c>
      <c r="C116" s="720">
        <v>-1275</v>
      </c>
      <c r="D116" s="720">
        <v>-1475</v>
      </c>
      <c r="E116" s="720">
        <v>-2750</v>
      </c>
      <c r="F116" s="718" t="s">
        <v>2228</v>
      </c>
      <c r="G116" s="718" t="s">
        <v>387</v>
      </c>
      <c r="H116" s="666"/>
      <c r="I116" s="665"/>
      <c r="J116" s="665"/>
      <c r="K116" s="665"/>
      <c r="L116" s="149" t="str">
        <f t="shared" si="5"/>
        <v>274</v>
      </c>
      <c r="M116" s="150" t="str">
        <f t="shared" si="6"/>
        <v>FPA CONTRATS DE SERVICE</v>
      </c>
      <c r="N116" s="151">
        <f>+IF(OR($Q116=Parametres!$G$2,$Q116=Parametres!$G$3),I116,C116)</f>
        <v>-1275</v>
      </c>
      <c r="O116" s="151">
        <f>+IF(OR($Q116=Parametres!$G$2,$Q116=Parametres!$G$3),J116,D116)</f>
        <v>-1475</v>
      </c>
      <c r="P116" s="151">
        <f>+IF(OR($Q116=Parametres!$G$2,$Q116=Parametres!$G$3),K116,E116)</f>
        <v>-2750</v>
      </c>
      <c r="Q116" s="150" t="str">
        <f t="shared" si="7"/>
        <v>2-Actifs</v>
      </c>
      <c r="R116" s="149" t="str">
        <f t="shared" si="8"/>
        <v>274</v>
      </c>
      <c r="S116" s="150">
        <f t="shared" si="9"/>
        <v>0</v>
      </c>
      <c r="T116" s="152" t="str">
        <f>+VLOOKUP($L116,Data_Validation!$A:$D,1,0)</f>
        <v>274</v>
      </c>
      <c r="U116" s="152" t="str">
        <f>+VLOOKUP($L116,Data_Validation!$A:$D,3,0)</f>
        <v>Bilan</v>
      </c>
      <c r="V116" s="152" t="str">
        <f>+VLOOKUP($L116,Data_Validation!$A:$D,4,0)</f>
        <v>Frais Payés d'Avance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1824</v>
      </c>
      <c r="B117" s="718" t="s">
        <v>597</v>
      </c>
      <c r="C117" s="719">
        <v>-4000</v>
      </c>
      <c r="D117" s="719">
        <v>0</v>
      </c>
      <c r="E117" s="719">
        <v>-4000</v>
      </c>
      <c r="F117" s="718" t="s">
        <v>2228</v>
      </c>
      <c r="G117" s="718" t="s">
        <v>387</v>
      </c>
      <c r="H117" s="719"/>
      <c r="I117" s="720"/>
      <c r="J117" s="720"/>
      <c r="K117" s="720"/>
      <c r="L117" s="149" t="str">
        <f t="shared" si="5"/>
        <v>275A</v>
      </c>
      <c r="M117" s="150" t="str">
        <f t="shared" si="6"/>
        <v>FPA PUB NEUF</v>
      </c>
      <c r="N117" s="151">
        <f>+IF(OR($Q117=Parametres!$G$2,$Q117=Parametres!$G$3),I117,C117)</f>
        <v>-4000</v>
      </c>
      <c r="O117" s="151">
        <f>+IF(OR($Q117=Parametres!$G$2,$Q117=Parametres!$G$3),J117,D117)</f>
        <v>0</v>
      </c>
      <c r="P117" s="151">
        <f>+IF(OR($Q117=Parametres!$G$2,$Q117=Parametres!$G$3),K117,E117)</f>
        <v>-4000</v>
      </c>
      <c r="Q117" s="150" t="str">
        <f t="shared" si="7"/>
        <v>2-Actifs</v>
      </c>
      <c r="R117" s="149" t="str">
        <f t="shared" si="8"/>
        <v>274</v>
      </c>
      <c r="S117" s="150">
        <f t="shared" si="9"/>
        <v>0</v>
      </c>
      <c r="T117" s="152" t="str">
        <f>+VLOOKUP($L117,Data_Validation!$A:$D,1,0)</f>
        <v>275A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1803</v>
      </c>
      <c r="B118" s="718" t="s">
        <v>443</v>
      </c>
      <c r="C118" s="720">
        <v>-3000</v>
      </c>
      <c r="D118" s="720">
        <v>-4766.55</v>
      </c>
      <c r="E118" s="720">
        <v>-7766.55</v>
      </c>
      <c r="F118" s="718" t="s">
        <v>2228</v>
      </c>
      <c r="G118" s="718" t="s">
        <v>387</v>
      </c>
      <c r="H118" s="673"/>
      <c r="I118" s="672"/>
      <c r="J118" s="672"/>
      <c r="K118" s="672"/>
      <c r="L118" s="149" t="str">
        <f t="shared" si="5"/>
        <v>275C</v>
      </c>
      <c r="M118" s="150" t="str">
        <f t="shared" si="6"/>
        <v>FPA PUB USAGE</v>
      </c>
      <c r="N118" s="151">
        <f>+IF(OR($Q118=Parametres!$G$2,$Q118=Parametres!$G$3),I118,C118)</f>
        <v>-3000</v>
      </c>
      <c r="O118" s="151">
        <f>+IF(OR($Q118=Parametres!$G$2,$Q118=Parametres!$G$3),J118,D118)</f>
        <v>-4766.55</v>
      </c>
      <c r="P118" s="151">
        <f>+IF(OR($Q118=Parametres!$G$2,$Q118=Parametres!$G$3),K118,E118)</f>
        <v>-7766.55</v>
      </c>
      <c r="Q118" s="150" t="str">
        <f t="shared" si="7"/>
        <v>2-Actifs</v>
      </c>
      <c r="R118" s="149" t="str">
        <f t="shared" si="8"/>
        <v>274</v>
      </c>
      <c r="S118" s="150">
        <f t="shared" si="9"/>
        <v>0</v>
      </c>
      <c r="T118" s="152" t="str">
        <f>+VLOOKUP($L118,Data_Validation!$A:$D,1,0)</f>
        <v>275C</v>
      </c>
      <c r="U118" s="152" t="str">
        <f>+VLOOKUP($L118,Data_Validation!$A:$D,3,0)</f>
        <v>Bilan</v>
      </c>
      <c r="V118" s="152" t="str">
        <f>+VLOOKUP($L118,Data_Validation!$A:$D,4,0)</f>
        <v>Frais Payés d'Avance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1888</v>
      </c>
      <c r="B119" s="718" t="s">
        <v>1889</v>
      </c>
      <c r="C119" s="719">
        <v>-1324.4</v>
      </c>
      <c r="D119" s="719">
        <v>1324.4</v>
      </c>
      <c r="E119" s="719">
        <v>0</v>
      </c>
      <c r="F119" s="718" t="s">
        <v>2228</v>
      </c>
      <c r="G119" s="718" t="s">
        <v>387</v>
      </c>
      <c r="H119" s="719"/>
      <c r="I119" s="720"/>
      <c r="J119" s="720"/>
      <c r="K119" s="720"/>
      <c r="L119" s="149" t="str">
        <f t="shared" si="5"/>
        <v>275E</v>
      </c>
      <c r="M119" s="150" t="str">
        <f t="shared" si="6"/>
        <v>FPA PUB FIXE</v>
      </c>
      <c r="N119" s="151">
        <f>+IF(OR($Q119=Parametres!$G$2,$Q119=Parametres!$G$3),I119,C119)</f>
        <v>-1324.4</v>
      </c>
      <c r="O119" s="151">
        <f>+IF(OR($Q119=Parametres!$G$2,$Q119=Parametres!$G$3),J119,D119)</f>
        <v>1324.4</v>
      </c>
      <c r="P119" s="151">
        <f>+IF(OR($Q119=Parametres!$G$2,$Q119=Parametres!$G$3),K119,E119)</f>
        <v>0</v>
      </c>
      <c r="Q119" s="150" t="str">
        <f t="shared" si="7"/>
        <v>2-Actifs</v>
      </c>
      <c r="R119" s="149" t="str">
        <f t="shared" si="8"/>
        <v>274</v>
      </c>
      <c r="S119" s="150">
        <f t="shared" si="9"/>
        <v>0</v>
      </c>
      <c r="T119" s="152" t="str">
        <f>+VLOOKUP($L119,Data_Validation!$A:$D,1,0)</f>
        <v>275E</v>
      </c>
      <c r="U119" s="152" t="str">
        <f>+VLOOKUP($L119,Data_Validation!$A:$D,3,0)</f>
        <v>Bilan</v>
      </c>
      <c r="V119" s="152" t="str">
        <f>+VLOOKUP($L119,Data_Validation!$A:$D,4,0)</f>
        <v>Frais Payés d'Avance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1749</v>
      </c>
      <c r="B120" s="718" t="s">
        <v>1010</v>
      </c>
      <c r="C120" s="720">
        <v>1325</v>
      </c>
      <c r="D120" s="720">
        <v>-150</v>
      </c>
      <c r="E120" s="720">
        <v>1175</v>
      </c>
      <c r="F120" s="718" t="s">
        <v>2228</v>
      </c>
      <c r="G120" s="718" t="s">
        <v>387</v>
      </c>
      <c r="H120" s="673"/>
      <c r="I120" s="672"/>
      <c r="J120" s="672"/>
      <c r="K120" s="672"/>
      <c r="L120" s="149" t="str">
        <f t="shared" si="5"/>
        <v>276A</v>
      </c>
      <c r="M120" s="150" t="str">
        <f t="shared" si="6"/>
        <v>FPA CCAQ</v>
      </c>
      <c r="N120" s="151">
        <f>+IF(OR($Q120=Parametres!$G$2,$Q120=Parametres!$G$3),I120,C120)</f>
        <v>1325</v>
      </c>
      <c r="O120" s="151">
        <f>+IF(OR($Q120=Parametres!$G$2,$Q120=Parametres!$G$3),J120,D120)</f>
        <v>-150</v>
      </c>
      <c r="P120" s="151">
        <f>+IF(OR($Q120=Parametres!$G$2,$Q120=Parametres!$G$3),K120,E120)</f>
        <v>1175</v>
      </c>
      <c r="Q120" s="150" t="str">
        <f t="shared" si="7"/>
        <v>2-Actifs</v>
      </c>
      <c r="R120" s="149" t="str">
        <f t="shared" si="8"/>
        <v>274</v>
      </c>
      <c r="S120" s="150">
        <f t="shared" si="9"/>
        <v>0</v>
      </c>
      <c r="T120" s="152" t="str">
        <f>+VLOOKUP($L120,Data_Validation!$A:$D,1,0)</f>
        <v>276A</v>
      </c>
      <c r="U120" s="152" t="str">
        <f>+VLOOKUP($L120,Data_Validation!$A:$D,3,0)</f>
        <v>Bilan</v>
      </c>
      <c r="V120" s="152" t="str">
        <f>+VLOOKUP($L120,Data_Validation!$A:$D,4,0)</f>
        <v>Frais Payés d'Avance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598</v>
      </c>
      <c r="B121" s="718" t="s">
        <v>599</v>
      </c>
      <c r="C121" s="720">
        <v>-6416.2</v>
      </c>
      <c r="D121" s="720">
        <v>0</v>
      </c>
      <c r="E121" s="720">
        <v>-6416.2</v>
      </c>
      <c r="F121" s="718" t="s">
        <v>2228</v>
      </c>
      <c r="G121" s="718" t="s">
        <v>387</v>
      </c>
      <c r="H121" s="666"/>
      <c r="I121" s="665"/>
      <c r="J121" s="665"/>
      <c r="K121" s="665"/>
      <c r="L121" s="149" t="str">
        <f t="shared" si="5"/>
        <v>276B</v>
      </c>
      <c r="M121" s="150" t="str">
        <f t="shared" si="6"/>
        <v>FPA FORMATION</v>
      </c>
      <c r="N121" s="151">
        <f>+IF(OR($Q121=Parametres!$G$2,$Q121=Parametres!$G$3),I121,C121)</f>
        <v>-6416.2</v>
      </c>
      <c r="O121" s="151">
        <f>+IF(OR($Q121=Parametres!$G$2,$Q121=Parametres!$G$3),J121,D121)</f>
        <v>0</v>
      </c>
      <c r="P121" s="151">
        <f>+IF(OR($Q121=Parametres!$G$2,$Q121=Parametres!$G$3),K121,E121)</f>
        <v>-6416.2</v>
      </c>
      <c r="Q121" s="150" t="str">
        <f t="shared" si="7"/>
        <v>2-Actifs</v>
      </c>
      <c r="R121" s="149" t="str">
        <f t="shared" si="8"/>
        <v>274</v>
      </c>
      <c r="S121" s="150">
        <f t="shared" si="9"/>
        <v>0</v>
      </c>
      <c r="T121" s="152" t="str">
        <f>+VLOOKUP($L121,Data_Validation!$A:$D,1,0)</f>
        <v>276B</v>
      </c>
      <c r="U121" s="152" t="str">
        <f>+VLOOKUP($L121,Data_Validation!$A:$D,3,0)</f>
        <v>Bilan</v>
      </c>
      <c r="V121" s="152" t="str">
        <f>+VLOOKUP($L121,Data_Validation!$A:$D,4,0)</f>
        <v>Frais Payés d'Avance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2125</v>
      </c>
      <c r="B122" s="718" t="s">
        <v>2126</v>
      </c>
      <c r="C122" s="720">
        <v>47438.53</v>
      </c>
      <c r="D122" s="720">
        <v>-14768.9</v>
      </c>
      <c r="E122" s="720">
        <v>32669.63</v>
      </c>
      <c r="F122" s="718" t="s">
        <v>2228</v>
      </c>
      <c r="G122" s="718" t="s">
        <v>2248</v>
      </c>
      <c r="H122" s="673"/>
      <c r="I122" s="672"/>
      <c r="J122" s="672"/>
      <c r="K122" s="672"/>
      <c r="L122" s="149" t="str">
        <f t="shared" si="5"/>
        <v>279</v>
      </c>
      <c r="M122" s="150" t="str">
        <f t="shared" si="6"/>
        <v>TAXES A RECEVOIR</v>
      </c>
      <c r="N122" s="151">
        <f>+IF(OR($Q122=Parametres!$G$2,$Q122=Parametres!$G$3),I122,C122)</f>
        <v>47438.53</v>
      </c>
      <c r="O122" s="504">
        <f>+IF(OR($Q122=Parametres!$G$2,$Q122=Parametres!$G$3),J122,D122)</f>
        <v>-14768.9</v>
      </c>
      <c r="P122" s="151">
        <f>+IF(OR($Q122=Parametres!$G$2,$Q122=Parametres!$G$3),K122,E122)</f>
        <v>32669.63</v>
      </c>
      <c r="Q122" s="150" t="str">
        <f t="shared" si="7"/>
        <v>2-Actifs</v>
      </c>
      <c r="R122" s="149" t="str">
        <f t="shared" si="8"/>
        <v>270</v>
      </c>
      <c r="S122" s="150">
        <f t="shared" si="9"/>
        <v>0</v>
      </c>
      <c r="T122" s="152" t="str">
        <f>+VLOOKUP($L122,Data_Validation!$A:$D,1,0)</f>
        <v>279</v>
      </c>
      <c r="U122" s="152" t="str">
        <f>+VLOOKUP($L122,Data_Validation!$A:$D,3,0)</f>
        <v>Bilan</v>
      </c>
      <c r="V122" s="152" t="str">
        <f>+VLOOKUP($L122,Data_Validation!$A:$D,4,0)</f>
        <v>Recevables Autres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1943</v>
      </c>
      <c r="B123" s="718" t="s">
        <v>1944</v>
      </c>
      <c r="C123" s="720">
        <v>539.32000000000005</v>
      </c>
      <c r="D123" s="720">
        <v>-539.32000000000005</v>
      </c>
      <c r="E123" s="720">
        <v>0</v>
      </c>
      <c r="F123" s="718" t="s">
        <v>2228</v>
      </c>
      <c r="G123" s="718" t="s">
        <v>2248</v>
      </c>
      <c r="H123" s="607"/>
      <c r="I123" s="153"/>
      <c r="J123" s="153"/>
      <c r="K123" s="153"/>
      <c r="L123" s="149" t="str">
        <f t="shared" si="5"/>
        <v>279A</v>
      </c>
      <c r="M123" s="150" t="str">
        <f t="shared" si="6"/>
        <v>INTERCO</v>
      </c>
      <c r="N123" s="151">
        <f>+IF(OR($Q123=Parametres!$G$2,$Q123=Parametres!$G$3),I123,C123)</f>
        <v>539.32000000000005</v>
      </c>
      <c r="O123" s="504">
        <f>+IF(OR($Q123=Parametres!$G$2,$Q123=Parametres!$G$3),J123,D123)</f>
        <v>-539.32000000000005</v>
      </c>
      <c r="P123" s="151">
        <f>+IF(OR($Q123=Parametres!$G$2,$Q123=Parametres!$G$3),K123,E123)</f>
        <v>0</v>
      </c>
      <c r="Q123" s="150" t="str">
        <f t="shared" si="7"/>
        <v>2-Actifs</v>
      </c>
      <c r="R123" s="149" t="str">
        <f t="shared" si="8"/>
        <v>270</v>
      </c>
      <c r="S123" s="150">
        <f t="shared" si="9"/>
        <v>0</v>
      </c>
      <c r="T123" s="152" t="str">
        <f>+VLOOKUP($L123,Data_Validation!$A:$D,1,0)</f>
        <v>279A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406</v>
      </c>
      <c r="B124" s="718" t="s">
        <v>407</v>
      </c>
      <c r="C124" s="720">
        <v>7047.47</v>
      </c>
      <c r="D124" s="720">
        <v>-1598.64</v>
      </c>
      <c r="E124" s="720">
        <v>5448.83</v>
      </c>
      <c r="F124" s="718" t="s">
        <v>2228</v>
      </c>
      <c r="G124" s="718" t="s">
        <v>387</v>
      </c>
      <c r="H124" s="609"/>
      <c r="I124" s="608"/>
      <c r="J124" s="608"/>
      <c r="K124" s="608"/>
      <c r="L124" s="149" t="str">
        <f t="shared" si="5"/>
        <v>279B</v>
      </c>
      <c r="M124" s="150" t="str">
        <f t="shared" si="6"/>
        <v>FPA AUTRES</v>
      </c>
      <c r="N124" s="151">
        <f>+IF(OR($Q124=Parametres!$G$2,$Q124=Parametres!$G$3),I124,C124)</f>
        <v>7047.47</v>
      </c>
      <c r="O124" s="151">
        <f>+IF(OR($Q124=Parametres!$G$2,$Q124=Parametres!$G$3),J124,D124)</f>
        <v>-1598.64</v>
      </c>
      <c r="P124" s="151">
        <f>+IF(OR($Q124=Parametres!$G$2,$Q124=Parametres!$G$3),K124,E124)</f>
        <v>5448.83</v>
      </c>
      <c r="Q124" s="150" t="str">
        <f t="shared" si="7"/>
        <v>2-Actifs</v>
      </c>
      <c r="R124" s="149" t="str">
        <f t="shared" si="8"/>
        <v>274</v>
      </c>
      <c r="S124" s="150">
        <f t="shared" si="9"/>
        <v>0</v>
      </c>
      <c r="T124" s="152" t="str">
        <f>+VLOOKUP($L124,Data_Validation!$A:$D,1,0)</f>
        <v>279B</v>
      </c>
      <c r="U124" s="152" t="str">
        <f>+VLOOKUP($L124,Data_Validation!$A:$D,3,0)</f>
        <v>Bilan</v>
      </c>
      <c r="V124" s="152" t="str">
        <f>+VLOOKUP($L124,Data_Validation!$A:$D,4,0)</f>
        <v>Frais Payés d'Avance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1185</v>
      </c>
      <c r="B125" s="718" t="s">
        <v>389</v>
      </c>
      <c r="C125" s="720">
        <v>652672.41</v>
      </c>
      <c r="D125" s="720">
        <v>1999.45</v>
      </c>
      <c r="E125" s="720">
        <v>654671.86</v>
      </c>
      <c r="F125" s="718" t="s">
        <v>2228</v>
      </c>
      <c r="G125" s="718" t="s">
        <v>389</v>
      </c>
      <c r="H125" s="607"/>
      <c r="I125" s="608"/>
      <c r="J125" s="608"/>
      <c r="K125" s="608"/>
      <c r="L125" s="149" t="str">
        <f t="shared" si="5"/>
        <v>282</v>
      </c>
      <c r="M125" s="150" t="str">
        <f t="shared" si="6"/>
        <v>EQUIPEMENTS &amp; OUTILLAGES</v>
      </c>
      <c r="N125" s="151">
        <f>+IF(OR($Q125=Parametres!$G$2,$Q125=Parametres!$G$3),I125,C125)</f>
        <v>652672.41</v>
      </c>
      <c r="O125" s="151">
        <f>+IF(OR($Q125=Parametres!$G$2,$Q125=Parametres!$G$3),J125,D125)</f>
        <v>1999.45</v>
      </c>
      <c r="P125" s="151">
        <f>+IF(OR($Q125=Parametres!$G$2,$Q125=Parametres!$G$3),K125,E125)</f>
        <v>654671.86</v>
      </c>
      <c r="Q125" s="150" t="str">
        <f t="shared" si="7"/>
        <v>2-Actifs</v>
      </c>
      <c r="R125" s="149" t="str">
        <f t="shared" si="8"/>
        <v>282</v>
      </c>
      <c r="S125" s="150">
        <f t="shared" si="9"/>
        <v>0</v>
      </c>
      <c r="T125" s="152" t="str">
        <f>+VLOOKUP($L125,Data_Validation!$A:$D,1,0)</f>
        <v>282</v>
      </c>
      <c r="U125" s="152" t="str">
        <f>+VLOOKUP($L125,Data_Validation!$A:$D,3,0)</f>
        <v>Bilan</v>
      </c>
      <c r="V125" s="152" t="str">
        <f>+VLOOKUP($L125,Data_Validation!$A:$D,4,0)</f>
        <v>Équipements Service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1357</v>
      </c>
      <c r="B126" s="718" t="s">
        <v>382</v>
      </c>
      <c r="C126" s="720">
        <v>17171.47</v>
      </c>
      <c r="D126" s="720">
        <v>0</v>
      </c>
      <c r="E126" s="720">
        <v>17171.47</v>
      </c>
      <c r="F126" s="718" t="s">
        <v>2228</v>
      </c>
      <c r="G126" s="718" t="s">
        <v>382</v>
      </c>
      <c r="H126" s="673"/>
      <c r="I126" s="673"/>
      <c r="J126" s="673"/>
      <c r="K126" s="673"/>
      <c r="L126" s="149" t="str">
        <f t="shared" si="5"/>
        <v>283</v>
      </c>
      <c r="M126" s="150" t="str">
        <f t="shared" si="6"/>
        <v>EQUIPEMENTS PIECES &amp; ACCESSOIRES</v>
      </c>
      <c r="N126" s="151">
        <f>+IF(OR($Q126=Parametres!$G$2,$Q126=Parametres!$G$3),I126,C126)</f>
        <v>17171.47</v>
      </c>
      <c r="O126" s="504">
        <f>+IF(OR($Q126=Parametres!$G$2,$Q126=Parametres!$G$3),J126,D126)</f>
        <v>0</v>
      </c>
      <c r="P126" s="151">
        <f>+IF(OR($Q126=Parametres!$G$2,$Q126=Parametres!$G$3),K126,E126)</f>
        <v>17171.47</v>
      </c>
      <c r="Q126" s="150" t="str">
        <f t="shared" si="7"/>
        <v>2-Actifs</v>
      </c>
      <c r="R126" s="149" t="str">
        <f t="shared" si="8"/>
        <v>283</v>
      </c>
      <c r="S126" s="150">
        <f t="shared" si="9"/>
        <v>0</v>
      </c>
      <c r="T126" s="152" t="str">
        <f>+VLOOKUP($L126,Data_Validation!$A:$D,1,0)</f>
        <v>283</v>
      </c>
      <c r="U126" s="152" t="str">
        <f>+VLOOKUP($L126,Data_Validation!$A:$D,3,0)</f>
        <v>Bilan</v>
      </c>
      <c r="V126" s="152" t="str">
        <f>+VLOOKUP($L126,Data_Validation!$A:$D,4,0)</f>
        <v>Équipements Service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1358</v>
      </c>
      <c r="B127" s="718" t="s">
        <v>1359</v>
      </c>
      <c r="C127" s="720">
        <v>363347.53</v>
      </c>
      <c r="D127" s="720">
        <v>0</v>
      </c>
      <c r="E127" s="720">
        <v>363347.53</v>
      </c>
      <c r="F127" s="718" t="s">
        <v>2228</v>
      </c>
      <c r="G127" s="718" t="s">
        <v>1359</v>
      </c>
      <c r="H127" s="673"/>
      <c r="I127" s="672"/>
      <c r="J127" s="672"/>
      <c r="K127" s="672"/>
      <c r="L127" s="149" t="str">
        <f t="shared" si="5"/>
        <v>284A</v>
      </c>
      <c r="M127" s="150" t="str">
        <f t="shared" si="6"/>
        <v>MEUBLES &amp; ACCESSOIRES</v>
      </c>
      <c r="N127" s="151">
        <f>+IF(OR($Q127=Parametres!$G$2,$Q127=Parametres!$G$3),I127,C127)</f>
        <v>363347.53</v>
      </c>
      <c r="O127" s="504">
        <f>+IF(OR($Q127=Parametres!$G$2,$Q127=Parametres!$G$3),J127,D127)</f>
        <v>0</v>
      </c>
      <c r="P127" s="151">
        <f>+IF(OR($Q127=Parametres!$G$2,$Q127=Parametres!$G$3),K127,E127)</f>
        <v>363347.53</v>
      </c>
      <c r="Q127" s="150" t="str">
        <f t="shared" si="7"/>
        <v>2-Actifs</v>
      </c>
      <c r="R127" s="149" t="str">
        <f t="shared" si="8"/>
        <v>284A</v>
      </c>
      <c r="S127" s="150">
        <f t="shared" si="9"/>
        <v>0</v>
      </c>
      <c r="T127" s="152" t="str">
        <f>+VLOOKUP($L127,Data_Validation!$A:$D,1,0)</f>
        <v>284A</v>
      </c>
      <c r="U127" s="152" t="str">
        <f>+VLOOKUP($L127,Data_Validation!$A:$D,3,0)</f>
        <v>Bilan</v>
      </c>
      <c r="V127" s="152" t="str">
        <f>+VLOOKUP($L127,Data_Validation!$A:$D,4,0)</f>
        <v>Mobilier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1360</v>
      </c>
      <c r="B128" s="718" t="s">
        <v>1361</v>
      </c>
      <c r="C128" s="719">
        <v>77175.42</v>
      </c>
      <c r="D128" s="719">
        <v>0</v>
      </c>
      <c r="E128" s="719">
        <v>77175.42</v>
      </c>
      <c r="F128" s="718" t="s">
        <v>2228</v>
      </c>
      <c r="G128" s="718" t="s">
        <v>1361</v>
      </c>
      <c r="H128" s="719"/>
      <c r="I128" s="720"/>
      <c r="J128" s="720"/>
      <c r="K128" s="720"/>
      <c r="L128" s="149" t="str">
        <f t="shared" si="5"/>
        <v>284B</v>
      </c>
      <c r="M128" s="150" t="str">
        <f t="shared" si="6"/>
        <v>ENSEIGNE</v>
      </c>
      <c r="N128" s="151">
        <f>+IF(OR($Q128=Parametres!$G$2,$Q128=Parametres!$G$3),I128,C128)</f>
        <v>77175.42</v>
      </c>
      <c r="O128" s="151">
        <f>+IF(OR($Q128=Parametres!$G$2,$Q128=Parametres!$G$3),J128,D128)</f>
        <v>0</v>
      </c>
      <c r="P128" s="151">
        <f>+IF(OR($Q128=Parametres!$G$2,$Q128=Parametres!$G$3),K128,E128)</f>
        <v>77175.42</v>
      </c>
      <c r="Q128" s="150" t="str">
        <f t="shared" si="7"/>
        <v>2-Actifs</v>
      </c>
      <c r="R128" s="149" t="str">
        <f t="shared" si="8"/>
        <v>284B</v>
      </c>
      <c r="S128" s="150">
        <f t="shared" si="9"/>
        <v>0</v>
      </c>
      <c r="T128" s="152" t="str">
        <f>+VLOOKUP($L128,Data_Validation!$A:$D,1,0)</f>
        <v>284B</v>
      </c>
      <c r="U128" s="152" t="str">
        <f>+VLOOKUP($L128,Data_Validation!$A:$D,3,0)</f>
        <v>Bilan</v>
      </c>
      <c r="V128" s="152" t="str">
        <f>+VLOOKUP($L128,Data_Validation!$A:$D,4,0)</f>
        <v>Enseigne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1362</v>
      </c>
      <c r="B129" s="718" t="s">
        <v>1363</v>
      </c>
      <c r="C129" s="720">
        <v>162185.28</v>
      </c>
      <c r="D129" s="720">
        <v>0</v>
      </c>
      <c r="E129" s="720">
        <v>162185.28</v>
      </c>
      <c r="F129" s="718" t="s">
        <v>2228</v>
      </c>
      <c r="G129" s="718" t="s">
        <v>1363</v>
      </c>
      <c r="H129" s="673"/>
      <c r="I129" s="672"/>
      <c r="J129" s="672"/>
      <c r="K129" s="672"/>
      <c r="L129" s="149" t="str">
        <f t="shared" si="5"/>
        <v>284C</v>
      </c>
      <c r="M129" s="150" t="str">
        <f t="shared" si="6"/>
        <v>EQUIPEMENTS INFORMATIQUE</v>
      </c>
      <c r="N129" s="151">
        <f>+IF(OR($Q129=Parametres!$G$2,$Q129=Parametres!$G$3),I129,C129)</f>
        <v>162185.28</v>
      </c>
      <c r="O129" s="151">
        <f>+IF(OR($Q129=Parametres!$G$2,$Q129=Parametres!$G$3),J129,D129)</f>
        <v>0</v>
      </c>
      <c r="P129" s="151">
        <f>+IF(OR($Q129=Parametres!$G$2,$Q129=Parametres!$G$3),K129,E129)</f>
        <v>162185.28</v>
      </c>
      <c r="Q129" s="150" t="str">
        <f t="shared" si="7"/>
        <v>2-Actifs</v>
      </c>
      <c r="R129" s="149" t="str">
        <f t="shared" si="8"/>
        <v>284C</v>
      </c>
      <c r="S129" s="150">
        <f t="shared" si="9"/>
        <v>0</v>
      </c>
      <c r="T129" s="152" t="str">
        <f>+VLOOKUP($L129,Data_Validation!$A:$D,1,0)</f>
        <v>284C</v>
      </c>
      <c r="U129" s="152" t="str">
        <f>+VLOOKUP($L129,Data_Validation!$A:$D,3,0)</f>
        <v>Bilan</v>
      </c>
      <c r="V129" s="152" t="str">
        <f>+VLOOKUP($L129,Data_Validation!$A:$D,4,0)</f>
        <v>Équipements Informatique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1366</v>
      </c>
      <c r="B130" s="718" t="s">
        <v>377</v>
      </c>
      <c r="C130" s="720">
        <v>2144.98</v>
      </c>
      <c r="D130" s="720">
        <v>0</v>
      </c>
      <c r="E130" s="720">
        <v>2144.98</v>
      </c>
      <c r="F130" s="718" t="s">
        <v>2228</v>
      </c>
      <c r="G130" s="718" t="s">
        <v>377</v>
      </c>
      <c r="H130" s="673"/>
      <c r="I130" s="672"/>
      <c r="J130" s="672"/>
      <c r="K130" s="672"/>
      <c r="L130" s="149" t="str">
        <f t="shared" ref="L130:L193" si="10">+B130</f>
        <v>285</v>
      </c>
      <c r="M130" s="150" t="str">
        <f t="shared" ref="M130:M193" si="11">+A130</f>
        <v>VEHICULES DE COMPAGNIE</v>
      </c>
      <c r="N130" s="151">
        <f>+IF(OR($Q130=Parametres!$G$2,$Q130=Parametres!$G$3),I130,C130)</f>
        <v>2144.98</v>
      </c>
      <c r="O130" s="151">
        <f>+IF(OR($Q130=Parametres!$G$2,$Q130=Parametres!$G$3),J130,D130)</f>
        <v>0</v>
      </c>
      <c r="P130" s="151">
        <f>+IF(OR($Q130=Parametres!$G$2,$Q130=Parametres!$G$3),K130,E130)</f>
        <v>2144.98</v>
      </c>
      <c r="Q130" s="150" t="str">
        <f t="shared" ref="Q130:Q193" si="12">+F130</f>
        <v>2-Actifs</v>
      </c>
      <c r="R130" s="149" t="str">
        <f t="shared" ref="R130:R193" si="13">+G130</f>
        <v>285</v>
      </c>
      <c r="S130" s="150">
        <f t="shared" ref="S130:S193" si="14">+H130</f>
        <v>0</v>
      </c>
      <c r="T130" s="152" t="str">
        <f>+VLOOKUP($L130,Data_Validation!$A:$D,1,0)</f>
        <v>285</v>
      </c>
      <c r="U130" s="152" t="str">
        <f>+VLOOKUP($L130,Data_Validation!$A:$D,3,0)</f>
        <v>Bilan</v>
      </c>
      <c r="V130" s="152" t="str">
        <f>+VLOOKUP($L130,Data_Validation!$A:$D,4,0)</f>
        <v>Équipements Service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1021</v>
      </c>
      <c r="B131" s="718" t="s">
        <v>601</v>
      </c>
      <c r="C131" s="720">
        <v>1377346.87</v>
      </c>
      <c r="D131" s="720">
        <v>1323.6</v>
      </c>
      <c r="E131" s="720">
        <v>1378670.47</v>
      </c>
      <c r="F131" s="718" t="s">
        <v>2228</v>
      </c>
      <c r="G131" s="718" t="s">
        <v>601</v>
      </c>
      <c r="H131" s="673"/>
      <c r="I131" s="672"/>
      <c r="J131" s="672"/>
      <c r="K131" s="672"/>
      <c r="L131" s="149" t="str">
        <f t="shared" si="10"/>
        <v>286</v>
      </c>
      <c r="M131" s="150" t="str">
        <f t="shared" si="11"/>
        <v>AMELIORATION LOCATIVE</v>
      </c>
      <c r="N131" s="151">
        <f>+IF(OR($Q131=Parametres!$G$2,$Q131=Parametres!$G$3),I131,C131)</f>
        <v>1377346.87</v>
      </c>
      <c r="O131" s="151">
        <f>+IF(OR($Q131=Parametres!$G$2,$Q131=Parametres!$G$3),J131,D131)</f>
        <v>1323.6</v>
      </c>
      <c r="P131" s="151">
        <f>+IF(OR($Q131=Parametres!$G$2,$Q131=Parametres!$G$3),K131,E131)</f>
        <v>1378670.47</v>
      </c>
      <c r="Q131" s="150" t="str">
        <f t="shared" si="12"/>
        <v>2-Actifs</v>
      </c>
      <c r="R131" s="149" t="str">
        <f t="shared" si="13"/>
        <v>286</v>
      </c>
      <c r="S131" s="150">
        <f t="shared" si="14"/>
        <v>0</v>
      </c>
      <c r="T131" s="152" t="str">
        <f>+VLOOKUP($L131,Data_Validation!$A:$D,1,0)</f>
        <v>286</v>
      </c>
      <c r="U131" s="152" t="str">
        <f>+VLOOKUP($L131,Data_Validation!$A:$D,3,0)</f>
        <v>Bilan</v>
      </c>
      <c r="V131" s="152" t="str">
        <f>+VLOOKUP($L131,Data_Validation!$A:$D,4,0)</f>
        <v>Améliorations Locatives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1022</v>
      </c>
      <c r="B132" s="718" t="s">
        <v>1023</v>
      </c>
      <c r="C132" s="720">
        <v>3000</v>
      </c>
      <c r="D132" s="720">
        <v>0</v>
      </c>
      <c r="E132" s="720">
        <v>3000</v>
      </c>
      <c r="F132" s="718" t="s">
        <v>2228</v>
      </c>
      <c r="G132" s="718" t="s">
        <v>1023</v>
      </c>
      <c r="H132" s="673"/>
      <c r="I132" s="672"/>
      <c r="J132" s="672"/>
      <c r="K132" s="672"/>
      <c r="L132" s="149" t="str">
        <f t="shared" si="10"/>
        <v>290</v>
      </c>
      <c r="M132" s="150" t="str">
        <f t="shared" si="11"/>
        <v>DEPOTS SUR CONTRATS</v>
      </c>
      <c r="N132" s="151">
        <f>+IF(OR($Q132=Parametres!$G$2,$Q132=Parametres!$G$3),I132,C132)</f>
        <v>3000</v>
      </c>
      <c r="O132" s="151">
        <f>+IF(OR($Q132=Parametres!$G$2,$Q132=Parametres!$G$3),J132,D132)</f>
        <v>0</v>
      </c>
      <c r="P132" s="151">
        <f>+IF(OR($Q132=Parametres!$G$2,$Q132=Parametres!$G$3),K132,E132)</f>
        <v>3000</v>
      </c>
      <c r="Q132" s="150" t="str">
        <f t="shared" si="12"/>
        <v>2-Actifs</v>
      </c>
      <c r="R132" s="149" t="str">
        <f t="shared" si="13"/>
        <v>290</v>
      </c>
      <c r="S132" s="150">
        <f t="shared" si="14"/>
        <v>0</v>
      </c>
      <c r="T132" s="152" t="str">
        <f>+VLOOKUP($L132,Data_Validation!$A:$D,1,0)</f>
        <v>290</v>
      </c>
      <c r="U132" s="152" t="str">
        <f>+VLOOKUP($L132,Data_Validation!$A:$D,3,0)</f>
        <v>Bilan</v>
      </c>
      <c r="V132" s="152" t="str">
        <f>+VLOOKUP($L132,Data_Validation!$A:$D,4,0)</f>
        <v>Recevables Autres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1367</v>
      </c>
      <c r="B133" s="718" t="s">
        <v>1368</v>
      </c>
      <c r="C133" s="720">
        <v>4854961.3099999996</v>
      </c>
      <c r="D133" s="720">
        <v>0</v>
      </c>
      <c r="E133" s="720">
        <v>4854961.3099999996</v>
      </c>
      <c r="F133" s="718" t="s">
        <v>2228</v>
      </c>
      <c r="G133" s="718" t="s">
        <v>1368</v>
      </c>
      <c r="H133" s="673"/>
      <c r="I133" s="672"/>
      <c r="J133" s="672"/>
      <c r="K133" s="672"/>
      <c r="L133" s="149" t="str">
        <f t="shared" si="10"/>
        <v>296</v>
      </c>
      <c r="M133" s="150" t="str">
        <f t="shared" si="11"/>
        <v>AUTRES ACTIFS NON-FRANCHISES</v>
      </c>
      <c r="N133" s="151">
        <f>+IF(OR($Q133=Parametres!$G$2,$Q133=Parametres!$G$3),I133,C133)</f>
        <v>4854961.3099999996</v>
      </c>
      <c r="O133" s="151">
        <f>+IF(OR($Q133=Parametres!$G$2,$Q133=Parametres!$G$3),J133,D133)</f>
        <v>0</v>
      </c>
      <c r="P133" s="151">
        <f>+IF(OR($Q133=Parametres!$G$2,$Q133=Parametres!$G$3),K133,E133)</f>
        <v>4854961.3099999996</v>
      </c>
      <c r="Q133" s="150" t="str">
        <f t="shared" si="12"/>
        <v>2-Actifs</v>
      </c>
      <c r="R133" s="149" t="str">
        <f t="shared" si="13"/>
        <v>296</v>
      </c>
      <c r="S133" s="150">
        <f t="shared" si="14"/>
        <v>0</v>
      </c>
      <c r="T133" s="152" t="str">
        <f>+VLOOKUP($L133,Data_Validation!$A:$D,1,0)</f>
        <v>296</v>
      </c>
      <c r="U133" s="152" t="str">
        <f>+VLOOKUP($L133,Data_Validation!$A:$D,3,0)</f>
        <v>Bilan</v>
      </c>
      <c r="V133" s="152" t="str">
        <f>+VLOOKUP($L133,Data_Validation!$A:$D,4,0)</f>
        <v>Achalandage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2500</v>
      </c>
      <c r="B134" s="718" t="s">
        <v>2501</v>
      </c>
      <c r="C134" s="720">
        <v>1250000</v>
      </c>
      <c r="D134" s="720">
        <v>500000</v>
      </c>
      <c r="E134" s="720">
        <v>1750000</v>
      </c>
      <c r="F134" s="718" t="s">
        <v>2228</v>
      </c>
      <c r="G134" s="718" t="s">
        <v>2501</v>
      </c>
      <c r="H134" s="673"/>
      <c r="I134" s="672"/>
      <c r="J134" s="672"/>
      <c r="K134" s="672"/>
      <c r="L134" s="149" t="str">
        <f t="shared" si="10"/>
        <v>297</v>
      </c>
      <c r="M134" s="150" t="str">
        <f t="shared" si="11"/>
        <v>AUTRES NOTES &amp; RECEVABLES</v>
      </c>
      <c r="N134" s="151">
        <f>+IF(OR($Q134=Parametres!$G$2,$Q134=Parametres!$G$3),I134,C134)</f>
        <v>1250000</v>
      </c>
      <c r="O134" s="151">
        <f>+IF(OR($Q134=Parametres!$G$2,$Q134=Parametres!$G$3),J134,D134)</f>
        <v>500000</v>
      </c>
      <c r="P134" s="151">
        <f>+IF(OR($Q134=Parametres!$G$2,$Q134=Parametres!$G$3),K134,E134)</f>
        <v>1750000</v>
      </c>
      <c r="Q134" s="150" t="str">
        <f t="shared" si="12"/>
        <v>2-Actifs</v>
      </c>
      <c r="R134" s="149" t="str">
        <f t="shared" si="13"/>
        <v>297</v>
      </c>
      <c r="S134" s="150">
        <f t="shared" si="14"/>
        <v>0</v>
      </c>
      <c r="T134" s="152" t="str">
        <f>+VLOOKUP($L134,Data_Validation!$A:$D,1,0)</f>
        <v>297</v>
      </c>
      <c r="U134" s="152" t="str">
        <f>+VLOOKUP($L134,Data_Validation!$A:$D,3,0)</f>
        <v>Bilan</v>
      </c>
      <c r="V134" s="152" t="str">
        <f>+VLOOKUP($L134,Data_Validation!$A:$D,4,0)</f>
        <v>Avances à Recevoir Long Terme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1847</v>
      </c>
      <c r="B135" s="718" t="s">
        <v>355</v>
      </c>
      <c r="C135" s="720">
        <v>-84537.57</v>
      </c>
      <c r="D135" s="720">
        <v>-53653.11</v>
      </c>
      <c r="E135" s="720">
        <v>-138190.68</v>
      </c>
      <c r="F135" s="718" t="s">
        <v>2229</v>
      </c>
      <c r="G135" s="718" t="s">
        <v>355</v>
      </c>
      <c r="H135" s="673"/>
      <c r="I135" s="672"/>
      <c r="J135" s="672"/>
      <c r="K135" s="672"/>
      <c r="L135" s="149" t="str">
        <f t="shared" si="10"/>
        <v>300</v>
      </c>
      <c r="M135" s="150" t="str">
        <f t="shared" si="11"/>
        <v>COMPTES FOURNISSEURS</v>
      </c>
      <c r="N135" s="151">
        <f>+IF(OR($Q135=Parametres!$G$2,$Q135=Parametres!$G$3),I135,C135)</f>
        <v>-84537.57</v>
      </c>
      <c r="O135" s="151">
        <f>+IF(OR($Q135=Parametres!$G$2,$Q135=Parametres!$G$3),J135,D135)</f>
        <v>-53653.11</v>
      </c>
      <c r="P135" s="151">
        <f>+IF(OR($Q135=Parametres!$G$2,$Q135=Parametres!$G$3),K135,E135)</f>
        <v>-138190.68</v>
      </c>
      <c r="Q135" s="150" t="str">
        <f t="shared" si="12"/>
        <v>3-Passifs</v>
      </c>
      <c r="R135" s="149" t="str">
        <f t="shared" si="13"/>
        <v>300</v>
      </c>
      <c r="S135" s="150">
        <f t="shared" si="14"/>
        <v>0</v>
      </c>
      <c r="T135" s="152" t="str">
        <f>+VLOOKUP($L135,Data_Validation!$A:$D,1,0)</f>
        <v>300</v>
      </c>
      <c r="U135" s="152" t="str">
        <f>+VLOOKUP($L135,Data_Validation!$A:$D,3,0)</f>
        <v>Bilan</v>
      </c>
      <c r="V135" s="152" t="str">
        <f>+VLOOKUP($L135,Data_Validation!$A:$D,4,0)</f>
        <v>Comptes à Payer Fournisseurs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1856</v>
      </c>
      <c r="B136" s="718" t="s">
        <v>985</v>
      </c>
      <c r="C136" s="719">
        <v>-48825</v>
      </c>
      <c r="D136" s="719">
        <v>48825</v>
      </c>
      <c r="E136" s="719">
        <v>0</v>
      </c>
      <c r="F136" s="718" t="s">
        <v>2229</v>
      </c>
      <c r="G136" s="718" t="s">
        <v>355</v>
      </c>
      <c r="H136" s="719"/>
      <c r="I136" s="720"/>
      <c r="J136" s="720"/>
      <c r="K136" s="720"/>
      <c r="L136" s="149" t="str">
        <f t="shared" si="10"/>
        <v>300A</v>
      </c>
      <c r="M136" s="150" t="str">
        <f t="shared" si="11"/>
        <v>ECHANGE ENTRE CONCESSIONNAIRE</v>
      </c>
      <c r="N136" s="151">
        <f>+IF(OR($Q136=Parametres!$G$2,$Q136=Parametres!$G$3),I136,C136)</f>
        <v>-48825</v>
      </c>
      <c r="O136" s="151">
        <f>+IF(OR($Q136=Parametres!$G$2,$Q136=Parametres!$G$3),J136,D136)</f>
        <v>48825</v>
      </c>
      <c r="P136" s="151">
        <f>+IF(OR($Q136=Parametres!$G$2,$Q136=Parametres!$G$3),K136,E136)</f>
        <v>0</v>
      </c>
      <c r="Q136" s="150" t="str">
        <f t="shared" si="12"/>
        <v>3-Passifs</v>
      </c>
      <c r="R136" s="149" t="str">
        <f t="shared" si="13"/>
        <v>300</v>
      </c>
      <c r="S136" s="150">
        <f t="shared" si="14"/>
        <v>0</v>
      </c>
      <c r="T136" s="152" t="str">
        <f>+VLOOKUP($L136,Data_Validation!$A:$D,1,0)</f>
        <v>300A</v>
      </c>
      <c r="U136" s="152" t="str">
        <f>+VLOOKUP($L136,Data_Validation!$A:$D,3,0)</f>
        <v>Bilan</v>
      </c>
      <c r="V136" s="152" t="str">
        <f>+VLOOKUP($L136,Data_Validation!$A:$D,4,0)</f>
        <v>Autres Comptes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1836</v>
      </c>
      <c r="B137" s="718" t="s">
        <v>958</v>
      </c>
      <c r="C137" s="720">
        <v>-1712.58</v>
      </c>
      <c r="D137" s="720">
        <v>-50515.75</v>
      </c>
      <c r="E137" s="720">
        <v>-52228.33</v>
      </c>
      <c r="F137" s="718" t="s">
        <v>2229</v>
      </c>
      <c r="G137" s="718" t="s">
        <v>355</v>
      </c>
      <c r="H137" s="673"/>
      <c r="I137" s="672"/>
      <c r="J137" s="672"/>
      <c r="K137" s="672"/>
      <c r="L137" s="149" t="str">
        <f t="shared" si="10"/>
        <v>300B</v>
      </c>
      <c r="M137" s="150" t="str">
        <f t="shared" si="11"/>
        <v>ETAT DE COMPTE BMW CANADA</v>
      </c>
      <c r="N137" s="151">
        <f>+IF(OR($Q137=Parametres!$G$2,$Q137=Parametres!$G$3),I137,C137)</f>
        <v>-1712.58</v>
      </c>
      <c r="O137" s="151">
        <f>+IF(OR($Q137=Parametres!$G$2,$Q137=Parametres!$G$3),J137,D137)</f>
        <v>-50515.75</v>
      </c>
      <c r="P137" s="151">
        <f>+IF(OR($Q137=Parametres!$G$2,$Q137=Parametres!$G$3),K137,E137)</f>
        <v>-52228.33</v>
      </c>
      <c r="Q137" s="150" t="str">
        <f t="shared" si="12"/>
        <v>3-Passifs</v>
      </c>
      <c r="R137" s="149" t="str">
        <f t="shared" si="13"/>
        <v>300</v>
      </c>
      <c r="S137" s="150">
        <f t="shared" si="14"/>
        <v>0</v>
      </c>
      <c r="T137" s="152" t="str">
        <f>+VLOOKUP($L137,Data_Validation!$A:$D,1,0)</f>
        <v>300B</v>
      </c>
      <c r="U137" s="152" t="str">
        <f>+VLOOKUP($L137,Data_Validation!$A:$D,3,0)</f>
        <v>Bilan</v>
      </c>
      <c r="V137" s="152" t="str">
        <f>+VLOOKUP($L137,Data_Validation!$A:$D,4,0)</f>
        <v>Autres Comptes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1930</v>
      </c>
      <c r="B138" s="718" t="s">
        <v>1931</v>
      </c>
      <c r="C138" s="720">
        <v>0</v>
      </c>
      <c r="D138" s="720">
        <v>-2310.6999999999998</v>
      </c>
      <c r="E138" s="720">
        <v>-2310.6999999999998</v>
      </c>
      <c r="F138" s="718" t="s">
        <v>2229</v>
      </c>
      <c r="G138" s="718" t="s">
        <v>355</v>
      </c>
      <c r="H138" s="673"/>
      <c r="I138" s="672"/>
      <c r="J138" s="672"/>
      <c r="K138" s="672"/>
      <c r="L138" s="149" t="str">
        <f t="shared" si="10"/>
        <v>300C</v>
      </c>
      <c r="M138" s="150" t="str">
        <f t="shared" si="11"/>
        <v>ASSURANCE REMPLACEMENT A/P</v>
      </c>
      <c r="N138" s="151">
        <f>+IF(OR($Q138=Parametres!$G$2,$Q138=Parametres!$G$3),I138,C138)</f>
        <v>0</v>
      </c>
      <c r="O138" s="504">
        <f>+IF(OR($Q138=Parametres!$G$2,$Q138=Parametres!$G$3),J138,D138)</f>
        <v>-2310.6999999999998</v>
      </c>
      <c r="P138" s="151">
        <f>+IF(OR($Q138=Parametres!$G$2,$Q138=Parametres!$G$3),K138,E138)</f>
        <v>-2310.6999999999998</v>
      </c>
      <c r="Q138" s="150" t="str">
        <f t="shared" si="12"/>
        <v>3-Passifs</v>
      </c>
      <c r="R138" s="149" t="str">
        <f t="shared" si="13"/>
        <v>300</v>
      </c>
      <c r="S138" s="150">
        <f t="shared" si="14"/>
        <v>0</v>
      </c>
      <c r="T138" s="152" t="str">
        <f>+VLOOKUP($L138,Data_Validation!$A:$D,1,0)</f>
        <v>300C</v>
      </c>
      <c r="U138" s="152" t="str">
        <f>+VLOOKUP($L138,Data_Validation!$A:$D,3,0)</f>
        <v>Bilan</v>
      </c>
      <c r="V138" s="152" t="str">
        <f>+VLOOKUP($L138,Data_Validation!$A:$D,4,0)</f>
        <v>Autres Comptes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1686</v>
      </c>
      <c r="B139" s="718" t="s">
        <v>1018</v>
      </c>
      <c r="C139" s="720">
        <v>-14139</v>
      </c>
      <c r="D139" s="720">
        <v>-54149</v>
      </c>
      <c r="E139" s="720">
        <v>-68288</v>
      </c>
      <c r="F139" s="718" t="s">
        <v>2229</v>
      </c>
      <c r="G139" s="718" t="s">
        <v>355</v>
      </c>
      <c r="H139" s="673"/>
      <c r="I139" s="673"/>
      <c r="J139" s="673"/>
      <c r="K139" s="673"/>
      <c r="L139" s="149" t="str">
        <f t="shared" si="10"/>
        <v>300D</v>
      </c>
      <c r="M139" s="150" t="str">
        <f t="shared" si="11"/>
        <v>PAYABLE BMW CANADA/FINANCE</v>
      </c>
      <c r="N139" s="151">
        <f>+IF(OR($Q139=Parametres!$G$2,$Q139=Parametres!$G$3),I139,C139)</f>
        <v>-14139</v>
      </c>
      <c r="O139" s="151">
        <f>+IF(OR($Q139=Parametres!$G$2,$Q139=Parametres!$G$3),J139,D139)</f>
        <v>-54149</v>
      </c>
      <c r="P139" s="151">
        <f>+IF(OR($Q139=Parametres!$G$2,$Q139=Parametres!$G$3),K139,E139)</f>
        <v>-68288</v>
      </c>
      <c r="Q139" s="150" t="str">
        <f t="shared" si="12"/>
        <v>3-Passifs</v>
      </c>
      <c r="R139" s="149" t="str">
        <f t="shared" si="13"/>
        <v>300</v>
      </c>
      <c r="S139" s="150">
        <f t="shared" si="14"/>
        <v>0</v>
      </c>
      <c r="T139" s="152" t="str">
        <f>+VLOOKUP($L139,Data_Validation!$A:$D,1,0)</f>
        <v>300D</v>
      </c>
      <c r="U139" s="152" t="str">
        <f>+VLOOKUP($L139,Data_Validation!$A:$D,3,0)</f>
        <v>Bilan</v>
      </c>
      <c r="V139" s="152" t="str">
        <f>+VLOOKUP($L139,Data_Validation!$A:$D,4,0)</f>
        <v>Autres Comptes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1815</v>
      </c>
      <c r="B140" s="718" t="s">
        <v>935</v>
      </c>
      <c r="C140" s="720">
        <v>-1950</v>
      </c>
      <c r="D140" s="720">
        <v>-1500</v>
      </c>
      <c r="E140" s="720">
        <v>-3450</v>
      </c>
      <c r="F140" s="718" t="s">
        <v>2229</v>
      </c>
      <c r="G140" s="718" t="s">
        <v>2251</v>
      </c>
      <c r="H140" s="673"/>
      <c r="I140" s="672"/>
      <c r="J140" s="672"/>
      <c r="K140" s="672"/>
      <c r="L140" s="149" t="str">
        <f t="shared" si="10"/>
        <v>300F</v>
      </c>
      <c r="M140" s="150" t="str">
        <f t="shared" si="11"/>
        <v>RESERVE RENOUVELLEMENT LOCATION</v>
      </c>
      <c r="N140" s="151">
        <f>+IF(OR($Q140=Parametres!$G$2,$Q140=Parametres!$G$3),I140,C140)</f>
        <v>-1950</v>
      </c>
      <c r="O140" s="151">
        <f>+IF(OR($Q140=Parametres!$G$2,$Q140=Parametres!$G$3),J140,D140)</f>
        <v>-1500</v>
      </c>
      <c r="P140" s="151">
        <f>+IF(OR($Q140=Parametres!$G$2,$Q140=Parametres!$G$3),K140,E140)</f>
        <v>-3450</v>
      </c>
      <c r="Q140" s="150" t="str">
        <f t="shared" si="12"/>
        <v>3-Passifs</v>
      </c>
      <c r="R140" s="149" t="str">
        <f t="shared" si="13"/>
        <v>301</v>
      </c>
      <c r="S140" s="150">
        <f t="shared" si="14"/>
        <v>0</v>
      </c>
      <c r="T140" s="152" t="str">
        <f>+VLOOKUP($L140,Data_Validation!$A:$D,1,0)</f>
        <v>300F</v>
      </c>
      <c r="U140" s="152" t="str">
        <f>+VLOOKUP($L140,Data_Validation!$A:$D,3,0)</f>
        <v>Bilan</v>
      </c>
      <c r="V140" s="152" t="str">
        <f>+VLOOKUP($L140,Data_Validation!$A:$D,4,0)</f>
        <v>autres courus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1662</v>
      </c>
      <c r="B141" s="718" t="s">
        <v>886</v>
      </c>
      <c r="C141" s="719">
        <v>-22273.69</v>
      </c>
      <c r="D141" s="719">
        <v>-2400</v>
      </c>
      <c r="E141" s="719">
        <v>-24673.69</v>
      </c>
      <c r="F141" s="718" t="s">
        <v>2229</v>
      </c>
      <c r="G141" s="718" t="s">
        <v>2251</v>
      </c>
      <c r="H141" s="719"/>
      <c r="I141" s="720"/>
      <c r="J141" s="720"/>
      <c r="K141" s="720"/>
      <c r="L141" s="149" t="str">
        <f t="shared" si="10"/>
        <v>300H</v>
      </c>
      <c r="M141" s="150" t="str">
        <f t="shared" si="11"/>
        <v>RESERVE GARANTIE LEGALE USAGE</v>
      </c>
      <c r="N141" s="151">
        <f>+IF(OR($Q141=Parametres!$G$2,$Q141=Parametres!$G$3),I141,C141)</f>
        <v>-22273.69</v>
      </c>
      <c r="O141" s="151">
        <f>+IF(OR($Q141=Parametres!$G$2,$Q141=Parametres!$G$3),J141,D141)</f>
        <v>-2400</v>
      </c>
      <c r="P141" s="151">
        <f>+IF(OR($Q141=Parametres!$G$2,$Q141=Parametres!$G$3),K141,E141)</f>
        <v>-24673.69</v>
      </c>
      <c r="Q141" s="150" t="str">
        <f t="shared" si="12"/>
        <v>3-Passifs</v>
      </c>
      <c r="R141" s="149" t="str">
        <f t="shared" si="13"/>
        <v>301</v>
      </c>
      <c r="S141" s="150">
        <f t="shared" si="14"/>
        <v>0</v>
      </c>
      <c r="T141" s="152" t="str">
        <f>+VLOOKUP($L141,Data_Validation!$A:$D,1,0)</f>
        <v>300H</v>
      </c>
      <c r="U141" s="152" t="str">
        <f>+VLOOKUP($L141,Data_Validation!$A:$D,3,0)</f>
        <v>Bilan</v>
      </c>
      <c r="V141" s="152" t="str">
        <f>+VLOOKUP($L141,Data_Validation!$A:$D,4,0)</f>
        <v>autres courus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1186</v>
      </c>
      <c r="B142" s="718" t="s">
        <v>460</v>
      </c>
      <c r="C142" s="719">
        <v>-17428.68</v>
      </c>
      <c r="D142" s="719">
        <v>1658.68</v>
      </c>
      <c r="E142" s="719">
        <v>-15770</v>
      </c>
      <c r="F142" s="718" t="s">
        <v>2229</v>
      </c>
      <c r="G142" s="718" t="s">
        <v>355</v>
      </c>
      <c r="H142" s="719"/>
      <c r="I142" s="720"/>
      <c r="J142" s="720"/>
      <c r="K142" s="720"/>
      <c r="L142" s="149" t="str">
        <f t="shared" si="10"/>
        <v>300I</v>
      </c>
      <c r="M142" s="150" t="str">
        <f t="shared" si="11"/>
        <v>PROTECTION BMW A/P</v>
      </c>
      <c r="N142" s="151">
        <f>+IF(OR($Q142=Parametres!$G$2,$Q142=Parametres!$G$3),I142,C142)</f>
        <v>-17428.68</v>
      </c>
      <c r="O142" s="504">
        <f>+IF(OR($Q142=Parametres!$G$2,$Q142=Parametres!$G$3),J142,D142)</f>
        <v>1658.68</v>
      </c>
      <c r="P142" s="151">
        <f>+IF(OR($Q142=Parametres!$G$2,$Q142=Parametres!$G$3),K142,E142)</f>
        <v>-15770</v>
      </c>
      <c r="Q142" s="150" t="str">
        <f t="shared" si="12"/>
        <v>3-Passifs</v>
      </c>
      <c r="R142" s="149" t="str">
        <f t="shared" si="13"/>
        <v>300</v>
      </c>
      <c r="S142" s="150">
        <f t="shared" si="14"/>
        <v>0</v>
      </c>
      <c r="T142" s="152" t="str">
        <f>+VLOOKUP($L142,Data_Validation!$A:$D,1,0)</f>
        <v>300I</v>
      </c>
      <c r="U142" s="152" t="str">
        <f>+VLOOKUP($L142,Data_Validation!$A:$D,3,0)</f>
        <v>Bilan</v>
      </c>
      <c r="V142" s="152" t="str">
        <f>+VLOOKUP($L142,Data_Validation!$A:$D,4,0)</f>
        <v>Autres Comptes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2235</v>
      </c>
      <c r="B143" s="718" t="s">
        <v>2234</v>
      </c>
      <c r="C143" s="720">
        <v>-119545</v>
      </c>
      <c r="D143" s="720">
        <v>-31494</v>
      </c>
      <c r="E143" s="720">
        <v>-151039</v>
      </c>
      <c r="F143" s="718" t="s">
        <v>2229</v>
      </c>
      <c r="G143" s="718" t="s">
        <v>355</v>
      </c>
      <c r="H143" s="666"/>
      <c r="I143" s="665"/>
      <c r="J143" s="665"/>
      <c r="K143" s="665"/>
      <c r="L143" s="149" t="str">
        <f t="shared" si="10"/>
        <v>300L</v>
      </c>
      <c r="M143" s="150" t="str">
        <f t="shared" si="11"/>
        <v>A/P INTERCO WHOLESALE &amp; ECHANGE</v>
      </c>
      <c r="N143" s="151">
        <f>+IF(OR($Q143=Parametres!$G$2,$Q143=Parametres!$G$3),I143,C143)</f>
        <v>-119545</v>
      </c>
      <c r="O143" s="151">
        <f>+IF(OR($Q143=Parametres!$G$2,$Q143=Parametres!$G$3),J143,D143)</f>
        <v>-31494</v>
      </c>
      <c r="P143" s="151">
        <f>+IF(OR($Q143=Parametres!$G$2,$Q143=Parametres!$G$3),K143,E143)</f>
        <v>-151039</v>
      </c>
      <c r="Q143" s="150" t="str">
        <f t="shared" si="12"/>
        <v>3-Passifs</v>
      </c>
      <c r="R143" s="149" t="str">
        <f t="shared" si="13"/>
        <v>300</v>
      </c>
      <c r="S143" s="150">
        <f t="shared" si="14"/>
        <v>0</v>
      </c>
      <c r="T143" s="152" t="str">
        <f>+VLOOKUP($L143,Data_Validation!$A:$D,1,0)</f>
        <v>300L</v>
      </c>
      <c r="U143" s="152" t="str">
        <f>+VLOOKUP($L143,Data_Validation!$A:$D,3,0)</f>
        <v>Bilan</v>
      </c>
      <c r="V143" s="152" t="str">
        <f>+VLOOKUP($L143,Data_Validation!$A:$D,4,0)</f>
        <v>Payables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2477</v>
      </c>
      <c r="B144" s="718" t="s">
        <v>2478</v>
      </c>
      <c r="C144" s="720">
        <v>-4504.05</v>
      </c>
      <c r="D144" s="720">
        <v>10142.74</v>
      </c>
      <c r="E144" s="720">
        <v>5638.69</v>
      </c>
      <c r="F144" s="718" t="s">
        <v>2229</v>
      </c>
      <c r="G144" s="718" t="s">
        <v>355</v>
      </c>
      <c r="H144" s="673"/>
      <c r="I144" s="672"/>
      <c r="J144" s="672"/>
      <c r="K144" s="672"/>
      <c r="L144" s="149" t="str">
        <f t="shared" si="10"/>
        <v>300N</v>
      </c>
      <c r="M144" s="150" t="str">
        <f t="shared" si="11"/>
        <v>SAAQ A PAYER - INTERO COMPLEXE</v>
      </c>
      <c r="N144" s="151">
        <f>+IF(OR($Q144=Parametres!$G$2,$Q144=Parametres!$G$3),I144,C144)</f>
        <v>-4504.05</v>
      </c>
      <c r="O144" s="151">
        <f>+IF(OR($Q144=Parametres!$G$2,$Q144=Parametres!$G$3),J144,D144)</f>
        <v>10142.74</v>
      </c>
      <c r="P144" s="151">
        <f>+IF(OR($Q144=Parametres!$G$2,$Q144=Parametres!$G$3),K144,E144)</f>
        <v>5638.69</v>
      </c>
      <c r="Q144" s="150" t="str">
        <f t="shared" si="12"/>
        <v>3-Passifs</v>
      </c>
      <c r="R144" s="149" t="str">
        <f t="shared" si="13"/>
        <v>300</v>
      </c>
      <c r="S144" s="150">
        <f t="shared" si="14"/>
        <v>0</v>
      </c>
      <c r="T144" s="152" t="str">
        <f>+VLOOKUP($L144,Data_Validation!$A:$D,1,0)</f>
        <v>300N</v>
      </c>
      <c r="U144" s="152" t="str">
        <f>+VLOOKUP($L144,Data_Validation!$A:$D,3,0)</f>
        <v>Bilan</v>
      </c>
      <c r="V144" s="152" t="str">
        <f>+VLOOKUP($L144,Data_Validation!$A:$D,4,0)</f>
        <v>Payables Intercos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2201</v>
      </c>
      <c r="B145" s="718" t="s">
        <v>2202</v>
      </c>
      <c r="C145" s="720">
        <v>-60074.41</v>
      </c>
      <c r="D145" s="720">
        <v>-11036.93</v>
      </c>
      <c r="E145" s="720">
        <v>-71111.34</v>
      </c>
      <c r="F145" s="718" t="s">
        <v>2229</v>
      </c>
      <c r="G145" s="718" t="s">
        <v>355</v>
      </c>
      <c r="H145" s="673"/>
      <c r="I145" s="672"/>
      <c r="J145" s="672"/>
      <c r="K145" s="672"/>
      <c r="L145" s="149" t="str">
        <f t="shared" si="10"/>
        <v>300O</v>
      </c>
      <c r="M145" s="150" t="str">
        <f t="shared" si="11"/>
        <v>A/P INTERCO FOURNISSEURS</v>
      </c>
      <c r="N145" s="151">
        <f>+IF(OR($Q145=Parametres!$G$2,$Q145=Parametres!$G$3),I145,C145)</f>
        <v>-60074.41</v>
      </c>
      <c r="O145" s="151">
        <f>+IF(OR($Q145=Parametres!$G$2,$Q145=Parametres!$G$3),J145,D145)</f>
        <v>-11036.93</v>
      </c>
      <c r="P145" s="151">
        <f>+IF(OR($Q145=Parametres!$G$2,$Q145=Parametres!$G$3),K145,E145)</f>
        <v>-71111.34</v>
      </c>
      <c r="Q145" s="150" t="str">
        <f t="shared" si="12"/>
        <v>3-Passifs</v>
      </c>
      <c r="R145" s="149" t="str">
        <f t="shared" si="13"/>
        <v>300</v>
      </c>
      <c r="S145" s="150">
        <f t="shared" si="14"/>
        <v>0</v>
      </c>
      <c r="T145" s="152" t="str">
        <f>+VLOOKUP($L145,Data_Validation!$A:$D,1,0)</f>
        <v>300O</v>
      </c>
      <c r="U145" s="152" t="str">
        <f>+VLOOKUP($L145,Data_Validation!$A:$D,3,0)</f>
        <v>Bilan</v>
      </c>
      <c r="V145" s="152" t="str">
        <f>+VLOOKUP($L145,Data_Validation!$A:$D,4,0)</f>
        <v>Payables Intercos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2428</v>
      </c>
      <c r="B146" s="718" t="s">
        <v>2429</v>
      </c>
      <c r="C146" s="720">
        <v>0</v>
      </c>
      <c r="D146" s="720">
        <v>-14.21</v>
      </c>
      <c r="E146" s="720">
        <v>-14.21</v>
      </c>
      <c r="F146" s="718" t="s">
        <v>2229</v>
      </c>
      <c r="G146" s="718" t="s">
        <v>355</v>
      </c>
      <c r="H146" s="673"/>
      <c r="I146" s="672"/>
      <c r="J146" s="672"/>
      <c r="K146" s="672"/>
      <c r="L146" s="149" t="str">
        <f t="shared" si="10"/>
        <v>300S</v>
      </c>
      <c r="M146" s="150" t="str">
        <f t="shared" si="11"/>
        <v>RESERVE FRAIS SQ</v>
      </c>
      <c r="N146" s="151">
        <f>+IF(OR($Q146=Parametres!$G$2,$Q146=Parametres!$G$3),I146,C146)</f>
        <v>0</v>
      </c>
      <c r="O146" s="151">
        <f>+IF(OR($Q146=Parametres!$G$2,$Q146=Parametres!$G$3),J146,D146)</f>
        <v>-14.21</v>
      </c>
      <c r="P146" s="151">
        <f>+IF(OR($Q146=Parametres!$G$2,$Q146=Parametres!$G$3),K146,E146)</f>
        <v>-14.21</v>
      </c>
      <c r="Q146" s="150" t="str">
        <f t="shared" si="12"/>
        <v>3-Passifs</v>
      </c>
      <c r="R146" s="149" t="str">
        <f t="shared" si="13"/>
        <v>300</v>
      </c>
      <c r="S146" s="150">
        <f t="shared" si="14"/>
        <v>0</v>
      </c>
      <c r="T146" s="152" t="str">
        <f>+VLOOKUP($L146,Data_Validation!$A:$D,1,0)</f>
        <v>300S</v>
      </c>
      <c r="U146" s="152" t="str">
        <f>+VLOOKUP($L146,Data_Validation!$A:$D,3,0)</f>
        <v>Bilan</v>
      </c>
      <c r="V146" s="152" t="str">
        <f>+VLOOKUP($L146,Data_Validation!$A:$D,4,0)</f>
        <v>Autres Courus</v>
      </c>
      <c r="W146" s="152">
        <f>+VLOOKUP($L146,Data_Validation!$A:$E,5,0)</f>
        <v>0</v>
      </c>
      <c r="X146" s="152">
        <f>+VLOOKUP($L146,Data_Validation!$A:$F,6,0)</f>
        <v>0</v>
      </c>
    </row>
    <row r="147" spans="1:24" ht="15" customHeight="1">
      <c r="A147" s="718" t="s">
        <v>392</v>
      </c>
      <c r="B147" s="718" t="s">
        <v>378</v>
      </c>
      <c r="C147" s="720">
        <v>-126095</v>
      </c>
      <c r="D147" s="720">
        <v>-3400</v>
      </c>
      <c r="E147" s="720">
        <v>-129495</v>
      </c>
      <c r="F147" s="718" t="s">
        <v>2229</v>
      </c>
      <c r="G147" s="718" t="s">
        <v>378</v>
      </c>
      <c r="H147" s="673"/>
      <c r="I147" s="672"/>
      <c r="J147" s="672"/>
      <c r="K147" s="672"/>
      <c r="L147" s="149" t="str">
        <f t="shared" si="10"/>
        <v>303</v>
      </c>
      <c r="M147" s="150" t="str">
        <f t="shared" si="11"/>
        <v>DEPOTS DE CLIENTS</v>
      </c>
      <c r="N147" s="151">
        <f>+IF(OR($Q147=Parametres!$G$2,$Q147=Parametres!$G$3),I147,C147)</f>
        <v>-126095</v>
      </c>
      <c r="O147" s="504">
        <f>+IF(OR($Q147=Parametres!$G$2,$Q147=Parametres!$G$3),J147,D147)</f>
        <v>-3400</v>
      </c>
      <c r="P147" s="151">
        <f>+IF(OR($Q147=Parametres!$G$2,$Q147=Parametres!$G$3),K147,E147)</f>
        <v>-129495</v>
      </c>
      <c r="Q147" s="150" t="str">
        <f t="shared" si="12"/>
        <v>3-Passifs</v>
      </c>
      <c r="R147" s="149" t="str">
        <f t="shared" si="13"/>
        <v>303</v>
      </c>
      <c r="S147" s="150">
        <f t="shared" si="14"/>
        <v>0</v>
      </c>
      <c r="T147" s="152" t="str">
        <f>+VLOOKUP($L147,Data_Validation!$A:$D,1,0)</f>
        <v>303</v>
      </c>
      <c r="U147" s="152" t="str">
        <f>+VLOOKUP($L147,Data_Validation!$A:$D,3,0)</f>
        <v>Bilan</v>
      </c>
      <c r="V147" s="152" t="str">
        <f>+VLOOKUP($L147,Data_Validation!$A:$D,4,0)</f>
        <v>Dépôts de Client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1852</v>
      </c>
      <c r="B148" s="718" t="s">
        <v>364</v>
      </c>
      <c r="C148" s="720">
        <v>-6967475.2400000002</v>
      </c>
      <c r="D148" s="720">
        <v>-17760.68</v>
      </c>
      <c r="E148" s="720">
        <v>-6985235.9199999999</v>
      </c>
      <c r="F148" s="718" t="s">
        <v>2229</v>
      </c>
      <c r="G148" s="718" t="s">
        <v>364</v>
      </c>
      <c r="H148" s="673"/>
      <c r="I148" s="673"/>
      <c r="J148" s="673"/>
      <c r="K148" s="673"/>
      <c r="L148" s="149" t="str">
        <f t="shared" si="10"/>
        <v>310</v>
      </c>
      <c r="M148" s="150" t="str">
        <f t="shared" si="11"/>
        <v>FINANCEMENT VEHICULES NEUFS</v>
      </c>
      <c r="N148" s="151">
        <f>+IF(OR($Q148=Parametres!$G$2,$Q148=Parametres!$G$3),I148,C148)</f>
        <v>-6967475.2400000002</v>
      </c>
      <c r="O148" s="504">
        <f>+IF(OR($Q148=Parametres!$G$2,$Q148=Parametres!$G$3),J148,D148)</f>
        <v>-17760.68</v>
      </c>
      <c r="P148" s="151">
        <f>+IF(OR($Q148=Parametres!$G$2,$Q148=Parametres!$G$3),K148,E148)</f>
        <v>-6985235.9199999999</v>
      </c>
      <c r="Q148" s="150" t="str">
        <f t="shared" si="12"/>
        <v>3-Passifs</v>
      </c>
      <c r="R148" s="149" t="str">
        <f t="shared" si="13"/>
        <v>310</v>
      </c>
      <c r="S148" s="150">
        <f t="shared" si="14"/>
        <v>0</v>
      </c>
      <c r="T148" s="152" t="str">
        <f>+VLOOKUP($L148,Data_Validation!$A:$D,1,0)</f>
        <v>310</v>
      </c>
      <c r="U148" s="152" t="str">
        <f>+VLOOKUP($L148,Data_Validation!$A:$D,3,0)</f>
        <v>Bilan</v>
      </c>
      <c r="V148" s="152" t="str">
        <f>+VLOOKUP($L148,Data_Validation!$A:$D,4,0)</f>
        <v>Effet à Payer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1850</v>
      </c>
      <c r="B149" s="718" t="s">
        <v>356</v>
      </c>
      <c r="C149" s="720">
        <v>-1676206.22</v>
      </c>
      <c r="D149" s="720">
        <v>294429.06</v>
      </c>
      <c r="E149" s="720">
        <v>-1381777.16</v>
      </c>
      <c r="F149" s="718" t="s">
        <v>2229</v>
      </c>
      <c r="G149" s="718" t="s">
        <v>356</v>
      </c>
      <c r="H149" s="673"/>
      <c r="I149" s="673"/>
      <c r="J149" s="673"/>
      <c r="K149" s="673"/>
      <c r="L149" s="149" t="str">
        <f t="shared" si="10"/>
        <v>311</v>
      </c>
      <c r="M149" s="150" t="str">
        <f t="shared" si="11"/>
        <v>FINANCEMENT VEHICULES USAGES</v>
      </c>
      <c r="N149" s="151">
        <f>+IF(OR($Q149=Parametres!$G$2,$Q149=Parametres!$G$3),I149,C149)</f>
        <v>-1676206.22</v>
      </c>
      <c r="O149" s="151">
        <f>+IF(OR($Q149=Parametres!$G$2,$Q149=Parametres!$G$3),J149,D149)</f>
        <v>294429.06</v>
      </c>
      <c r="P149" s="151">
        <f>+IF(OR($Q149=Parametres!$G$2,$Q149=Parametres!$G$3),K149,E149)</f>
        <v>-1381777.16</v>
      </c>
      <c r="Q149" s="150" t="str">
        <f t="shared" si="12"/>
        <v>3-Passifs</v>
      </c>
      <c r="R149" s="149" t="str">
        <f t="shared" si="13"/>
        <v>311</v>
      </c>
      <c r="S149" s="150">
        <f t="shared" si="14"/>
        <v>0</v>
      </c>
      <c r="T149" s="152" t="str">
        <f>+VLOOKUP($L149,Data_Validation!$A:$D,1,0)</f>
        <v>311</v>
      </c>
      <c r="U149" s="152" t="str">
        <f>+VLOOKUP($L149,Data_Validation!$A:$D,3,0)</f>
        <v>Bilan</v>
      </c>
      <c r="V149" s="152" t="str">
        <f>+VLOOKUP($L149,Data_Validation!$A:$D,4,0)</f>
        <v>Effet à Payer Véhicules Usagés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1103</v>
      </c>
      <c r="B150" s="718" t="s">
        <v>1104</v>
      </c>
      <c r="C150" s="720">
        <v>-321.33999999999997</v>
      </c>
      <c r="D150" s="720">
        <v>-97731.39</v>
      </c>
      <c r="E150" s="720">
        <v>-98052.73</v>
      </c>
      <c r="F150" s="718" t="s">
        <v>2229</v>
      </c>
      <c r="G150" s="718" t="s">
        <v>1104</v>
      </c>
      <c r="H150" s="673"/>
      <c r="I150" s="672"/>
      <c r="J150" s="672"/>
      <c r="K150" s="672"/>
      <c r="L150" s="149" t="str">
        <f t="shared" si="10"/>
        <v>314L</v>
      </c>
      <c r="M150" s="150" t="str">
        <f t="shared" si="11"/>
        <v>LIEN A PAYER</v>
      </c>
      <c r="N150" s="151">
        <f>+IF(OR($Q150=Parametres!$G$2,$Q150=Parametres!$G$3),I150,C150)</f>
        <v>-321.33999999999997</v>
      </c>
      <c r="O150" s="151">
        <f>+IF(OR($Q150=Parametres!$G$2,$Q150=Parametres!$G$3),J150,D150)</f>
        <v>-97731.39</v>
      </c>
      <c r="P150" s="151">
        <f>+IF(OR($Q150=Parametres!$G$2,$Q150=Parametres!$G$3),K150,E150)</f>
        <v>-98052.73</v>
      </c>
      <c r="Q150" s="150" t="str">
        <f t="shared" si="12"/>
        <v>3-Passifs</v>
      </c>
      <c r="R150" s="149" t="str">
        <f t="shared" si="13"/>
        <v>314L</v>
      </c>
      <c r="S150" s="150">
        <f t="shared" si="14"/>
        <v>0</v>
      </c>
      <c r="T150" s="152" t="str">
        <f>+VLOOKUP($L150,Data_Validation!$A:$D,1,0)</f>
        <v>314L</v>
      </c>
      <c r="U150" s="152" t="str">
        <f>+VLOOKUP($L150,Data_Validation!$A:$D,3,0)</f>
        <v>Bilan</v>
      </c>
      <c r="V150" s="152" t="str">
        <f>+VLOOKUP($L150,Data_Validation!$A:$D,4,0)</f>
        <v>Autres Comptes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362</v>
      </c>
      <c r="B151" s="718" t="s">
        <v>425</v>
      </c>
      <c r="C151" s="719">
        <v>-3054.35</v>
      </c>
      <c r="D151" s="719">
        <v>-10769.41</v>
      </c>
      <c r="E151" s="719">
        <v>-13823.76</v>
      </c>
      <c r="F151" s="718" t="s">
        <v>2229</v>
      </c>
      <c r="G151" s="718" t="s">
        <v>425</v>
      </c>
      <c r="H151" s="719"/>
      <c r="I151" s="720"/>
      <c r="J151" s="720"/>
      <c r="K151" s="720"/>
      <c r="L151" s="149" t="str">
        <f t="shared" si="10"/>
        <v>321</v>
      </c>
      <c r="M151" s="150" t="str">
        <f t="shared" si="11"/>
        <v>SALAIRES A PAYER</v>
      </c>
      <c r="N151" s="151">
        <f>+IF(OR($Q151=Parametres!$G$2,$Q151=Parametres!$G$3),I151,C151)</f>
        <v>-3054.35</v>
      </c>
      <c r="O151" s="504">
        <f>+IF(OR($Q151=Parametres!$G$2,$Q151=Parametres!$G$3),J151,D151)</f>
        <v>-10769.41</v>
      </c>
      <c r="P151" s="151">
        <f>+IF(OR($Q151=Parametres!$G$2,$Q151=Parametres!$G$3),K151,E151)</f>
        <v>-13823.76</v>
      </c>
      <c r="Q151" s="150" t="str">
        <f t="shared" si="12"/>
        <v>3-Passifs</v>
      </c>
      <c r="R151" s="149" t="str">
        <f t="shared" si="13"/>
        <v>321</v>
      </c>
      <c r="S151" s="150">
        <f t="shared" si="14"/>
        <v>0</v>
      </c>
      <c r="T151" s="152" t="str">
        <f>+VLOOKUP($L151,Data_Validation!$A:$D,1,0)</f>
        <v>321</v>
      </c>
      <c r="U151" s="152" t="str">
        <f>+VLOOKUP($L151,Data_Validation!$A:$D,3,0)</f>
        <v>Bilan</v>
      </c>
      <c r="V151" s="152" t="str">
        <f>+VLOOKUP($L151,Data_Validation!$A:$D,4,0)</f>
        <v>Salaires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1109</v>
      </c>
      <c r="B152" s="718" t="s">
        <v>444</v>
      </c>
      <c r="C152" s="720">
        <v>-158087.93</v>
      </c>
      <c r="D152" s="720">
        <v>2816.5</v>
      </c>
      <c r="E152" s="720">
        <v>-155271.43</v>
      </c>
      <c r="F152" s="718" t="s">
        <v>2229</v>
      </c>
      <c r="G152" s="718" t="s">
        <v>444</v>
      </c>
      <c r="H152" s="673"/>
      <c r="I152" s="672"/>
      <c r="J152" s="672"/>
      <c r="K152" s="672"/>
      <c r="L152" s="149" t="str">
        <f t="shared" si="10"/>
        <v>321A</v>
      </c>
      <c r="M152" s="150" t="str">
        <f t="shared" si="11"/>
        <v>VACANCES PAYEES</v>
      </c>
      <c r="N152" s="151">
        <f>+IF(OR($Q152=Parametres!$G$2,$Q152=Parametres!$G$3),I152,C152)</f>
        <v>-158087.93</v>
      </c>
      <c r="O152" s="151">
        <f>+IF(OR($Q152=Parametres!$G$2,$Q152=Parametres!$G$3),J152,D152)</f>
        <v>2816.5</v>
      </c>
      <c r="P152" s="151">
        <f>+IF(OR($Q152=Parametres!$G$2,$Q152=Parametres!$G$3),K152,E152)</f>
        <v>-155271.43</v>
      </c>
      <c r="Q152" s="150" t="str">
        <f t="shared" si="12"/>
        <v>3-Passifs</v>
      </c>
      <c r="R152" s="149" t="str">
        <f t="shared" si="13"/>
        <v>321A</v>
      </c>
      <c r="S152" s="150">
        <f t="shared" si="14"/>
        <v>0</v>
      </c>
      <c r="T152" s="152" t="str">
        <f>+VLOOKUP($L152,Data_Validation!$A:$D,1,0)</f>
        <v>321A</v>
      </c>
      <c r="U152" s="152" t="str">
        <f>+VLOOKUP($L152,Data_Validation!$A:$D,3,0)</f>
        <v>Bilan</v>
      </c>
      <c r="V152" s="152" t="str">
        <f>+VLOOKUP($L152,Data_Validation!$A:$D,4,0)</f>
        <v>Salaires à Payer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361</v>
      </c>
      <c r="B153" s="718" t="s">
        <v>920</v>
      </c>
      <c r="C153" s="720">
        <v>-4748.49</v>
      </c>
      <c r="D153" s="720">
        <v>-18037.97</v>
      </c>
      <c r="E153" s="720">
        <v>-22786.46</v>
      </c>
      <c r="F153" s="718" t="s">
        <v>2229</v>
      </c>
      <c r="G153" s="718" t="s">
        <v>444</v>
      </c>
      <c r="H153" s="673"/>
      <c r="I153" s="672"/>
      <c r="J153" s="672"/>
      <c r="K153" s="672"/>
      <c r="L153" s="149" t="str">
        <f t="shared" si="10"/>
        <v>321B</v>
      </c>
      <c r="M153" s="150" t="str">
        <f t="shared" si="11"/>
        <v>COMMISSIONS A PAYER</v>
      </c>
      <c r="N153" s="151">
        <f>+IF(OR($Q153=Parametres!$G$2,$Q153=Parametres!$G$3),I153,C153)</f>
        <v>-4748.49</v>
      </c>
      <c r="O153" s="151">
        <f>+IF(OR($Q153=Parametres!$G$2,$Q153=Parametres!$G$3),J153,D153)</f>
        <v>-18037.97</v>
      </c>
      <c r="P153" s="151">
        <f>+IF(OR($Q153=Parametres!$G$2,$Q153=Parametres!$G$3),K153,E153)</f>
        <v>-22786.46</v>
      </c>
      <c r="Q153" s="150" t="str">
        <f t="shared" si="12"/>
        <v>3-Passifs</v>
      </c>
      <c r="R153" s="149" t="str">
        <f t="shared" si="13"/>
        <v>321A</v>
      </c>
      <c r="S153" s="150">
        <f t="shared" si="14"/>
        <v>0</v>
      </c>
      <c r="T153" s="152" t="str">
        <f>+VLOOKUP($L153,Data_Validation!$A:$D,1,0)</f>
        <v>321B</v>
      </c>
      <c r="U153" s="152" t="str">
        <f>+VLOOKUP($L153,Data_Validation!$A:$D,3,0)</f>
        <v>Bilan</v>
      </c>
      <c r="V153" s="152" t="str">
        <f>+VLOOKUP($L153,Data_Validation!$A:$D,4,0)</f>
        <v>Salaires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456</v>
      </c>
      <c r="B154" s="718" t="s">
        <v>457</v>
      </c>
      <c r="C154" s="720">
        <v>-21834.73</v>
      </c>
      <c r="D154" s="720">
        <v>0</v>
      </c>
      <c r="E154" s="720">
        <v>-21834.73</v>
      </c>
      <c r="F154" s="718" t="s">
        <v>2229</v>
      </c>
      <c r="G154" s="718" t="s">
        <v>457</v>
      </c>
      <c r="H154" s="673"/>
      <c r="I154" s="672"/>
      <c r="J154" s="672"/>
      <c r="K154" s="672"/>
      <c r="L154" s="149" t="str">
        <f t="shared" si="10"/>
        <v>321C</v>
      </c>
      <c r="M154" s="150" t="str">
        <f t="shared" si="11"/>
        <v>CONGES FERIES A PAYER</v>
      </c>
      <c r="N154" s="151">
        <f>+IF(OR($Q154=Parametres!$G$2,$Q154=Parametres!$G$3),I154,C154)</f>
        <v>-21834.73</v>
      </c>
      <c r="O154" s="151">
        <f>+IF(OR($Q154=Parametres!$G$2,$Q154=Parametres!$G$3),J154,D154)</f>
        <v>0</v>
      </c>
      <c r="P154" s="151">
        <f>+IF(OR($Q154=Parametres!$G$2,$Q154=Parametres!$G$3),K154,E154)</f>
        <v>-21834.73</v>
      </c>
      <c r="Q154" s="150" t="str">
        <f t="shared" si="12"/>
        <v>3-Passifs</v>
      </c>
      <c r="R154" s="149" t="str">
        <f t="shared" si="13"/>
        <v>321C</v>
      </c>
      <c r="S154" s="150">
        <f t="shared" si="14"/>
        <v>0</v>
      </c>
      <c r="T154" s="152" t="str">
        <f>+VLOOKUP($L154,Data_Validation!$A:$D,1,0)</f>
        <v>321C</v>
      </c>
      <c r="U154" s="152" t="str">
        <f>+VLOOKUP($L154,Data_Validation!$A:$D,3,0)</f>
        <v>Bilan</v>
      </c>
      <c r="V154" s="152" t="str">
        <f>+VLOOKUP($L154,Data_Validation!$A:$D,4,0)</f>
        <v>Salaires à Payer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2143</v>
      </c>
      <c r="B155" s="718" t="s">
        <v>2144</v>
      </c>
      <c r="C155" s="720">
        <v>-163</v>
      </c>
      <c r="D155" s="720">
        <v>-1671.54</v>
      </c>
      <c r="E155" s="720">
        <v>-1834.54</v>
      </c>
      <c r="F155" s="718" t="s">
        <v>2229</v>
      </c>
      <c r="G155" s="718" t="s">
        <v>425</v>
      </c>
      <c r="H155" s="673"/>
      <c r="I155" s="672"/>
      <c r="J155" s="672"/>
      <c r="K155" s="672"/>
      <c r="L155" s="149" t="str">
        <f t="shared" si="10"/>
        <v>321D</v>
      </c>
      <c r="M155" s="150" t="str">
        <f t="shared" si="11"/>
        <v>COMPTE DE DEPENSE A PAYER</v>
      </c>
      <c r="N155" s="151">
        <f>+IF(OR($Q155=Parametres!$G$2,$Q155=Parametres!$G$3),I155,C155)</f>
        <v>-163</v>
      </c>
      <c r="O155" s="151">
        <f>+IF(OR($Q155=Parametres!$G$2,$Q155=Parametres!$G$3),J155,D155)</f>
        <v>-1671.54</v>
      </c>
      <c r="P155" s="151">
        <f>+IF(OR($Q155=Parametres!$G$2,$Q155=Parametres!$G$3),K155,E155)</f>
        <v>-1834.54</v>
      </c>
      <c r="Q155" s="150" t="str">
        <f t="shared" si="12"/>
        <v>3-Passifs</v>
      </c>
      <c r="R155" s="149" t="str">
        <f t="shared" si="13"/>
        <v>321</v>
      </c>
      <c r="S155" s="150">
        <f t="shared" si="14"/>
        <v>0</v>
      </c>
      <c r="T155" s="152" t="str">
        <f>+VLOOKUP($L155,Data_Validation!$A:$D,1,0)</f>
        <v>321D</v>
      </c>
      <c r="U155" s="152" t="str">
        <f>+VLOOKUP($L155,Data_Validation!$A:$D,3,0)</f>
        <v>bilan</v>
      </c>
      <c r="V155" s="152" t="str">
        <f>+VLOOKUP($L155,Data_Validation!$A:$D,4,0)</f>
        <v>Autres Comptes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2439</v>
      </c>
      <c r="B156" s="718" t="s">
        <v>812</v>
      </c>
      <c r="C156" s="719">
        <v>24543</v>
      </c>
      <c r="D156" s="719">
        <v>0</v>
      </c>
      <c r="E156" s="719">
        <v>24543</v>
      </c>
      <c r="F156" s="718" t="s">
        <v>2229</v>
      </c>
      <c r="G156" s="718" t="s">
        <v>812</v>
      </c>
      <c r="H156" s="719"/>
      <c r="I156" s="720"/>
      <c r="J156" s="720"/>
      <c r="K156" s="720"/>
      <c r="L156" s="149" t="str">
        <f t="shared" si="10"/>
        <v>322</v>
      </c>
      <c r="M156" s="150" t="str">
        <f t="shared" si="11"/>
        <v>RESERVE CSST</v>
      </c>
      <c r="N156" s="151">
        <f>+IF(OR($Q156=Parametres!$G$2,$Q156=Parametres!$G$3),I156,C156)</f>
        <v>24543</v>
      </c>
      <c r="O156" s="504">
        <f>+IF(OR($Q156=Parametres!$G$2,$Q156=Parametres!$G$3),J156,D156)</f>
        <v>0</v>
      </c>
      <c r="P156" s="151">
        <f>+IF(OR($Q156=Parametres!$G$2,$Q156=Parametres!$G$3),K156,E156)</f>
        <v>24543</v>
      </c>
      <c r="Q156" s="150" t="str">
        <f t="shared" si="12"/>
        <v>3-Passifs</v>
      </c>
      <c r="R156" s="149" t="str">
        <f t="shared" si="13"/>
        <v>322</v>
      </c>
      <c r="S156" s="150">
        <f t="shared" si="14"/>
        <v>0</v>
      </c>
      <c r="T156" s="152" t="str">
        <f>+VLOOKUP($L156,Data_Validation!$A:$D,1,0)</f>
        <v>322</v>
      </c>
      <c r="U156" s="152" t="str">
        <f>+VLOOKUP($L156,Data_Validation!$A:$D,3,0)</f>
        <v>Bilan</v>
      </c>
      <c r="V156" s="152" t="str">
        <f>+VLOOKUP($L156,Data_Validation!$A:$D,4,0)</f>
        <v>DAS à Payer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1793</v>
      </c>
      <c r="B157" s="718" t="s">
        <v>467</v>
      </c>
      <c r="C157" s="719">
        <v>-1245</v>
      </c>
      <c r="D157" s="719">
        <v>-410</v>
      </c>
      <c r="E157" s="719">
        <v>-1655</v>
      </c>
      <c r="F157" s="718" t="s">
        <v>2229</v>
      </c>
      <c r="G157" s="718" t="s">
        <v>2253</v>
      </c>
      <c r="H157" s="719"/>
      <c r="I157" s="720"/>
      <c r="J157" s="720"/>
      <c r="K157" s="720"/>
      <c r="L157" s="149" t="str">
        <f t="shared" si="10"/>
        <v>323H</v>
      </c>
      <c r="M157" s="150" t="str">
        <f t="shared" si="11"/>
        <v>CLUB SOCIAL</v>
      </c>
      <c r="N157" s="151">
        <f>+IF(OR($Q157=Parametres!$G$2,$Q157=Parametres!$G$3),I157,C157)</f>
        <v>-1245</v>
      </c>
      <c r="O157" s="504">
        <f>+IF(OR($Q157=Parametres!$G$2,$Q157=Parametres!$G$3),J157,D157)</f>
        <v>-410</v>
      </c>
      <c r="P157" s="151">
        <f>+IF(OR($Q157=Parametres!$G$2,$Q157=Parametres!$G$3),K157,E157)</f>
        <v>-1655</v>
      </c>
      <c r="Q157" s="150" t="str">
        <f t="shared" si="12"/>
        <v>3-Passifs</v>
      </c>
      <c r="R157" s="149" t="str">
        <f t="shared" si="13"/>
        <v>323</v>
      </c>
      <c r="S157" s="150">
        <f t="shared" si="14"/>
        <v>0</v>
      </c>
      <c r="T157" s="152" t="str">
        <f>+VLOOKUP($L157,Data_Validation!$A:$D,1,0)</f>
        <v>323H</v>
      </c>
      <c r="U157" s="152" t="str">
        <f>+VLOOKUP($L157,Data_Validation!$A:$D,3,0)</f>
        <v>Bilan</v>
      </c>
      <c r="V157" s="152" t="str">
        <f>+VLOOKUP($L157,Data_Validation!$A:$D,4,0)</f>
        <v>DAS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1060</v>
      </c>
      <c r="B158" s="718" t="s">
        <v>1024</v>
      </c>
      <c r="C158" s="720">
        <v>-314.66000000000003</v>
      </c>
      <c r="D158" s="720">
        <v>-86.64</v>
      </c>
      <c r="E158" s="720">
        <v>-401.3</v>
      </c>
      <c r="F158" s="718" t="s">
        <v>2229</v>
      </c>
      <c r="G158" s="718" t="s">
        <v>2253</v>
      </c>
      <c r="H158" s="666"/>
      <c r="I158" s="665"/>
      <c r="J158" s="665"/>
      <c r="K158" s="665"/>
      <c r="L158" s="149" t="str">
        <f t="shared" si="10"/>
        <v>323I</v>
      </c>
      <c r="M158" s="150" t="str">
        <f t="shared" si="11"/>
        <v>COMITE PARITAIRE A PAYER</v>
      </c>
      <c r="N158" s="151">
        <f>+IF(OR($Q158=Parametres!$G$2,$Q158=Parametres!$G$3),I158,C158)</f>
        <v>-314.66000000000003</v>
      </c>
      <c r="O158" s="151">
        <f>+IF(OR($Q158=Parametres!$G$2,$Q158=Parametres!$G$3),J158,D158)</f>
        <v>-86.64</v>
      </c>
      <c r="P158" s="151">
        <f>+IF(OR($Q158=Parametres!$G$2,$Q158=Parametres!$G$3),K158,E158)</f>
        <v>-401.3</v>
      </c>
      <c r="Q158" s="150" t="str">
        <f t="shared" si="12"/>
        <v>3-Passifs</v>
      </c>
      <c r="R158" s="149" t="str">
        <f t="shared" si="13"/>
        <v>323</v>
      </c>
      <c r="S158" s="150">
        <f t="shared" si="14"/>
        <v>0</v>
      </c>
      <c r="T158" s="152" t="str">
        <f>+VLOOKUP($L158,Data_Validation!$A:$D,1,0)</f>
        <v>323I</v>
      </c>
      <c r="U158" s="152" t="str">
        <f>+VLOOKUP($L158,Data_Validation!$A:$D,3,0)</f>
        <v>Bilan</v>
      </c>
      <c r="V158" s="152" t="str">
        <f>+VLOOKUP($L158,Data_Validation!$A:$D,4,0)</f>
        <v>DAS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1158</v>
      </c>
      <c r="B159" s="718" t="s">
        <v>1061</v>
      </c>
      <c r="C159" s="720">
        <v>-2265.25</v>
      </c>
      <c r="D159" s="720">
        <v>2080.33</v>
      </c>
      <c r="E159" s="720">
        <v>-184.92</v>
      </c>
      <c r="F159" s="718" t="s">
        <v>2229</v>
      </c>
      <c r="G159" s="718" t="s">
        <v>2253</v>
      </c>
      <c r="H159" s="673"/>
      <c r="I159" s="672"/>
      <c r="J159" s="672"/>
      <c r="K159" s="672"/>
      <c r="L159" s="149" t="str">
        <f t="shared" si="10"/>
        <v>323J</v>
      </c>
      <c r="M159" s="150" t="str">
        <f t="shared" si="11"/>
        <v>ASSURANCE COLLECTIVE A PAYER</v>
      </c>
      <c r="N159" s="151">
        <f>+IF(OR($Q159=Parametres!$G$2,$Q159=Parametres!$G$3),I159,C159)</f>
        <v>-2265.25</v>
      </c>
      <c r="O159" s="151">
        <f>+IF(OR($Q159=Parametres!$G$2,$Q159=Parametres!$G$3),J159,D159)</f>
        <v>2080.33</v>
      </c>
      <c r="P159" s="151">
        <f>+IF(OR($Q159=Parametres!$G$2,$Q159=Parametres!$G$3),K159,E159)</f>
        <v>-184.92</v>
      </c>
      <c r="Q159" s="150" t="str">
        <f t="shared" si="12"/>
        <v>3-Passifs</v>
      </c>
      <c r="R159" s="149" t="str">
        <f t="shared" si="13"/>
        <v>323</v>
      </c>
      <c r="S159" s="150">
        <f t="shared" si="14"/>
        <v>0</v>
      </c>
      <c r="T159" s="152" t="str">
        <f>+VLOOKUP($L159,Data_Validation!$A:$D,1,0)</f>
        <v>323J</v>
      </c>
      <c r="U159" s="152" t="str">
        <f>+VLOOKUP($L159,Data_Validation!$A:$D,3,0)</f>
        <v>Bilan</v>
      </c>
      <c r="V159" s="152" t="str">
        <f>+VLOOKUP($L159,Data_Validation!$A:$D,4,0)</f>
        <v>DAS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1217</v>
      </c>
      <c r="B160" s="718" t="s">
        <v>1218</v>
      </c>
      <c r="C160" s="720">
        <v>-2027.14</v>
      </c>
      <c r="D160" s="720">
        <v>1489.54</v>
      </c>
      <c r="E160" s="720">
        <v>-537.6</v>
      </c>
      <c r="F160" s="718" t="s">
        <v>2229</v>
      </c>
      <c r="G160" s="718" t="s">
        <v>2253</v>
      </c>
      <c r="H160" s="673"/>
      <c r="I160" s="672"/>
      <c r="J160" s="672"/>
      <c r="K160" s="672"/>
      <c r="L160" s="149" t="str">
        <f t="shared" si="10"/>
        <v>323K</v>
      </c>
      <c r="M160" s="150" t="str">
        <f t="shared" si="11"/>
        <v>CENTRADE</v>
      </c>
      <c r="N160" s="151">
        <f>+IF(OR($Q160=Parametres!$G$2,$Q160=Parametres!$G$3),I160,C160)</f>
        <v>-2027.14</v>
      </c>
      <c r="O160" s="151">
        <f>+IF(OR($Q160=Parametres!$G$2,$Q160=Parametres!$G$3),J160,D160)</f>
        <v>1489.54</v>
      </c>
      <c r="P160" s="151">
        <f>+IF(OR($Q160=Parametres!$G$2,$Q160=Parametres!$G$3),K160,E160)</f>
        <v>-537.6</v>
      </c>
      <c r="Q160" s="150" t="str">
        <f t="shared" si="12"/>
        <v>3-Passifs</v>
      </c>
      <c r="R160" s="149" t="str">
        <f t="shared" si="13"/>
        <v>323</v>
      </c>
      <c r="S160" s="150">
        <f t="shared" si="14"/>
        <v>0</v>
      </c>
      <c r="T160" s="152" t="str">
        <f>+VLOOKUP($L160,Data_Validation!$A:$D,1,0)</f>
        <v>323K</v>
      </c>
      <c r="U160" s="152" t="str">
        <f>+VLOOKUP($L160,Data_Validation!$A:$D,3,0)</f>
        <v>Bilan</v>
      </c>
      <c r="V160" s="152" t="str">
        <f>+VLOOKUP($L160,Data_Validation!$A:$D,4,0)</f>
        <v>DAS à Payer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1211</v>
      </c>
      <c r="B161" s="718" t="s">
        <v>1212</v>
      </c>
      <c r="C161" s="719">
        <v>-16214.9</v>
      </c>
      <c r="D161" s="719">
        <v>1559.06</v>
      </c>
      <c r="E161" s="719">
        <v>-14655.84</v>
      </c>
      <c r="F161" s="718" t="s">
        <v>2229</v>
      </c>
      <c r="G161" s="718" t="s">
        <v>2253</v>
      </c>
      <c r="H161" s="719"/>
      <c r="I161" s="720"/>
      <c r="J161" s="720"/>
      <c r="K161" s="720"/>
      <c r="L161" s="149" t="str">
        <f t="shared" si="10"/>
        <v>323R</v>
      </c>
      <c r="M161" s="150" t="str">
        <f t="shared" si="11"/>
        <v>REER A PAYER</v>
      </c>
      <c r="N161" s="151">
        <f>+IF(OR($Q161=Parametres!$G$2,$Q161=Parametres!$G$3),I161,C161)</f>
        <v>-16214.9</v>
      </c>
      <c r="O161" s="151">
        <f>+IF(OR($Q161=Parametres!$G$2,$Q161=Parametres!$G$3),J161,D161)</f>
        <v>1559.06</v>
      </c>
      <c r="P161" s="151">
        <f>+IF(OR($Q161=Parametres!$G$2,$Q161=Parametres!$G$3),K161,E161)</f>
        <v>-14655.84</v>
      </c>
      <c r="Q161" s="150" t="str">
        <f t="shared" si="12"/>
        <v>3-Passifs</v>
      </c>
      <c r="R161" s="149" t="str">
        <f t="shared" si="13"/>
        <v>323</v>
      </c>
      <c r="S161" s="150">
        <f t="shared" si="14"/>
        <v>0</v>
      </c>
      <c r="T161" s="152" t="str">
        <f>+VLOOKUP($L161,Data_Validation!$A:$D,1,0)</f>
        <v>323R</v>
      </c>
      <c r="U161" s="152" t="str">
        <f>+VLOOKUP($L161,Data_Validation!$A:$D,3,0)</f>
        <v>Bilan</v>
      </c>
      <c r="V161" s="152" t="str">
        <f>+VLOOKUP($L161,Data_Validation!$A:$D,4,0)</f>
        <v>DAS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1846</v>
      </c>
      <c r="B162" s="718" t="s">
        <v>404</v>
      </c>
      <c r="C162" s="720">
        <v>-153656.06</v>
      </c>
      <c r="D162" s="720">
        <v>-84728.24</v>
      </c>
      <c r="E162" s="720">
        <v>-238384.3</v>
      </c>
      <c r="F162" s="718" t="s">
        <v>2229</v>
      </c>
      <c r="G162" s="718" t="s">
        <v>404</v>
      </c>
      <c r="H162" s="673"/>
      <c r="I162" s="672"/>
      <c r="J162" s="672"/>
      <c r="K162" s="672"/>
      <c r="L162" s="149" t="str">
        <f t="shared" si="10"/>
        <v>324</v>
      </c>
      <c r="M162" s="150" t="str">
        <f t="shared" si="11"/>
        <v>TPS A PAYER</v>
      </c>
      <c r="N162" s="151">
        <f>+IF(OR($Q162=Parametres!$G$2,$Q162=Parametres!$G$3),I162,C162)</f>
        <v>-153656.06</v>
      </c>
      <c r="O162" s="151">
        <f>+IF(OR($Q162=Parametres!$G$2,$Q162=Parametres!$G$3),J162,D162)</f>
        <v>-84728.24</v>
      </c>
      <c r="P162" s="151">
        <f>+IF(OR($Q162=Parametres!$G$2,$Q162=Parametres!$G$3),K162,E162)</f>
        <v>-238384.3</v>
      </c>
      <c r="Q162" s="150" t="str">
        <f t="shared" si="12"/>
        <v>3-Passifs</v>
      </c>
      <c r="R162" s="149" t="str">
        <f t="shared" si="13"/>
        <v>324</v>
      </c>
      <c r="S162" s="150">
        <f t="shared" si="14"/>
        <v>0</v>
      </c>
      <c r="T162" s="152" t="str">
        <f>+VLOOKUP($L162,Data_Validation!$A:$D,1,0)</f>
        <v>324</v>
      </c>
      <c r="U162" s="152" t="str">
        <f>+VLOOKUP($L162,Data_Validation!$A:$D,3,0)</f>
        <v>Bilan</v>
      </c>
      <c r="V162" s="152" t="str">
        <f>+VLOOKUP($L162,Data_Validation!$A:$D,4,0)</f>
        <v>Taxes de Vente à Payer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1129</v>
      </c>
      <c r="B163" s="718" t="s">
        <v>967</v>
      </c>
      <c r="C163" s="719">
        <v>171414.04</v>
      </c>
      <c r="D163" s="719">
        <v>19077.95</v>
      </c>
      <c r="E163" s="719">
        <v>190491.99</v>
      </c>
      <c r="F163" s="718" t="s">
        <v>2229</v>
      </c>
      <c r="G163" s="718" t="s">
        <v>404</v>
      </c>
      <c r="H163" s="719"/>
      <c r="I163" s="720"/>
      <c r="J163" s="720"/>
      <c r="K163" s="720"/>
      <c r="L163" s="149" t="str">
        <f t="shared" si="10"/>
        <v>324A</v>
      </c>
      <c r="M163" s="150" t="str">
        <f t="shared" si="11"/>
        <v>TPS A RECEVOIR</v>
      </c>
      <c r="N163" s="151">
        <f>+IF(OR($Q163=Parametres!$G$2,$Q163=Parametres!$G$3),I163,C163)</f>
        <v>171414.04</v>
      </c>
      <c r="O163" s="151">
        <f>+IF(OR($Q163=Parametres!$G$2,$Q163=Parametres!$G$3),J163,D163)</f>
        <v>19077.95</v>
      </c>
      <c r="P163" s="151">
        <f>+IF(OR($Q163=Parametres!$G$2,$Q163=Parametres!$G$3),K163,E163)</f>
        <v>190491.99</v>
      </c>
      <c r="Q163" s="150" t="str">
        <f t="shared" si="12"/>
        <v>3-Passifs</v>
      </c>
      <c r="R163" s="149" t="str">
        <f t="shared" si="13"/>
        <v>324</v>
      </c>
      <c r="S163" s="150">
        <f t="shared" si="14"/>
        <v>0</v>
      </c>
      <c r="T163" s="152" t="str">
        <f>+VLOOKUP($L163,Data_Validation!$A:$D,1,0)</f>
        <v>324A</v>
      </c>
      <c r="U163" s="152" t="str">
        <f>+VLOOKUP($L163,Data_Validation!$A:$D,3,0)</f>
        <v>Bilan</v>
      </c>
      <c r="V163" s="152" t="str">
        <f>+VLOOKUP($L163,Data_Validation!$A:$D,4,0)</f>
        <v>Taxes de Vente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2423</v>
      </c>
      <c r="B164" s="718" t="s">
        <v>2424</v>
      </c>
      <c r="C164" s="719">
        <v>-36766.35</v>
      </c>
      <c r="D164" s="719">
        <v>26349.22</v>
      </c>
      <c r="E164" s="719">
        <v>-10417.129999999999</v>
      </c>
      <c r="F164" s="718" t="s">
        <v>2229</v>
      </c>
      <c r="G164" s="718" t="s">
        <v>404</v>
      </c>
      <c r="H164" s="719"/>
      <c r="I164" s="720"/>
      <c r="J164" s="720"/>
      <c r="K164" s="720"/>
      <c r="L164" s="149" t="str">
        <f t="shared" si="10"/>
        <v>324E</v>
      </c>
      <c r="M164" s="150" t="str">
        <f t="shared" si="11"/>
        <v>TAXE DE LUXE</v>
      </c>
      <c r="N164" s="151">
        <f>+IF(OR($Q164=Parametres!$G$2,$Q164=Parametres!$G$3),I164,C164)</f>
        <v>-36766.35</v>
      </c>
      <c r="O164" s="505">
        <f>+IF(OR($Q164=Parametres!$G$2,$Q164=Parametres!$G$3),J164,D164)</f>
        <v>26349.22</v>
      </c>
      <c r="P164" s="151">
        <f>+IF(OR($Q164=Parametres!$G$2,$Q164=Parametres!$G$3),K164,E164)</f>
        <v>-10417.129999999999</v>
      </c>
      <c r="Q164" s="150" t="str">
        <f t="shared" si="12"/>
        <v>3-Passifs</v>
      </c>
      <c r="R164" s="149" t="str">
        <f t="shared" si="13"/>
        <v>324</v>
      </c>
      <c r="S164" s="150">
        <f t="shared" si="14"/>
        <v>0</v>
      </c>
      <c r="T164" s="152" t="str">
        <f>+VLOOKUP($L164,Data_Validation!$A:$D,1,0)</f>
        <v>324E</v>
      </c>
      <c r="U164" s="152" t="str">
        <f>+VLOOKUP($L164,Data_Validation!$A:$D,3,0)</f>
        <v>Bilan</v>
      </c>
      <c r="V164" s="152" t="str">
        <f>+VLOOKUP($L164,Data_Validation!$A:$D,4,0)</f>
        <v>Taxes de Vente à Payer</v>
      </c>
      <c r="W164" s="152">
        <f>+VLOOKUP($L164,Data_Validation!$A:$E,5,0)</f>
        <v>0</v>
      </c>
      <c r="X164" s="152">
        <f>+VLOOKUP($L164,Data_Validation!$A:$F,6,0)</f>
        <v>0</v>
      </c>
    </row>
    <row r="165" spans="1:24" ht="15" customHeight="1">
      <c r="A165" s="718" t="s">
        <v>352</v>
      </c>
      <c r="B165" s="718" t="s">
        <v>1830</v>
      </c>
      <c r="C165" s="720">
        <v>-51888.73</v>
      </c>
      <c r="D165" s="720">
        <v>-38838.92</v>
      </c>
      <c r="E165" s="720">
        <v>-90727.65</v>
      </c>
      <c r="F165" s="718" t="s">
        <v>2229</v>
      </c>
      <c r="G165" s="718" t="s">
        <v>404</v>
      </c>
      <c r="H165" s="673"/>
      <c r="I165" s="673"/>
      <c r="J165" s="673"/>
      <c r="K165" s="673"/>
      <c r="L165" s="149" t="str">
        <f t="shared" si="10"/>
        <v>325</v>
      </c>
      <c r="M165" s="150" t="str">
        <f t="shared" si="11"/>
        <v>TVQ A PAYER</v>
      </c>
      <c r="N165" s="151">
        <f>+IF(OR($Q165=Parametres!$G$2,$Q165=Parametres!$G$3),I165,C165)</f>
        <v>-51888.73</v>
      </c>
      <c r="O165" s="151">
        <f>+IF(OR($Q165=Parametres!$G$2,$Q165=Parametres!$G$3),J165,D165)</f>
        <v>-38838.92</v>
      </c>
      <c r="P165" s="151">
        <f>+IF(OR($Q165=Parametres!$G$2,$Q165=Parametres!$G$3),K165,E165)</f>
        <v>-90727.65</v>
      </c>
      <c r="Q165" s="150" t="str">
        <f t="shared" si="12"/>
        <v>3-Passifs</v>
      </c>
      <c r="R165" s="149" t="str">
        <f t="shared" si="13"/>
        <v>324</v>
      </c>
      <c r="S165" s="150">
        <f t="shared" si="14"/>
        <v>0</v>
      </c>
      <c r="T165" s="152" t="str">
        <f>+VLOOKUP($L165,Data_Validation!$A:$D,1,0)</f>
        <v>325</v>
      </c>
      <c r="U165" s="152" t="str">
        <f>+VLOOKUP($L165,Data_Validation!$A:$D,3,0)</f>
        <v>Bilan</v>
      </c>
      <c r="V165" s="152" t="str">
        <f>+VLOOKUP($L165,Data_Validation!$A:$D,4,0)</f>
        <v>Taxes de Vente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1701</v>
      </c>
      <c r="B166" s="718" t="s">
        <v>1702</v>
      </c>
      <c r="C166" s="719">
        <v>33006.699999999997</v>
      </c>
      <c r="D166" s="719">
        <v>2685.07</v>
      </c>
      <c r="E166" s="719">
        <v>35691.769999999997</v>
      </c>
      <c r="F166" s="718" t="s">
        <v>2229</v>
      </c>
      <c r="G166" s="718" t="s">
        <v>404</v>
      </c>
      <c r="H166" s="719"/>
      <c r="I166" s="720"/>
      <c r="J166" s="720"/>
      <c r="K166" s="720"/>
      <c r="L166" s="149" t="str">
        <f t="shared" si="10"/>
        <v>325B</v>
      </c>
      <c r="M166" s="150" t="str">
        <f t="shared" si="11"/>
        <v>TVQ A RECEVOIR</v>
      </c>
      <c r="N166" s="151">
        <f>+IF(OR($Q166=Parametres!$G$2,$Q166=Parametres!$G$3),I166,C166)</f>
        <v>33006.699999999997</v>
      </c>
      <c r="O166" s="506">
        <f>+IF(OR($Q166=Parametres!$G$2,$Q166=Parametres!$G$3),J166,D166)</f>
        <v>2685.07</v>
      </c>
      <c r="P166" s="151">
        <f>+IF(OR($Q166=Parametres!$G$2,$Q166=Parametres!$G$3),K166,E166)</f>
        <v>35691.769999999997</v>
      </c>
      <c r="Q166" s="150" t="str">
        <f t="shared" si="12"/>
        <v>3-Passifs</v>
      </c>
      <c r="R166" s="149" t="str">
        <f t="shared" si="13"/>
        <v>324</v>
      </c>
      <c r="S166" s="150">
        <f t="shared" si="14"/>
        <v>0</v>
      </c>
      <c r="T166" s="152" t="str">
        <f>+VLOOKUP($L166,Data_Validation!$A:$D,1,0)</f>
        <v>325B</v>
      </c>
      <c r="U166" s="152" t="str">
        <f>+VLOOKUP($L166,Data_Validation!$A:$D,3,0)</f>
        <v>Bilan</v>
      </c>
      <c r="V166" s="152" t="str">
        <f>+VLOOKUP($L166,Data_Validation!$A:$D,4,0)</f>
        <v>Taxes de Vente à Payer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1634</v>
      </c>
      <c r="B167" s="718" t="s">
        <v>1635</v>
      </c>
      <c r="C167" s="720">
        <v>-549</v>
      </c>
      <c r="D167" s="720">
        <v>-873</v>
      </c>
      <c r="E167" s="720">
        <v>-1422</v>
      </c>
      <c r="F167" s="718" t="s">
        <v>2229</v>
      </c>
      <c r="G167" s="718" t="s">
        <v>404</v>
      </c>
      <c r="H167" s="673"/>
      <c r="I167" s="672"/>
      <c r="J167" s="672"/>
      <c r="K167" s="672"/>
      <c r="L167" s="149" t="str">
        <f t="shared" si="10"/>
        <v>326</v>
      </c>
      <c r="M167" s="150" t="str">
        <f t="shared" si="11"/>
        <v>TAXES DE PNEUS</v>
      </c>
      <c r="N167" s="151">
        <f>+IF(OR($Q167=Parametres!$G$2,$Q167=Parametres!$G$3),I167,C167)</f>
        <v>-549</v>
      </c>
      <c r="O167" s="151">
        <f>+IF(OR($Q167=Parametres!$G$2,$Q167=Parametres!$G$3),J167,D167)</f>
        <v>-873</v>
      </c>
      <c r="P167" s="151">
        <f>+IF(OR($Q167=Parametres!$G$2,$Q167=Parametres!$G$3),K167,E167)</f>
        <v>-1422</v>
      </c>
      <c r="Q167" s="150" t="str">
        <f t="shared" si="12"/>
        <v>3-Passifs</v>
      </c>
      <c r="R167" s="149" t="str">
        <f t="shared" si="13"/>
        <v>324</v>
      </c>
      <c r="S167" s="150">
        <f t="shared" si="14"/>
        <v>0</v>
      </c>
      <c r="T167" s="152" t="str">
        <f>+VLOOKUP($L167,Data_Validation!$A:$D,1,0)</f>
        <v>326</v>
      </c>
      <c r="U167" s="152" t="str">
        <f>+VLOOKUP($L167,Data_Validation!$A:$D,3,0)</f>
        <v>Bilan</v>
      </c>
      <c r="V167" s="152" t="str">
        <f>+VLOOKUP($L167,Data_Validation!$A:$D,4,0)</f>
        <v>Taxes de Vente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1932</v>
      </c>
      <c r="B168" s="718" t="s">
        <v>1933</v>
      </c>
      <c r="C168" s="720">
        <v>0</v>
      </c>
      <c r="D168" s="720">
        <v>-297.08999999999997</v>
      </c>
      <c r="E168" s="720">
        <v>-297.08999999999997</v>
      </c>
      <c r="F168" s="718" t="s">
        <v>2229</v>
      </c>
      <c r="G168" s="718" t="s">
        <v>404</v>
      </c>
      <c r="H168" s="673"/>
      <c r="I168" s="672"/>
      <c r="J168" s="672"/>
      <c r="K168" s="672"/>
      <c r="L168" s="149" t="str">
        <f t="shared" si="10"/>
        <v>326A</v>
      </c>
      <c r="M168" s="150" t="str">
        <f t="shared" si="11"/>
        <v>TAXES PRIMES ASSURANCE</v>
      </c>
      <c r="N168" s="151">
        <f>+IF(OR($Q168=Parametres!$G$2,$Q168=Parametres!$G$3),I168,C168)</f>
        <v>0</v>
      </c>
      <c r="O168" s="151">
        <f>+IF(OR($Q168=Parametres!$G$2,$Q168=Parametres!$G$3),J168,D168)</f>
        <v>-297.08999999999997</v>
      </c>
      <c r="P168" s="151">
        <f>+IF(OR($Q168=Parametres!$G$2,$Q168=Parametres!$G$3),K168,E168)</f>
        <v>-297.08999999999997</v>
      </c>
      <c r="Q168" s="150" t="str">
        <f t="shared" si="12"/>
        <v>3-Passifs</v>
      </c>
      <c r="R168" s="149" t="str">
        <f t="shared" si="13"/>
        <v>324</v>
      </c>
      <c r="S168" s="150">
        <f t="shared" si="14"/>
        <v>0</v>
      </c>
      <c r="T168" s="152" t="str">
        <f>+VLOOKUP($L168,Data_Validation!$A:$D,1,0)</f>
        <v>326A</v>
      </c>
      <c r="U168" s="152" t="str">
        <f>+VLOOKUP($L168,Data_Validation!$A:$D,3,0)</f>
        <v>Bilan</v>
      </c>
      <c r="V168" s="152" t="str">
        <f>+VLOOKUP($L168,Data_Validation!$A:$D,4,0)</f>
        <v>Taxes de Vente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2436</v>
      </c>
      <c r="B169" s="718" t="s">
        <v>2437</v>
      </c>
      <c r="C169" s="720">
        <v>-634868.29</v>
      </c>
      <c r="D169" s="720">
        <v>-26602.95</v>
      </c>
      <c r="E169" s="720">
        <v>-661471.24</v>
      </c>
      <c r="F169" s="718" t="s">
        <v>2229</v>
      </c>
      <c r="G169" s="718" t="s">
        <v>2437</v>
      </c>
      <c r="H169" s="666"/>
      <c r="I169" s="665"/>
      <c r="J169" s="665"/>
      <c r="K169" s="665"/>
      <c r="L169" s="149" t="str">
        <f t="shared" si="10"/>
        <v>327</v>
      </c>
      <c r="M169" s="150" t="str">
        <f t="shared" si="11"/>
        <v>IMPOTS SUR LE REVENU</v>
      </c>
      <c r="N169" s="151">
        <f>+IF(OR($Q169=Parametres!$G$2,$Q169=Parametres!$G$3),I169,C169)</f>
        <v>-634868.29</v>
      </c>
      <c r="O169" s="151">
        <f>+IF(OR($Q169=Parametres!$G$2,$Q169=Parametres!$G$3),J169,D169)</f>
        <v>-26602.95</v>
      </c>
      <c r="P169" s="151">
        <f>+IF(OR($Q169=Parametres!$G$2,$Q169=Parametres!$G$3),K169,E169)</f>
        <v>-661471.24</v>
      </c>
      <c r="Q169" s="150" t="str">
        <f t="shared" si="12"/>
        <v>3-Passifs</v>
      </c>
      <c r="R169" s="149" t="str">
        <f t="shared" si="13"/>
        <v>327</v>
      </c>
      <c r="S169" s="150">
        <f t="shared" si="14"/>
        <v>0</v>
      </c>
      <c r="T169" s="152" t="str">
        <f>+VLOOKUP($L169,Data_Validation!$A:$D,1,0)</f>
        <v>327</v>
      </c>
      <c r="U169" s="152" t="str">
        <f>+VLOOKUP($L169,Data_Validation!$A:$D,3,0)</f>
        <v>Bilan</v>
      </c>
      <c r="V169" s="152" t="str">
        <f>+VLOOKUP($L169,Data_Validation!$A:$D,4,0)</f>
        <v>Impôts à payer</v>
      </c>
      <c r="W169" s="152">
        <f>+VLOOKUP($L169,Data_Validation!$A:$E,5,0)</f>
        <v>0</v>
      </c>
      <c r="X169" s="152">
        <f>+VLOOKUP($L169,Data_Validation!$A:$F,6,0)</f>
        <v>0</v>
      </c>
    </row>
    <row r="170" spans="1:24" ht="15" customHeight="1">
      <c r="A170" s="718" t="s">
        <v>2337</v>
      </c>
      <c r="B170" s="718" t="s">
        <v>2338</v>
      </c>
      <c r="C170" s="719">
        <v>-35132.94</v>
      </c>
      <c r="D170" s="719">
        <v>-23617.41</v>
      </c>
      <c r="E170" s="719">
        <v>-58750.35</v>
      </c>
      <c r="F170" s="718" t="s">
        <v>2229</v>
      </c>
      <c r="G170" s="718" t="s">
        <v>2338</v>
      </c>
      <c r="H170" s="719"/>
      <c r="I170" s="720"/>
      <c r="J170" s="720"/>
      <c r="K170" s="720"/>
      <c r="L170" s="149" t="str">
        <f t="shared" si="10"/>
        <v>328</v>
      </c>
      <c r="M170" s="150" t="str">
        <f t="shared" si="11"/>
        <v>BONUS EMPLOYES A/P</v>
      </c>
      <c r="N170" s="151">
        <f>+IF(OR($Q170=Parametres!$G$2,$Q170=Parametres!$G$3),I170,C170)</f>
        <v>-35132.94</v>
      </c>
      <c r="O170" s="504">
        <f>+IF(OR($Q170=Parametres!$G$2,$Q170=Parametres!$G$3),J170,D170)</f>
        <v>-23617.41</v>
      </c>
      <c r="P170" s="151">
        <f>+IF(OR($Q170=Parametres!$G$2,$Q170=Parametres!$G$3),K170,E170)</f>
        <v>-58750.35</v>
      </c>
      <c r="Q170" s="150" t="str">
        <f t="shared" si="12"/>
        <v>3-Passifs</v>
      </c>
      <c r="R170" s="149" t="str">
        <f t="shared" si="13"/>
        <v>328</v>
      </c>
      <c r="S170" s="150">
        <f t="shared" si="14"/>
        <v>0</v>
      </c>
      <c r="T170" s="152" t="str">
        <f>+VLOOKUP($L170,Data_Validation!$A:$D,1,0)</f>
        <v>328</v>
      </c>
      <c r="U170" s="152" t="str">
        <f>+VLOOKUP($L170,Data_Validation!$A:$D,3,0)</f>
        <v>Bilan</v>
      </c>
      <c r="V170" s="152" t="str">
        <f>+VLOOKUP($L170,Data_Validation!$A:$D,4,0)</f>
        <v>Salaires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1828</v>
      </c>
      <c r="B171" s="718" t="s">
        <v>449</v>
      </c>
      <c r="C171" s="720">
        <v>-28663.360000000001</v>
      </c>
      <c r="D171" s="720">
        <v>4902.08</v>
      </c>
      <c r="E171" s="720">
        <v>-23761.279999999999</v>
      </c>
      <c r="F171" s="718" t="s">
        <v>2229</v>
      </c>
      <c r="G171" s="718" t="s">
        <v>449</v>
      </c>
      <c r="H171" s="673"/>
      <c r="I171" s="673"/>
      <c r="J171" s="673"/>
      <c r="K171" s="673"/>
      <c r="L171" s="149" t="str">
        <f t="shared" si="10"/>
        <v>331B</v>
      </c>
      <c r="M171" s="150" t="str">
        <f t="shared" si="11"/>
        <v>RESERVE INVENTAIRE USAGE</v>
      </c>
      <c r="N171" s="151">
        <f>+IF(OR($Q171=Parametres!$G$2,$Q171=Parametres!$G$3),I171,C171)</f>
        <v>-28663.360000000001</v>
      </c>
      <c r="O171" s="151">
        <f>+IF(OR($Q171=Parametres!$G$2,$Q171=Parametres!$G$3),J171,D171)</f>
        <v>4902.08</v>
      </c>
      <c r="P171" s="151">
        <f>+IF(OR($Q171=Parametres!$G$2,$Q171=Parametres!$G$3),K171,E171)</f>
        <v>-23761.279999999999</v>
      </c>
      <c r="Q171" s="150" t="str">
        <f t="shared" si="12"/>
        <v>3-Passifs</v>
      </c>
      <c r="R171" s="149" t="str">
        <f t="shared" si="13"/>
        <v>331B</v>
      </c>
      <c r="S171" s="150">
        <f t="shared" si="14"/>
        <v>0</v>
      </c>
      <c r="T171" s="152" t="str">
        <f>+VLOOKUP($L171,Data_Validation!$A:$D,1,0)</f>
        <v>331B</v>
      </c>
      <c r="U171" s="152" t="str">
        <f>+VLOOKUP($L171,Data_Validation!$A:$D,3,0)</f>
        <v>Bilan</v>
      </c>
      <c r="V171" s="152" t="str">
        <f>+VLOOKUP($L171,Data_Validation!$A:$D,4,0)</f>
        <v>Inventaire Véhicules Usagés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1081</v>
      </c>
      <c r="B172" s="718" t="s">
        <v>1064</v>
      </c>
      <c r="C172" s="719">
        <v>-46793.7</v>
      </c>
      <c r="D172" s="719">
        <v>780.79</v>
      </c>
      <c r="E172" s="719">
        <v>-46012.91</v>
      </c>
      <c r="F172" s="718" t="s">
        <v>2229</v>
      </c>
      <c r="G172" s="718" t="s">
        <v>1064</v>
      </c>
      <c r="H172" s="719"/>
      <c r="I172" s="720"/>
      <c r="J172" s="720"/>
      <c r="K172" s="720"/>
      <c r="L172" s="149" t="str">
        <f t="shared" si="10"/>
        <v>331C</v>
      </c>
      <c r="M172" s="150" t="str">
        <f t="shared" si="11"/>
        <v>RESERVE INVENTAIRE NEUF</v>
      </c>
      <c r="N172" s="151">
        <f>+IF(OR($Q172=Parametres!$G$2,$Q172=Parametres!$G$3),I172,C172)</f>
        <v>-46793.7</v>
      </c>
      <c r="O172" s="505">
        <f>+IF(OR($Q172=Parametres!$G$2,$Q172=Parametres!$G$3),J172,D172)</f>
        <v>780.79</v>
      </c>
      <c r="P172" s="151">
        <f>+IF(OR($Q172=Parametres!$G$2,$Q172=Parametres!$G$3),K172,E172)</f>
        <v>-46012.91</v>
      </c>
      <c r="Q172" s="150" t="str">
        <f t="shared" si="12"/>
        <v>3-Passifs</v>
      </c>
      <c r="R172" s="149" t="str">
        <f t="shared" si="13"/>
        <v>331C</v>
      </c>
      <c r="S172" s="150">
        <f t="shared" si="14"/>
        <v>0</v>
      </c>
      <c r="T172" s="152" t="str">
        <f>+VLOOKUP($L172,Data_Validation!$A:$D,1,0)</f>
        <v>331C</v>
      </c>
      <c r="U172" s="152" t="str">
        <f>+VLOOKUP($L172,Data_Validation!$A:$D,3,0)</f>
        <v>Bilan</v>
      </c>
      <c r="V172" s="152" t="str">
        <f>+VLOOKUP($L172,Data_Validation!$A:$D,4,0)</f>
        <v>Inventaire Véhicules Neufs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1922</v>
      </c>
      <c r="B173" s="718" t="s">
        <v>1923</v>
      </c>
      <c r="C173" s="720">
        <v>-211.45</v>
      </c>
      <c r="D173" s="720">
        <v>-3537.86</v>
      </c>
      <c r="E173" s="720">
        <v>-3749.31</v>
      </c>
      <c r="F173" s="718" t="s">
        <v>2229</v>
      </c>
      <c r="G173" s="718" t="s">
        <v>1064</v>
      </c>
      <c r="H173" s="666"/>
      <c r="I173" s="665"/>
      <c r="J173" s="665"/>
      <c r="K173" s="665"/>
      <c r="L173" s="149" t="str">
        <f t="shared" si="10"/>
        <v>331D</v>
      </c>
      <c r="M173" s="150" t="str">
        <f t="shared" si="11"/>
        <v>RESERVE DEMONSTRATEURS</v>
      </c>
      <c r="N173" s="151">
        <f>+IF(OR($Q173=Parametres!$G$2,$Q173=Parametres!$G$3),I173,C173)</f>
        <v>-211.45</v>
      </c>
      <c r="O173" s="151">
        <f>+IF(OR($Q173=Parametres!$G$2,$Q173=Parametres!$G$3),J173,D173)</f>
        <v>-3537.86</v>
      </c>
      <c r="P173" s="151">
        <f>+IF(OR($Q173=Parametres!$G$2,$Q173=Parametres!$G$3),K173,E173)</f>
        <v>-3749.31</v>
      </c>
      <c r="Q173" s="150" t="str">
        <f t="shared" si="12"/>
        <v>3-Passifs</v>
      </c>
      <c r="R173" s="149" t="str">
        <f t="shared" si="13"/>
        <v>331C</v>
      </c>
      <c r="S173" s="150">
        <f t="shared" si="14"/>
        <v>0</v>
      </c>
      <c r="T173" s="152" t="str">
        <f>+VLOOKUP($L173,Data_Validation!$A:$D,1,0)</f>
        <v>331D</v>
      </c>
      <c r="U173" s="152" t="str">
        <f>+VLOOKUP($L173,Data_Validation!$A:$D,3,0)</f>
        <v>Bilan</v>
      </c>
      <c r="V173" s="152" t="str">
        <f>+VLOOKUP($L173,Data_Validation!$A:$D,4,0)</f>
        <v>Inventaire Véhicules Neufs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1924</v>
      </c>
      <c r="B174" s="718" t="s">
        <v>1925</v>
      </c>
      <c r="C174" s="719">
        <v>-36395.03</v>
      </c>
      <c r="D174" s="719">
        <v>17007.900000000001</v>
      </c>
      <c r="E174" s="719">
        <v>-19387.13</v>
      </c>
      <c r="F174" s="718" t="s">
        <v>2229</v>
      </c>
      <c r="G174" s="718" t="s">
        <v>1064</v>
      </c>
      <c r="H174" s="719"/>
      <c r="I174" s="720"/>
      <c r="J174" s="720"/>
      <c r="K174" s="720"/>
      <c r="L174" s="149" t="str">
        <f t="shared" si="10"/>
        <v>331E</v>
      </c>
      <c r="M174" s="150" t="str">
        <f t="shared" si="11"/>
        <v>RESERVE COURTOISIES</v>
      </c>
      <c r="N174" s="151">
        <f>+IF(OR($Q174=Parametres!$G$2,$Q174=Parametres!$G$3),I174,C174)</f>
        <v>-36395.03</v>
      </c>
      <c r="O174" s="505">
        <f>+IF(OR($Q174=Parametres!$G$2,$Q174=Parametres!$G$3),J174,D174)</f>
        <v>17007.900000000001</v>
      </c>
      <c r="P174" s="151">
        <f>+IF(OR($Q174=Parametres!$G$2,$Q174=Parametres!$G$3),K174,E174)</f>
        <v>-19387.13</v>
      </c>
      <c r="Q174" s="150" t="str">
        <f t="shared" si="12"/>
        <v>3-Passifs</v>
      </c>
      <c r="R174" s="149" t="str">
        <f t="shared" si="13"/>
        <v>331C</v>
      </c>
      <c r="S174" s="150">
        <f t="shared" si="14"/>
        <v>0</v>
      </c>
      <c r="T174" s="152" t="str">
        <f>+VLOOKUP($L174,Data_Validation!$A:$D,1,0)</f>
        <v>331E</v>
      </c>
      <c r="U174" s="152" t="str">
        <f>+VLOOKUP($L174,Data_Validation!$A:$D,3,0)</f>
        <v>Bilan</v>
      </c>
      <c r="V174" s="152" t="str">
        <f>+VLOOKUP($L174,Data_Validation!$A:$D,4,0)</f>
        <v>Inventaire Véhicules Neufs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1125</v>
      </c>
      <c r="B175" s="718" t="s">
        <v>1126</v>
      </c>
      <c r="C175" s="720">
        <v>-20279</v>
      </c>
      <c r="D175" s="720">
        <v>0</v>
      </c>
      <c r="E175" s="720">
        <v>-20279</v>
      </c>
      <c r="F175" s="718" t="s">
        <v>2229</v>
      </c>
      <c r="G175" s="718" t="s">
        <v>2252</v>
      </c>
      <c r="H175" s="673"/>
      <c r="I175" s="672"/>
      <c r="J175" s="672"/>
      <c r="K175" s="672"/>
      <c r="L175" s="149" t="str">
        <f t="shared" si="10"/>
        <v>331L</v>
      </c>
      <c r="M175" s="150" t="str">
        <f t="shared" si="11"/>
        <v>PROVISION CHANGEMENTS HUILE</v>
      </c>
      <c r="N175" s="151">
        <f>+IF(OR($Q175=Parametres!$G$2,$Q175=Parametres!$G$3),I175,C175)</f>
        <v>-20279</v>
      </c>
      <c r="O175" s="151">
        <f>+IF(OR($Q175=Parametres!$G$2,$Q175=Parametres!$G$3),J175,D175)</f>
        <v>0</v>
      </c>
      <c r="P175" s="151">
        <f>+IF(OR($Q175=Parametres!$G$2,$Q175=Parametres!$G$3),K175,E175)</f>
        <v>-20279</v>
      </c>
      <c r="Q175" s="150" t="str">
        <f t="shared" si="12"/>
        <v>3-Passifs</v>
      </c>
      <c r="R175" s="149" t="str">
        <f t="shared" si="13"/>
        <v>331</v>
      </c>
      <c r="S175" s="150">
        <f t="shared" si="14"/>
        <v>0</v>
      </c>
      <c r="T175" s="152" t="str">
        <f>+VLOOKUP($L175,Data_Validation!$A:$D,1,0)</f>
        <v>331L</v>
      </c>
      <c r="U175" s="152" t="str">
        <f>+VLOOKUP($L175,Data_Validation!$A:$D,3,0)</f>
        <v>Bilan</v>
      </c>
      <c r="V175" s="152" t="str">
        <f>+VLOOKUP($L175,Data_Validation!$A:$D,4,0)</f>
        <v>autres courus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1112</v>
      </c>
      <c r="B176" s="718" t="s">
        <v>1113</v>
      </c>
      <c r="C176" s="720">
        <v>-15807</v>
      </c>
      <c r="D176" s="720">
        <v>-500</v>
      </c>
      <c r="E176" s="720">
        <v>-16307</v>
      </c>
      <c r="F176" s="718" t="s">
        <v>2229</v>
      </c>
      <c r="G176" s="718" t="s">
        <v>1113</v>
      </c>
      <c r="H176" s="673"/>
      <c r="I176" s="672"/>
      <c r="J176" s="672"/>
      <c r="K176" s="672"/>
      <c r="L176" s="149" t="str">
        <f t="shared" si="10"/>
        <v>331V</v>
      </c>
      <c r="M176" s="150" t="str">
        <f t="shared" si="11"/>
        <v>PROVISION SERVICE VALET</v>
      </c>
      <c r="N176" s="151">
        <f>+IF(OR($Q176=Parametres!$G$2,$Q176=Parametres!$G$3),I176,C176)</f>
        <v>-15807</v>
      </c>
      <c r="O176" s="151">
        <f>+IF(OR($Q176=Parametres!$G$2,$Q176=Parametres!$G$3),J176,D176)</f>
        <v>-500</v>
      </c>
      <c r="P176" s="151">
        <f>+IF(OR($Q176=Parametres!$G$2,$Q176=Parametres!$G$3),K176,E176)</f>
        <v>-16307</v>
      </c>
      <c r="Q176" s="150" t="str">
        <f t="shared" si="12"/>
        <v>3-Passifs</v>
      </c>
      <c r="R176" s="149" t="str">
        <f t="shared" si="13"/>
        <v>331V</v>
      </c>
      <c r="S176" s="150">
        <f t="shared" si="14"/>
        <v>0</v>
      </c>
      <c r="T176" s="152" t="str">
        <f>+VLOOKUP($L176,Data_Validation!$A:$D,1,0)</f>
        <v>331V</v>
      </c>
      <c r="U176" s="152" t="str">
        <f>+VLOOKUP($L176,Data_Validation!$A:$D,3,0)</f>
        <v>Bilan</v>
      </c>
      <c r="V176" s="152" t="str">
        <f>+VLOOKUP($L176,Data_Validation!$A:$D,4,0)</f>
        <v>autres courus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2308</v>
      </c>
      <c r="B177" s="718" t="s">
        <v>2309</v>
      </c>
      <c r="C177" s="720">
        <v>-123178.1</v>
      </c>
      <c r="D177" s="720">
        <v>5291.8</v>
      </c>
      <c r="E177" s="720">
        <v>-117886.3</v>
      </c>
      <c r="F177" s="718" t="s">
        <v>2229</v>
      </c>
      <c r="G177" s="718" t="s">
        <v>2309</v>
      </c>
      <c r="H177" s="673"/>
      <c r="I177" s="672"/>
      <c r="J177" s="672"/>
      <c r="K177" s="672"/>
      <c r="L177" s="149" t="str">
        <f t="shared" si="10"/>
        <v>332</v>
      </c>
      <c r="M177" s="150" t="str">
        <f t="shared" si="11"/>
        <v>REVENU HOLDBACK DIFFERE</v>
      </c>
      <c r="N177" s="151">
        <f>+IF(OR($Q177=Parametres!$G$2,$Q177=Parametres!$G$3),I177,C177)</f>
        <v>-123178.1</v>
      </c>
      <c r="O177" s="151">
        <f>+IF(OR($Q177=Parametres!$G$2,$Q177=Parametres!$G$3),J177,D177)</f>
        <v>5291.8</v>
      </c>
      <c r="P177" s="151">
        <f>+IF(OR($Q177=Parametres!$G$2,$Q177=Parametres!$G$3),K177,E177)</f>
        <v>-117886.3</v>
      </c>
      <c r="Q177" s="150" t="str">
        <f t="shared" si="12"/>
        <v>3-Passifs</v>
      </c>
      <c r="R177" s="149" t="str">
        <f t="shared" si="13"/>
        <v>332</v>
      </c>
      <c r="S177" s="150">
        <f t="shared" si="14"/>
        <v>0</v>
      </c>
      <c r="T177" s="152" t="str">
        <f>+VLOOKUP($L177,Data_Validation!$A:$D,1,0)</f>
        <v>332</v>
      </c>
      <c r="U177" s="152" t="str">
        <f>+VLOOKUP($L177,Data_Validation!$A:$D,3,0)</f>
        <v>Bilan</v>
      </c>
      <c r="V177" s="152" t="str">
        <f>+VLOOKUP($L177,Data_Validation!$A:$D,4,0)</f>
        <v>Autres Courus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1101</v>
      </c>
      <c r="B178" s="718" t="s">
        <v>1102</v>
      </c>
      <c r="C178" s="720">
        <v>-1101731</v>
      </c>
      <c r="D178" s="720">
        <v>0</v>
      </c>
      <c r="E178" s="720">
        <v>-1101731</v>
      </c>
      <c r="F178" s="718" t="s">
        <v>2229</v>
      </c>
      <c r="G178" s="718" t="s">
        <v>1102</v>
      </c>
      <c r="H178" s="673"/>
      <c r="I178" s="672"/>
      <c r="J178" s="672"/>
      <c r="K178" s="672"/>
      <c r="L178" s="149" t="str">
        <f t="shared" si="10"/>
        <v>337A</v>
      </c>
      <c r="M178" s="150" t="str">
        <f t="shared" si="11"/>
        <v>IMPOTS FUTURS</v>
      </c>
      <c r="N178" s="151">
        <f>+IF(OR($Q178=Parametres!$G$2,$Q178=Parametres!$G$3),I178,C178)</f>
        <v>-1101731</v>
      </c>
      <c r="O178" s="151">
        <f>+IF(OR($Q178=Parametres!$G$2,$Q178=Parametres!$G$3),J178,D178)</f>
        <v>0</v>
      </c>
      <c r="P178" s="151">
        <f>+IF(OR($Q178=Parametres!$G$2,$Q178=Parametres!$G$3),K178,E178)</f>
        <v>-1101731</v>
      </c>
      <c r="Q178" s="150" t="str">
        <f t="shared" si="12"/>
        <v>3-Passifs</v>
      </c>
      <c r="R178" s="149" t="str">
        <f t="shared" si="13"/>
        <v>337A</v>
      </c>
      <c r="S178" s="150">
        <f t="shared" si="14"/>
        <v>0</v>
      </c>
      <c r="T178" s="152" t="str">
        <f>+VLOOKUP($L178,Data_Validation!$A:$D,1,0)</f>
        <v>337A</v>
      </c>
      <c r="U178" s="152" t="str">
        <f>+VLOOKUP($L178,Data_Validation!$A:$D,3,0)</f>
        <v>Bilan</v>
      </c>
      <c r="V178" s="152" t="str">
        <f>+VLOOKUP($L178,Data_Validation!$A:$D,4,0)</f>
        <v>Impôts Futurs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1712</v>
      </c>
      <c r="B179" s="718" t="s">
        <v>379</v>
      </c>
      <c r="C179" s="720">
        <v>-402778.88</v>
      </c>
      <c r="D179" s="720">
        <v>-5500</v>
      </c>
      <c r="E179" s="720">
        <v>-408278.88</v>
      </c>
      <c r="F179" s="718" t="s">
        <v>2229</v>
      </c>
      <c r="G179" s="718" t="s">
        <v>379</v>
      </c>
      <c r="H179" s="673"/>
      <c r="I179" s="672"/>
      <c r="J179" s="672"/>
      <c r="K179" s="672"/>
      <c r="L179" s="149" t="str">
        <f t="shared" si="10"/>
        <v>352</v>
      </c>
      <c r="M179" s="150" t="str">
        <f t="shared" si="11"/>
        <v>AMORT.CUM. EQUIP. &amp; OUTILLAGES</v>
      </c>
      <c r="N179" s="151">
        <f>+IF(OR($Q179=Parametres!$G$2,$Q179=Parametres!$G$3),I179,C179)</f>
        <v>-402778.88</v>
      </c>
      <c r="O179" s="151">
        <f>+IF(OR($Q179=Parametres!$G$2,$Q179=Parametres!$G$3),J179,D179)</f>
        <v>-5500</v>
      </c>
      <c r="P179" s="151">
        <f>+IF(OR($Q179=Parametres!$G$2,$Q179=Parametres!$G$3),K179,E179)</f>
        <v>-408278.88</v>
      </c>
      <c r="Q179" s="150" t="str">
        <f t="shared" si="12"/>
        <v>3-Passifs</v>
      </c>
      <c r="R179" s="149" t="str">
        <f t="shared" si="13"/>
        <v>352</v>
      </c>
      <c r="S179" s="150">
        <f t="shared" si="14"/>
        <v>0</v>
      </c>
      <c r="T179" s="152" t="str">
        <f>+VLOOKUP($L179,Data_Validation!$A:$D,1,0)</f>
        <v>352</v>
      </c>
      <c r="U179" s="152" t="str">
        <f>+VLOOKUP($L179,Data_Validation!$A:$D,3,0)</f>
        <v>Bilan</v>
      </c>
      <c r="V179" s="152" t="str">
        <f>+VLOOKUP($L179,Data_Validation!$A:$D,4,0)</f>
        <v>Équipements Service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1664</v>
      </c>
      <c r="B180" s="718" t="s">
        <v>380</v>
      </c>
      <c r="C180" s="720">
        <v>-14220.71</v>
      </c>
      <c r="D180" s="720">
        <v>-145</v>
      </c>
      <c r="E180" s="720">
        <v>-14365.71</v>
      </c>
      <c r="F180" s="718" t="s">
        <v>2229</v>
      </c>
      <c r="G180" s="718" t="s">
        <v>380</v>
      </c>
      <c r="H180" s="673"/>
      <c r="I180" s="672"/>
      <c r="J180" s="672"/>
      <c r="K180" s="672"/>
      <c r="L180" s="149" t="str">
        <f t="shared" si="10"/>
        <v>353</v>
      </c>
      <c r="M180" s="150" t="str">
        <f t="shared" si="11"/>
        <v>AMORT.CUM. EQUIP. PIECES &amp; ACCESS.</v>
      </c>
      <c r="N180" s="151">
        <f>+IF(OR($Q180=Parametres!$G$2,$Q180=Parametres!$G$3),I180,C180)</f>
        <v>-14220.71</v>
      </c>
      <c r="O180" s="151">
        <f>+IF(OR($Q180=Parametres!$G$2,$Q180=Parametres!$G$3),J180,D180)</f>
        <v>-145</v>
      </c>
      <c r="P180" s="151">
        <f>+IF(OR($Q180=Parametres!$G$2,$Q180=Parametres!$G$3),K180,E180)</f>
        <v>-14365.71</v>
      </c>
      <c r="Q180" s="150" t="str">
        <f t="shared" si="12"/>
        <v>3-Passifs</v>
      </c>
      <c r="R180" s="149" t="str">
        <f t="shared" si="13"/>
        <v>353</v>
      </c>
      <c r="S180" s="150">
        <f t="shared" si="14"/>
        <v>0</v>
      </c>
      <c r="T180" s="152" t="str">
        <f>+VLOOKUP($L180,Data_Validation!$A:$D,1,0)</f>
        <v>353</v>
      </c>
      <c r="U180" s="152" t="str">
        <f>+VLOOKUP($L180,Data_Validation!$A:$D,3,0)</f>
        <v>Bilan</v>
      </c>
      <c r="V180" s="152" t="str">
        <f>+VLOOKUP($L180,Data_Validation!$A:$D,4,0)</f>
        <v>Équipements Service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1689</v>
      </c>
      <c r="B181" s="718" t="s">
        <v>1690</v>
      </c>
      <c r="C181" s="720">
        <v>-238153.95</v>
      </c>
      <c r="D181" s="720">
        <v>-3625</v>
      </c>
      <c r="E181" s="720">
        <v>-241778.95</v>
      </c>
      <c r="F181" s="718" t="s">
        <v>2229</v>
      </c>
      <c r="G181" s="718" t="s">
        <v>1690</v>
      </c>
      <c r="H181" s="666"/>
      <c r="I181" s="665"/>
      <c r="J181" s="665"/>
      <c r="K181" s="665"/>
      <c r="L181" s="149" t="str">
        <f t="shared" si="10"/>
        <v>354A</v>
      </c>
      <c r="M181" s="150" t="str">
        <f t="shared" si="11"/>
        <v>AMORT.CUM. MEUBLES &amp; ACCESSOIRES</v>
      </c>
      <c r="N181" s="151">
        <f>+IF(OR($Q181=Parametres!$G$2,$Q181=Parametres!$G$3),I181,C181)</f>
        <v>-238153.95</v>
      </c>
      <c r="O181" s="151">
        <f>+IF(OR($Q181=Parametres!$G$2,$Q181=Parametres!$G$3),J181,D181)</f>
        <v>-3625</v>
      </c>
      <c r="P181" s="151">
        <f>+IF(OR($Q181=Parametres!$G$2,$Q181=Parametres!$G$3),K181,E181)</f>
        <v>-241778.95</v>
      </c>
      <c r="Q181" s="150" t="str">
        <f t="shared" si="12"/>
        <v>3-Passifs</v>
      </c>
      <c r="R181" s="149" t="str">
        <f t="shared" si="13"/>
        <v>354A</v>
      </c>
      <c r="S181" s="150">
        <f t="shared" si="14"/>
        <v>0</v>
      </c>
      <c r="T181" s="152" t="str">
        <f>+VLOOKUP($L181,Data_Validation!$A:$D,1,0)</f>
        <v>354A</v>
      </c>
      <c r="U181" s="152" t="str">
        <f>+VLOOKUP($L181,Data_Validation!$A:$D,3,0)</f>
        <v>Bilan</v>
      </c>
      <c r="V181" s="152" t="str">
        <f>+VLOOKUP($L181,Data_Validation!$A:$D,4,0)</f>
        <v>Mobilier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1207</v>
      </c>
      <c r="B182" s="718" t="s">
        <v>1208</v>
      </c>
      <c r="C182" s="720">
        <v>-56522.1</v>
      </c>
      <c r="D182" s="720">
        <v>-650</v>
      </c>
      <c r="E182" s="720">
        <v>-57172.1</v>
      </c>
      <c r="F182" s="718" t="s">
        <v>2229</v>
      </c>
      <c r="G182" s="718" t="s">
        <v>1208</v>
      </c>
      <c r="H182" s="666"/>
      <c r="I182" s="665"/>
      <c r="J182" s="665"/>
      <c r="K182" s="665"/>
      <c r="L182" s="149" t="str">
        <f t="shared" si="10"/>
        <v>354B</v>
      </c>
      <c r="M182" s="150" t="str">
        <f t="shared" si="11"/>
        <v>AMORT.CUM. ENSEIGNE</v>
      </c>
      <c r="N182" s="151">
        <f>+IF(OR($Q182=Parametres!$G$2,$Q182=Parametres!$G$3),I182,C182)</f>
        <v>-56522.1</v>
      </c>
      <c r="O182" s="151">
        <f>+IF(OR($Q182=Parametres!$G$2,$Q182=Parametres!$G$3),J182,D182)</f>
        <v>-650</v>
      </c>
      <c r="P182" s="151">
        <f>+IF(OR($Q182=Parametres!$G$2,$Q182=Parametres!$G$3),K182,E182)</f>
        <v>-57172.1</v>
      </c>
      <c r="Q182" s="150" t="str">
        <f t="shared" si="12"/>
        <v>3-Passifs</v>
      </c>
      <c r="R182" s="149" t="str">
        <f t="shared" si="13"/>
        <v>354B</v>
      </c>
      <c r="S182" s="150">
        <f t="shared" si="14"/>
        <v>0</v>
      </c>
      <c r="T182" s="152" t="str">
        <f>+VLOOKUP($L182,Data_Validation!$A:$D,1,0)</f>
        <v>354B</v>
      </c>
      <c r="U182" s="152" t="str">
        <f>+VLOOKUP($L182,Data_Validation!$A:$D,3,0)</f>
        <v>Bilan</v>
      </c>
      <c r="V182" s="152" t="str">
        <f>+VLOOKUP($L182,Data_Validation!$A:$D,4,0)</f>
        <v>Enseigne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1790</v>
      </c>
      <c r="B183" s="718" t="s">
        <v>1791</v>
      </c>
      <c r="C183" s="720">
        <v>-148664.72</v>
      </c>
      <c r="D183" s="720">
        <v>-340</v>
      </c>
      <c r="E183" s="720">
        <v>-149004.72</v>
      </c>
      <c r="F183" s="718" t="s">
        <v>2229</v>
      </c>
      <c r="G183" s="718" t="s">
        <v>1791</v>
      </c>
      <c r="H183" s="673"/>
      <c r="I183" s="672"/>
      <c r="J183" s="672"/>
      <c r="K183" s="672"/>
      <c r="L183" s="149" t="str">
        <f t="shared" si="10"/>
        <v>354C</v>
      </c>
      <c r="M183" s="150" t="str">
        <f t="shared" si="11"/>
        <v>AMORT.CUM. EQUIP. INFORMATIQUE</v>
      </c>
      <c r="N183" s="151">
        <f>+IF(OR($Q183=Parametres!$G$2,$Q183=Parametres!$G$3),I183,C183)</f>
        <v>-148664.72</v>
      </c>
      <c r="O183" s="151">
        <f>+IF(OR($Q183=Parametres!$G$2,$Q183=Parametres!$G$3),J183,D183)</f>
        <v>-340</v>
      </c>
      <c r="P183" s="151">
        <f>+IF(OR($Q183=Parametres!$G$2,$Q183=Parametres!$G$3),K183,E183)</f>
        <v>-149004.72</v>
      </c>
      <c r="Q183" s="150" t="str">
        <f t="shared" si="12"/>
        <v>3-Passifs</v>
      </c>
      <c r="R183" s="149" t="str">
        <f t="shared" si="13"/>
        <v>354C</v>
      </c>
      <c r="S183" s="150">
        <f t="shared" si="14"/>
        <v>0</v>
      </c>
      <c r="T183" s="152" t="str">
        <f>+VLOOKUP($L183,Data_Validation!$A:$D,1,0)</f>
        <v>354C</v>
      </c>
      <c r="U183" s="152" t="str">
        <f>+VLOOKUP($L183,Data_Validation!$A:$D,3,0)</f>
        <v>Bilan</v>
      </c>
      <c r="V183" s="152" t="str">
        <f>+VLOOKUP($L183,Data_Validation!$A:$D,4,0)</f>
        <v>Équipements Informatique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1618</v>
      </c>
      <c r="B184" s="718" t="s">
        <v>368</v>
      </c>
      <c r="C184" s="720">
        <v>-2144.98</v>
      </c>
      <c r="D184" s="720">
        <v>0</v>
      </c>
      <c r="E184" s="720">
        <v>-2144.98</v>
      </c>
      <c r="F184" s="718" t="s">
        <v>2229</v>
      </c>
      <c r="G184" s="718" t="s">
        <v>368</v>
      </c>
      <c r="H184" s="666"/>
      <c r="I184" s="665"/>
      <c r="J184" s="665"/>
      <c r="K184" s="665"/>
      <c r="L184" s="149" t="str">
        <f t="shared" si="10"/>
        <v>355</v>
      </c>
      <c r="M184" s="150" t="str">
        <f t="shared" si="11"/>
        <v>AMORT.CUM. VEHICULES DE COMPAGNIE</v>
      </c>
      <c r="N184" s="151">
        <f>+IF(OR($Q184=Parametres!$G$2,$Q184=Parametres!$G$3),I184,C184)</f>
        <v>-2144.98</v>
      </c>
      <c r="O184" s="151">
        <f>+IF(OR($Q184=Parametres!$G$2,$Q184=Parametres!$G$3),J184,D184)</f>
        <v>0</v>
      </c>
      <c r="P184" s="151">
        <f>+IF(OR($Q184=Parametres!$G$2,$Q184=Parametres!$G$3),K184,E184)</f>
        <v>-2144.98</v>
      </c>
      <c r="Q184" s="150" t="str">
        <f t="shared" si="12"/>
        <v>3-Passifs</v>
      </c>
      <c r="R184" s="149" t="str">
        <f t="shared" si="13"/>
        <v>355</v>
      </c>
      <c r="S184" s="150">
        <f t="shared" si="14"/>
        <v>0</v>
      </c>
      <c r="T184" s="152" t="str">
        <f>+VLOOKUP($L184,Data_Validation!$A:$D,1,0)</f>
        <v>355</v>
      </c>
      <c r="U184" s="152" t="str">
        <f>+VLOOKUP($L184,Data_Validation!$A:$D,3,0)</f>
        <v>Bilan</v>
      </c>
      <c r="V184" s="152" t="str">
        <f>+VLOOKUP($L184,Data_Validation!$A:$D,4,0)</f>
        <v>Équipements Service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1131</v>
      </c>
      <c r="B185" s="718" t="s">
        <v>468</v>
      </c>
      <c r="C185" s="720">
        <v>-640435.06000000006</v>
      </c>
      <c r="D185" s="720">
        <v>-10710</v>
      </c>
      <c r="E185" s="720">
        <v>-651145.06000000006</v>
      </c>
      <c r="F185" s="718" t="s">
        <v>2229</v>
      </c>
      <c r="G185" s="718" t="s">
        <v>468</v>
      </c>
      <c r="H185" s="719"/>
      <c r="I185" s="719"/>
      <c r="J185" s="719"/>
      <c r="K185" s="719"/>
      <c r="L185" s="149" t="str">
        <f t="shared" si="10"/>
        <v>356</v>
      </c>
      <c r="M185" s="150" t="str">
        <f t="shared" si="11"/>
        <v>AMORT.CUM. AMELIORATION LOCATIVE</v>
      </c>
      <c r="N185" s="151">
        <f>+IF(OR($Q185=Parametres!$G$2,$Q185=Parametres!$G$3),I185,C185)</f>
        <v>-640435.06000000006</v>
      </c>
      <c r="O185" s="151">
        <f>+IF(OR($Q185=Parametres!$G$2,$Q185=Parametres!$G$3),J185,D185)</f>
        <v>-10710</v>
      </c>
      <c r="P185" s="151">
        <f>+IF(OR($Q185=Parametres!$G$2,$Q185=Parametres!$G$3),K185,E185)</f>
        <v>-651145.06000000006</v>
      </c>
      <c r="Q185" s="150" t="str">
        <f t="shared" si="12"/>
        <v>3-Passifs</v>
      </c>
      <c r="R185" s="149" t="str">
        <f t="shared" si="13"/>
        <v>356</v>
      </c>
      <c r="S185" s="150">
        <f t="shared" si="14"/>
        <v>0</v>
      </c>
      <c r="T185" s="152" t="str">
        <f>+VLOOKUP($L185,Data_Validation!$A:$D,1,0)</f>
        <v>356</v>
      </c>
      <c r="U185" s="152" t="str">
        <f>+VLOOKUP($L185,Data_Validation!$A:$D,3,0)</f>
        <v>Bilan</v>
      </c>
      <c r="V185" s="152" t="str">
        <f>+VLOOKUP($L185,Data_Validation!$A:$D,4,0)</f>
        <v>Améliorations Locatives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602</v>
      </c>
      <c r="B186" s="718" t="s">
        <v>357</v>
      </c>
      <c r="C186" s="720">
        <v>-4390685.5999999996</v>
      </c>
      <c r="D186" s="720">
        <v>0</v>
      </c>
      <c r="E186" s="720">
        <v>-4390685.5999999996</v>
      </c>
      <c r="F186" s="718" t="s">
        <v>2230</v>
      </c>
      <c r="G186" s="718" t="s">
        <v>357</v>
      </c>
      <c r="H186" s="673"/>
      <c r="I186" s="672"/>
      <c r="J186" s="672"/>
      <c r="K186" s="672"/>
      <c r="L186" s="149" t="str">
        <f t="shared" si="10"/>
        <v>360</v>
      </c>
      <c r="M186" s="150" t="str">
        <f t="shared" si="11"/>
        <v>ACTIONS ORDINAIRES</v>
      </c>
      <c r="N186" s="151">
        <f>+IF(OR($Q186=Parametres!$G$2,$Q186=Parametres!$G$3),I186,C186)</f>
        <v>-4390685.5999999996</v>
      </c>
      <c r="O186" s="501">
        <f>+IF(OR($Q186=Parametres!$G$2,$Q186=Parametres!$G$3),J186,D186)</f>
        <v>0</v>
      </c>
      <c r="P186" s="151">
        <f>+IF(OR($Q186=Parametres!$G$2,$Q186=Parametres!$G$3),K186,E186)</f>
        <v>-4390685.5999999996</v>
      </c>
      <c r="Q186" s="150" t="str">
        <f t="shared" si="12"/>
        <v>4-Valeur nette</v>
      </c>
      <c r="R186" s="149" t="str">
        <f t="shared" si="13"/>
        <v>360</v>
      </c>
      <c r="S186" s="150">
        <f t="shared" si="14"/>
        <v>0</v>
      </c>
      <c r="T186" s="152" t="str">
        <f>+VLOOKUP($L186,Data_Validation!$A:$D,1,0)</f>
        <v>360</v>
      </c>
      <c r="U186" s="152" t="str">
        <f>+VLOOKUP($L186,Data_Validation!$A:$D,3,0)</f>
        <v>Bilan</v>
      </c>
      <c r="V186" s="152" t="str">
        <f>+VLOOKUP($L186,Data_Validation!$A:$D,4,0)</f>
        <v>Capital Actions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603</v>
      </c>
      <c r="B187" s="718" t="s">
        <v>358</v>
      </c>
      <c r="C187" s="720">
        <v>-3341893.47</v>
      </c>
      <c r="D187" s="720">
        <v>0</v>
      </c>
      <c r="E187" s="720">
        <v>-3341893.47</v>
      </c>
      <c r="F187" s="718" t="s">
        <v>2230</v>
      </c>
      <c r="G187" s="718" t="s">
        <v>358</v>
      </c>
      <c r="H187" s="607"/>
      <c r="I187" s="153"/>
      <c r="J187" s="153"/>
      <c r="K187" s="153"/>
      <c r="L187" s="149" t="str">
        <f t="shared" si="10"/>
        <v>370</v>
      </c>
      <c r="M187" s="150" t="str">
        <f t="shared" si="11"/>
        <v>BENEFICES NON REPARTIS</v>
      </c>
      <c r="N187" s="151">
        <f>+IF(OR($Q187=Parametres!$G$2,$Q187=Parametres!$G$3),I187,C187)</f>
        <v>-3341893.47</v>
      </c>
      <c r="O187" s="151">
        <f>+IF(OR($Q187=Parametres!$G$2,$Q187=Parametres!$G$3),J187,D187)</f>
        <v>0</v>
      </c>
      <c r="P187" s="151">
        <f>+IF(OR($Q187=Parametres!$G$2,$Q187=Parametres!$G$3),K187,E187)</f>
        <v>-3341893.47</v>
      </c>
      <c r="Q187" s="150" t="str">
        <f t="shared" si="12"/>
        <v>4-Valeur nette</v>
      </c>
      <c r="R187" s="149" t="str">
        <f t="shared" si="13"/>
        <v>370</v>
      </c>
      <c r="S187" s="150">
        <f t="shared" si="14"/>
        <v>0</v>
      </c>
      <c r="T187" s="152" t="str">
        <f>+VLOOKUP($L187,Data_Validation!$A:$D,1,0)</f>
        <v>370</v>
      </c>
      <c r="U187" s="152" t="str">
        <f>+VLOOKUP($L187,Data_Validation!$A:$D,3,0)</f>
        <v>Bilan</v>
      </c>
      <c r="V187" s="152" t="str">
        <f>+VLOOKUP($L187,Data_Validation!$A:$D,4,0)</f>
        <v>Bénéfices non répartis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2344</v>
      </c>
      <c r="B188" s="718" t="s">
        <v>2345</v>
      </c>
      <c r="C188" s="720">
        <v>-107053.5</v>
      </c>
      <c r="D188" s="720">
        <v>-116175.42</v>
      </c>
      <c r="E188" s="720">
        <v>-223228.92</v>
      </c>
      <c r="F188" s="718" t="s">
        <v>2008</v>
      </c>
      <c r="G188" s="718" t="s">
        <v>2345</v>
      </c>
      <c r="H188" s="607"/>
      <c r="I188" s="153"/>
      <c r="J188" s="153"/>
      <c r="K188" s="153"/>
      <c r="L188" s="149" t="str">
        <f t="shared" si="10"/>
        <v>402B</v>
      </c>
      <c r="M188" s="150" t="str">
        <f t="shared" si="11"/>
        <v>VTES -VTE - IX XDRIVE 50</v>
      </c>
      <c r="N188" s="151">
        <f>+IF(OR($Q188=Parametres!$G$2,$Q188=Parametres!$G$3),I188,C188)</f>
        <v>-107053.5</v>
      </c>
      <c r="O188" s="506">
        <f>+IF(OR($Q188=Parametres!$G$2,$Q188=Parametres!$G$3),J188,D188)</f>
        <v>-116175.42</v>
      </c>
      <c r="P188" s="151">
        <f>+IF(OR($Q188=Parametres!$G$2,$Q188=Parametres!$G$3),K188,E188)</f>
        <v>-223228.92</v>
      </c>
      <c r="Q188" s="150" t="str">
        <f t="shared" si="12"/>
        <v>5-Ventes</v>
      </c>
      <c r="R188" s="149" t="str">
        <f t="shared" si="13"/>
        <v>402B</v>
      </c>
      <c r="S188" s="150">
        <f t="shared" si="14"/>
        <v>0</v>
      </c>
      <c r="T188" s="152" t="str">
        <f>+VLOOKUP($L188,Data_Validation!$A:$D,1,0)</f>
        <v>402B</v>
      </c>
      <c r="U188" s="152" t="str">
        <f>+VLOOKUP($L188,Data_Validation!$A:$D,3,0)</f>
        <v>Véhicules neufs</v>
      </c>
      <c r="V188" s="152" t="str">
        <f>+VLOOKUP($L188,Data_Validation!$A:$D,4,0)</f>
        <v>Camions détail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2348</v>
      </c>
      <c r="B189" s="718" t="s">
        <v>2349</v>
      </c>
      <c r="C189" s="720">
        <v>-249872.19</v>
      </c>
      <c r="D189" s="720">
        <v>-167747</v>
      </c>
      <c r="E189" s="720">
        <v>-417619.19</v>
      </c>
      <c r="F189" s="718" t="s">
        <v>2008</v>
      </c>
      <c r="G189" s="718" t="s">
        <v>2349</v>
      </c>
      <c r="H189" s="673"/>
      <c r="I189" s="673"/>
      <c r="J189" s="673"/>
      <c r="K189" s="673"/>
      <c r="L189" s="149" t="str">
        <f t="shared" si="10"/>
        <v>404I</v>
      </c>
      <c r="M189" s="150" t="str">
        <f t="shared" si="11"/>
        <v>VTES -i4 eDRIVE40 GRAN COUPE</v>
      </c>
      <c r="N189" s="151">
        <f>+IF(OR($Q189=Parametres!$G$2,$Q189=Parametres!$G$3),I189,C189)</f>
        <v>-249872.19</v>
      </c>
      <c r="O189" s="151">
        <f>+IF(OR($Q189=Parametres!$G$2,$Q189=Parametres!$G$3),J189,D189)</f>
        <v>-167747</v>
      </c>
      <c r="P189" s="151">
        <f>+IF(OR($Q189=Parametres!$G$2,$Q189=Parametres!$G$3),K189,E189)</f>
        <v>-417619.19</v>
      </c>
      <c r="Q189" s="150" t="str">
        <f t="shared" si="12"/>
        <v>5-Ventes</v>
      </c>
      <c r="R189" s="149" t="str">
        <f t="shared" si="13"/>
        <v>404I</v>
      </c>
      <c r="S189" s="150">
        <f t="shared" si="14"/>
        <v>0</v>
      </c>
      <c r="T189" s="152" t="str">
        <f>+VLOOKUP($L189,Data_Validation!$A:$D,1,0)</f>
        <v>404I</v>
      </c>
      <c r="U189" s="152" t="str">
        <f>+VLOOKUP($L189,Data_Validation!$A:$D,3,0)</f>
        <v>Véhicules neufs</v>
      </c>
      <c r="V189" s="152" t="str">
        <f>+VLOOKUP($L189,Data_Validation!$A:$D,4,0)</f>
        <v>Autos détail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1371</v>
      </c>
      <c r="B190" s="718" t="s">
        <v>606</v>
      </c>
      <c r="C190" s="720">
        <v>0</v>
      </c>
      <c r="D190" s="720">
        <v>-90273.5</v>
      </c>
      <c r="E190" s="720">
        <v>-90273.5</v>
      </c>
      <c r="F190" s="718" t="s">
        <v>2008</v>
      </c>
      <c r="G190" s="718" t="s">
        <v>606</v>
      </c>
      <c r="H190" s="673"/>
      <c r="I190" s="672"/>
      <c r="J190" s="672"/>
      <c r="K190" s="672"/>
      <c r="L190" s="149" t="str">
        <f t="shared" si="10"/>
        <v>405B</v>
      </c>
      <c r="M190" s="150" t="str">
        <f t="shared" si="11"/>
        <v>VTES -VTE - 430I XDRIVE CABRIOLET</v>
      </c>
      <c r="N190" s="151">
        <f>+IF(OR($Q190=Parametres!$G$2,$Q190=Parametres!$G$3),I190,C190)</f>
        <v>0</v>
      </c>
      <c r="O190" s="151">
        <f>+IF(OR($Q190=Parametres!$G$2,$Q190=Parametres!$G$3),J190,D190)</f>
        <v>-90273.5</v>
      </c>
      <c r="P190" s="151">
        <f>+IF(OR($Q190=Parametres!$G$2,$Q190=Parametres!$G$3),K190,E190)</f>
        <v>-90273.5</v>
      </c>
      <c r="Q190" s="150" t="str">
        <f t="shared" si="12"/>
        <v>5-Ventes</v>
      </c>
      <c r="R190" s="149" t="str">
        <f t="shared" si="13"/>
        <v>405B</v>
      </c>
      <c r="S190" s="150">
        <f t="shared" si="14"/>
        <v>0</v>
      </c>
      <c r="T190" s="152" t="str">
        <f>+VLOOKUP($L190,Data_Validation!$A:$D,1,0)</f>
        <v>405B</v>
      </c>
      <c r="U190" s="152" t="str">
        <f>+VLOOKUP($L190,Data_Validation!$A:$D,3,0)</f>
        <v>Véhicules neufs</v>
      </c>
      <c r="V190" s="152" t="str">
        <f>+VLOOKUP($L190,Data_Validation!$A:$D,4,0)</f>
        <v>Autos détail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2479</v>
      </c>
      <c r="B191" s="718" t="s">
        <v>2480</v>
      </c>
      <c r="C191" s="720">
        <v>-71762.5</v>
      </c>
      <c r="D191" s="720">
        <v>-219423.67</v>
      </c>
      <c r="E191" s="720">
        <v>-291186.17</v>
      </c>
      <c r="F191" s="718" t="s">
        <v>2008</v>
      </c>
      <c r="G191" s="718" t="s">
        <v>2480</v>
      </c>
      <c r="H191" s="673"/>
      <c r="I191" s="673"/>
      <c r="J191" s="673"/>
      <c r="K191" s="673"/>
      <c r="L191" s="149" t="str">
        <f t="shared" si="10"/>
        <v>405C</v>
      </c>
      <c r="M191" s="150" t="str">
        <f t="shared" si="11"/>
        <v>VTES -VTE - i4 eDRIVE35</v>
      </c>
      <c r="N191" s="151">
        <f>+IF(OR($Q191=Parametres!$G$2,$Q191=Parametres!$G$3),I191,C191)</f>
        <v>-71762.5</v>
      </c>
      <c r="O191" s="504">
        <f>+IF(OR($Q191=Parametres!$G$2,$Q191=Parametres!$G$3),J191,D191)</f>
        <v>-219423.67</v>
      </c>
      <c r="P191" s="151">
        <f>+IF(OR($Q191=Parametres!$G$2,$Q191=Parametres!$G$3),K191,E191)</f>
        <v>-291186.17</v>
      </c>
      <c r="Q191" s="150" t="str">
        <f t="shared" si="12"/>
        <v>5-Ventes</v>
      </c>
      <c r="R191" s="149" t="str">
        <f t="shared" si="13"/>
        <v>405C</v>
      </c>
      <c r="S191" s="150">
        <f t="shared" si="14"/>
        <v>0</v>
      </c>
      <c r="T191" s="152" t="str">
        <f>+VLOOKUP($L191,Data_Validation!$A:$D,1,0)</f>
        <v>405C</v>
      </c>
      <c r="U191" s="152" t="str">
        <f>+VLOOKUP($L191,Data_Validation!$A:$D,3,0)</f>
        <v>Véhicules neufs</v>
      </c>
      <c r="V191" s="152" t="str">
        <f>+VLOOKUP($L191,Data_Validation!$A:$D,4,0)</f>
        <v>Autos détail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1862</v>
      </c>
      <c r="B192" s="718" t="s">
        <v>608</v>
      </c>
      <c r="C192" s="720">
        <v>0</v>
      </c>
      <c r="D192" s="720">
        <v>-72260.61</v>
      </c>
      <c r="E192" s="720">
        <v>-72260.61</v>
      </c>
      <c r="F192" s="718" t="s">
        <v>2008</v>
      </c>
      <c r="G192" s="718" t="s">
        <v>608</v>
      </c>
      <c r="H192" s="607"/>
      <c r="I192" s="609"/>
      <c r="J192" s="609"/>
      <c r="K192" s="609"/>
      <c r="L192" s="149" t="str">
        <f t="shared" si="10"/>
        <v>405F</v>
      </c>
      <c r="M192" s="150" t="str">
        <f t="shared" si="11"/>
        <v>VTES -VTE - 440I XDRIVE GRAN COUPE</v>
      </c>
      <c r="N192" s="151">
        <f>+IF(OR($Q192=Parametres!$G$2,$Q192=Parametres!$G$3),I192,C192)</f>
        <v>0</v>
      </c>
      <c r="O192" s="151">
        <f>+IF(OR($Q192=Parametres!$G$2,$Q192=Parametres!$G$3),J192,D192)</f>
        <v>-72260.61</v>
      </c>
      <c r="P192" s="151">
        <f>+IF(OR($Q192=Parametres!$G$2,$Q192=Parametres!$G$3),K192,E192)</f>
        <v>-72260.61</v>
      </c>
      <c r="Q192" s="150" t="str">
        <f t="shared" si="12"/>
        <v>5-Ventes</v>
      </c>
      <c r="R192" s="149" t="str">
        <f t="shared" si="13"/>
        <v>405F</v>
      </c>
      <c r="S192" s="150">
        <f t="shared" si="14"/>
        <v>0</v>
      </c>
      <c r="T192" s="152" t="str">
        <f>+VLOOKUP($L192,Data_Validation!$A:$D,1,0)</f>
        <v>405F</v>
      </c>
      <c r="U192" s="152" t="str">
        <f>+VLOOKUP($L192,Data_Validation!$A:$D,3,0)</f>
        <v>Véhicules neufs</v>
      </c>
      <c r="V192" s="152" t="str">
        <f>+VLOOKUP($L192,Data_Validation!$A:$D,4,0)</f>
        <v>Autos détail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2370</v>
      </c>
      <c r="B193" s="718" t="s">
        <v>2371</v>
      </c>
      <c r="C193" s="720">
        <v>0</v>
      </c>
      <c r="D193" s="720">
        <v>-121994.74</v>
      </c>
      <c r="E193" s="720">
        <v>-121994.74</v>
      </c>
      <c r="F193" s="718" t="s">
        <v>2008</v>
      </c>
      <c r="G193" s="718" t="s">
        <v>2371</v>
      </c>
      <c r="H193" s="607"/>
      <c r="I193" s="608"/>
      <c r="J193" s="608"/>
      <c r="K193" s="608"/>
      <c r="L193" s="149" t="str">
        <f t="shared" si="10"/>
        <v>405H</v>
      </c>
      <c r="M193" s="150" t="str">
        <f t="shared" si="11"/>
        <v>VTES -M4 COMPETITION CABRIOLET XDRIVE</v>
      </c>
      <c r="N193" s="151">
        <f>+IF(OR($Q193=Parametres!$G$2,$Q193=Parametres!$G$3),I193,C193)</f>
        <v>0</v>
      </c>
      <c r="O193" s="151">
        <f>+IF(OR($Q193=Parametres!$G$2,$Q193=Parametres!$G$3),J193,D193)</f>
        <v>-121994.74</v>
      </c>
      <c r="P193" s="151">
        <f>+IF(OR($Q193=Parametres!$G$2,$Q193=Parametres!$G$3),K193,E193)</f>
        <v>-121994.74</v>
      </c>
      <c r="Q193" s="150" t="str">
        <f t="shared" si="12"/>
        <v>5-Ventes</v>
      </c>
      <c r="R193" s="149" t="str">
        <f t="shared" si="13"/>
        <v>405H</v>
      </c>
      <c r="S193" s="150">
        <f t="shared" si="14"/>
        <v>0</v>
      </c>
      <c r="T193" s="152" t="str">
        <f>+VLOOKUP($L193,Data_Validation!$A:$D,1,0)</f>
        <v>405H</v>
      </c>
      <c r="U193" s="152" t="str">
        <f>+VLOOKUP($L193,Data_Validation!$A:$D,3,0)</f>
        <v>Véhicules neufs</v>
      </c>
      <c r="V193" s="152" t="str">
        <f>+VLOOKUP($L193,Data_Validation!$A:$D,4,0)</f>
        <v>Autos détail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2145</v>
      </c>
      <c r="B194" s="718" t="s">
        <v>2146</v>
      </c>
      <c r="C194" s="720">
        <v>0</v>
      </c>
      <c r="D194" s="720">
        <v>-133336.91</v>
      </c>
      <c r="E194" s="720">
        <v>-133336.91</v>
      </c>
      <c r="F194" s="718" t="s">
        <v>2008</v>
      </c>
      <c r="G194" s="718" t="s">
        <v>2146</v>
      </c>
      <c r="H194" s="673"/>
      <c r="I194" s="672"/>
      <c r="J194" s="672"/>
      <c r="K194" s="672"/>
      <c r="L194" s="149" t="str">
        <f t="shared" ref="L194:L257" si="15">+B194</f>
        <v>405J</v>
      </c>
      <c r="M194" s="150" t="str">
        <f t="shared" ref="M194:M257" si="16">+A194</f>
        <v>VTES -M4 COMPETITION</v>
      </c>
      <c r="N194" s="151">
        <f>+IF(OR($Q194=Parametres!$G$2,$Q194=Parametres!$G$3),I194,C194)</f>
        <v>0</v>
      </c>
      <c r="O194" s="151">
        <f>+IF(OR($Q194=Parametres!$G$2,$Q194=Parametres!$G$3),J194,D194)</f>
        <v>-133336.91</v>
      </c>
      <c r="P194" s="151">
        <f>+IF(OR($Q194=Parametres!$G$2,$Q194=Parametres!$G$3),K194,E194)</f>
        <v>-133336.91</v>
      </c>
      <c r="Q194" s="150" t="str">
        <f t="shared" ref="Q194:Q257" si="17">+F194</f>
        <v>5-Ventes</v>
      </c>
      <c r="R194" s="149" t="str">
        <f t="shared" ref="R194:R257" si="18">+G194</f>
        <v>405J</v>
      </c>
      <c r="S194" s="150">
        <f t="shared" ref="S194:S257" si="19">+H194</f>
        <v>0</v>
      </c>
      <c r="T194" s="152" t="str">
        <f>+VLOOKUP($L194,Data_Validation!$A:$D,1,0)</f>
        <v>405J</v>
      </c>
      <c r="U194" s="152" t="str">
        <f>+VLOOKUP($L194,Data_Validation!$A:$D,3,0)</f>
        <v>Véhicules neufs</v>
      </c>
      <c r="V194" s="152" t="str">
        <f>+VLOOKUP($L194,Data_Validation!$A:$D,4,0)</f>
        <v>Autos détail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1984</v>
      </c>
      <c r="B195" s="718" t="s">
        <v>1985</v>
      </c>
      <c r="C195" s="720">
        <v>-80148.5</v>
      </c>
      <c r="D195" s="720">
        <v>-81123.5</v>
      </c>
      <c r="E195" s="720">
        <v>-161272</v>
      </c>
      <c r="F195" s="718" t="s">
        <v>2008</v>
      </c>
      <c r="G195" s="718" t="s">
        <v>1985</v>
      </c>
      <c r="H195" s="673"/>
      <c r="I195" s="672"/>
      <c r="J195" s="672"/>
      <c r="K195" s="672"/>
      <c r="L195" s="149" t="str">
        <f t="shared" si="15"/>
        <v>405K</v>
      </c>
      <c r="M195" s="150" t="str">
        <f t="shared" si="16"/>
        <v>VTES -M440I XDR COUPE</v>
      </c>
      <c r="N195" s="151">
        <f>+IF(OR($Q195=Parametres!$G$2,$Q195=Parametres!$G$3),I195,C195)</f>
        <v>-80148.5</v>
      </c>
      <c r="O195" s="151">
        <f>+IF(OR($Q195=Parametres!$G$2,$Q195=Parametres!$G$3),J195,D195)</f>
        <v>-81123.5</v>
      </c>
      <c r="P195" s="151">
        <f>+IF(OR($Q195=Parametres!$G$2,$Q195=Parametres!$G$3),K195,E195)</f>
        <v>-161272</v>
      </c>
      <c r="Q195" s="150" t="str">
        <f t="shared" si="17"/>
        <v>5-Ventes</v>
      </c>
      <c r="R195" s="149" t="str">
        <f t="shared" si="18"/>
        <v>405K</v>
      </c>
      <c r="S195" s="150">
        <f t="shared" si="19"/>
        <v>0</v>
      </c>
      <c r="T195" s="152" t="str">
        <f>+VLOOKUP($L195,Data_Validation!$A:$D,1,0)</f>
        <v>405K</v>
      </c>
      <c r="U195" s="152" t="str">
        <f>+VLOOKUP($L195,Data_Validation!$A:$D,3,0)</f>
        <v>Véhicules neufs</v>
      </c>
      <c r="V195" s="152" t="str">
        <f>+VLOOKUP($L195,Data_Validation!$A:$D,4,0)</f>
        <v>Autos détail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1374</v>
      </c>
      <c r="B196" s="718" t="s">
        <v>611</v>
      </c>
      <c r="C196" s="720">
        <v>-66243.350000000006</v>
      </c>
      <c r="D196" s="720">
        <v>0</v>
      </c>
      <c r="E196" s="720">
        <v>-66243.350000000006</v>
      </c>
      <c r="F196" s="718" t="s">
        <v>2008</v>
      </c>
      <c r="G196" s="718" t="s">
        <v>611</v>
      </c>
      <c r="H196" s="673"/>
      <c r="I196" s="672"/>
      <c r="J196" s="672"/>
      <c r="K196" s="672"/>
      <c r="L196" s="149" t="str">
        <f t="shared" si="15"/>
        <v>406G</v>
      </c>
      <c r="M196" s="150" t="str">
        <f t="shared" si="16"/>
        <v>VTES -VTE - M240I XDRIVE COUPE</v>
      </c>
      <c r="N196" s="151">
        <f>+IF(OR($Q196=Parametres!$G$2,$Q196=Parametres!$G$3),I196,C196)</f>
        <v>-66243.350000000006</v>
      </c>
      <c r="O196" s="151">
        <f>+IF(OR($Q196=Parametres!$G$2,$Q196=Parametres!$G$3),J196,D196)</f>
        <v>0</v>
      </c>
      <c r="P196" s="151">
        <f>+IF(OR($Q196=Parametres!$G$2,$Q196=Parametres!$G$3),K196,E196)</f>
        <v>-66243.350000000006</v>
      </c>
      <c r="Q196" s="150" t="str">
        <f t="shared" si="17"/>
        <v>5-Ventes</v>
      </c>
      <c r="R196" s="149" t="str">
        <f t="shared" si="18"/>
        <v>406G</v>
      </c>
      <c r="S196" s="150">
        <f t="shared" si="19"/>
        <v>0</v>
      </c>
      <c r="T196" s="152" t="str">
        <f>+VLOOKUP($L196,Data_Validation!$A:$D,1,0)</f>
        <v>406G</v>
      </c>
      <c r="U196" s="152" t="str">
        <f>+VLOOKUP($L196,Data_Validation!$A:$D,3,0)</f>
        <v>Véhicules neufs</v>
      </c>
      <c r="V196" s="152" t="str">
        <f>+VLOOKUP($L196,Data_Validation!$A:$D,4,0)</f>
        <v>Autos détail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2372</v>
      </c>
      <c r="B197" s="718" t="s">
        <v>2373</v>
      </c>
      <c r="C197" s="720">
        <v>-106923.5</v>
      </c>
      <c r="D197" s="720">
        <v>0</v>
      </c>
      <c r="E197" s="720">
        <v>-106923.5</v>
      </c>
      <c r="F197" s="718" t="s">
        <v>2008</v>
      </c>
      <c r="G197" s="718" t="s">
        <v>2493</v>
      </c>
      <c r="H197" s="673"/>
      <c r="I197" s="672"/>
      <c r="J197" s="672"/>
      <c r="K197" s="672"/>
      <c r="L197" s="149" t="str">
        <f t="shared" si="15"/>
        <v>407D</v>
      </c>
      <c r="M197" s="150" t="str">
        <f t="shared" si="16"/>
        <v>VTES -VTES -VTE - M3 COMPETITION XDRIVE</v>
      </c>
      <c r="N197" s="151">
        <f>+IF(OR($Q197=Parametres!$G$2,$Q197=Parametres!$G$3),I197,C197)</f>
        <v>-106923.5</v>
      </c>
      <c r="O197" s="151">
        <f>+IF(OR($Q197=Parametres!$G$2,$Q197=Parametres!$G$3),J197,D197)</f>
        <v>0</v>
      </c>
      <c r="P197" s="151">
        <f>+IF(OR($Q197=Parametres!$G$2,$Q197=Parametres!$G$3),K197,E197)</f>
        <v>-106923.5</v>
      </c>
      <c r="Q197" s="150" t="str">
        <f t="shared" si="17"/>
        <v>5-Ventes</v>
      </c>
      <c r="R197" s="149" t="str">
        <f t="shared" si="18"/>
        <v>407</v>
      </c>
      <c r="S197" s="150">
        <f t="shared" si="19"/>
        <v>0</v>
      </c>
      <c r="T197" s="152" t="str">
        <f>+VLOOKUP($L197,Data_Validation!$A:$D,1,0)</f>
        <v>407D</v>
      </c>
      <c r="U197" s="152" t="str">
        <f>+VLOOKUP($L197,Data_Validation!$A:$D,3,0)</f>
        <v>Véhicules neufs</v>
      </c>
      <c r="V197" s="152" t="str">
        <f>+VLOOKUP($L197,Data_Validation!$A:$D,4,0)</f>
        <v>Autos détail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2901</v>
      </c>
      <c r="B198" s="718" t="s">
        <v>2902</v>
      </c>
      <c r="C198" s="720">
        <v>0</v>
      </c>
      <c r="D198" s="720">
        <v>-66198.5</v>
      </c>
      <c r="E198" s="720">
        <v>-66198.5</v>
      </c>
      <c r="F198" s="718" t="s">
        <v>2008</v>
      </c>
      <c r="G198" s="718" t="s">
        <v>2902</v>
      </c>
      <c r="H198" s="673"/>
      <c r="I198" s="672"/>
      <c r="J198" s="672"/>
      <c r="K198" s="672"/>
      <c r="L198" s="149" t="str">
        <f t="shared" si="15"/>
        <v>409</v>
      </c>
      <c r="M198" s="150" t="str">
        <f t="shared" si="16"/>
        <v>X2 XDRIVE28I</v>
      </c>
      <c r="N198" s="151">
        <f>+IF(OR($Q198=Parametres!$G$2,$Q198=Parametres!$G$3),I198,C198)</f>
        <v>0</v>
      </c>
      <c r="O198" s="151">
        <f>+IF(OR($Q198=Parametres!$G$2,$Q198=Parametres!$G$3),J198,D198)</f>
        <v>-66198.5</v>
      </c>
      <c r="P198" s="151">
        <f>+IF(OR($Q198=Parametres!$G$2,$Q198=Parametres!$G$3),K198,E198)</f>
        <v>-66198.5</v>
      </c>
      <c r="Q198" s="150" t="str">
        <f t="shared" si="17"/>
        <v>5-Ventes</v>
      </c>
      <c r="R198" s="149" t="str">
        <f t="shared" si="18"/>
        <v>409</v>
      </c>
      <c r="S198" s="150">
        <f t="shared" si="19"/>
        <v>0</v>
      </c>
      <c r="T198" s="152" t="str">
        <f>+VLOOKUP($L198,Data_Validation!$A:$D,1,0)</f>
        <v>409</v>
      </c>
      <c r="U198" s="152" t="str">
        <f>+VLOOKUP($L198,Data_Validation!$A:$D,3,0)</f>
        <v>Véhicules neufs</v>
      </c>
      <c r="V198" s="152" t="str">
        <f>+VLOOKUP($L198,Data_Validation!$A:$D,4,0)</f>
        <v>Camions détail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2882</v>
      </c>
      <c r="B199" s="718" t="s">
        <v>2883</v>
      </c>
      <c r="C199" s="720">
        <v>-90100.5</v>
      </c>
      <c r="D199" s="720">
        <v>0</v>
      </c>
      <c r="E199" s="720">
        <v>-90100.5</v>
      </c>
      <c r="F199" s="718" t="s">
        <v>2008</v>
      </c>
      <c r="G199" s="718" t="s">
        <v>2883</v>
      </c>
      <c r="H199" s="666"/>
      <c r="I199" s="665"/>
      <c r="J199" s="665"/>
      <c r="K199" s="665"/>
      <c r="L199" s="149" t="str">
        <f t="shared" si="15"/>
        <v>409A</v>
      </c>
      <c r="M199" s="150" t="str">
        <f t="shared" si="16"/>
        <v>X2 M35I XDRIVE</v>
      </c>
      <c r="N199" s="151">
        <f>+IF(OR($Q199=Parametres!$G$2,$Q199=Parametres!$G$3),I199,C199)</f>
        <v>-90100.5</v>
      </c>
      <c r="O199" s="151">
        <f>+IF(OR($Q199=Parametres!$G$2,$Q199=Parametres!$G$3),J199,D199)</f>
        <v>0</v>
      </c>
      <c r="P199" s="151">
        <f>+IF(OR($Q199=Parametres!$G$2,$Q199=Parametres!$G$3),K199,E199)</f>
        <v>-90100.5</v>
      </c>
      <c r="Q199" s="150" t="str">
        <f t="shared" si="17"/>
        <v>5-Ventes</v>
      </c>
      <c r="R199" s="149" t="str">
        <f t="shared" si="18"/>
        <v>409A</v>
      </c>
      <c r="S199" s="150">
        <f t="shared" si="19"/>
        <v>0</v>
      </c>
      <c r="T199" s="152" t="str">
        <f>+VLOOKUP($L199,Data_Validation!$A:$D,1,0)</f>
        <v>409A</v>
      </c>
      <c r="U199" s="152" t="str">
        <f>+VLOOKUP($L199,Data_Validation!$A:$D,3,0)</f>
        <v>Véhicules neufs</v>
      </c>
      <c r="V199" s="152" t="str">
        <f>+VLOOKUP($L199,Data_Validation!$A:$D,4,0)</f>
        <v>Camions détail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1090</v>
      </c>
      <c r="B200" s="718" t="s">
        <v>613</v>
      </c>
      <c r="C200" s="720">
        <v>0</v>
      </c>
      <c r="D200" s="720">
        <v>-63527.8</v>
      </c>
      <c r="E200" s="720">
        <v>-63527.8</v>
      </c>
      <c r="F200" s="718" t="s">
        <v>2008</v>
      </c>
      <c r="G200" s="718" t="s">
        <v>613</v>
      </c>
      <c r="H200" s="673"/>
      <c r="I200" s="672"/>
      <c r="J200" s="672"/>
      <c r="K200" s="672"/>
      <c r="L200" s="149" t="str">
        <f t="shared" si="15"/>
        <v>411C</v>
      </c>
      <c r="M200" s="150" t="str">
        <f t="shared" si="16"/>
        <v>VTES -VTE - 330I XDRIVE SEDAN</v>
      </c>
      <c r="N200" s="151">
        <f>+IF(OR($Q200=Parametres!$G$2,$Q200=Parametres!$G$3),I200,C200)</f>
        <v>0</v>
      </c>
      <c r="O200" s="151">
        <f>+IF(OR($Q200=Parametres!$G$2,$Q200=Parametres!$G$3),J200,D200)</f>
        <v>-63527.8</v>
      </c>
      <c r="P200" s="151">
        <f>+IF(OR($Q200=Parametres!$G$2,$Q200=Parametres!$G$3),K200,E200)</f>
        <v>-63527.8</v>
      </c>
      <c r="Q200" s="150" t="str">
        <f t="shared" si="17"/>
        <v>5-Ventes</v>
      </c>
      <c r="R200" s="149" t="str">
        <f t="shared" si="18"/>
        <v>411C</v>
      </c>
      <c r="S200" s="150">
        <f t="shared" si="19"/>
        <v>0</v>
      </c>
      <c r="T200" s="152" t="str">
        <f>+VLOOKUP($L200,Data_Validation!$A:$D,1,0)</f>
        <v>411C</v>
      </c>
      <c r="U200" s="152" t="str">
        <f>+VLOOKUP($L200,Data_Validation!$A:$D,3,0)</f>
        <v>Véhicules neufs</v>
      </c>
      <c r="V200" s="152" t="str">
        <f>+VLOOKUP($L200,Data_Validation!$A:$D,4,0)</f>
        <v>Autos détail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1926</v>
      </c>
      <c r="B201" s="718" t="s">
        <v>1927</v>
      </c>
      <c r="C201" s="720">
        <v>-71234.28</v>
      </c>
      <c r="D201" s="720">
        <v>0</v>
      </c>
      <c r="E201" s="720">
        <v>-71234.28</v>
      </c>
      <c r="F201" s="718" t="s">
        <v>2008</v>
      </c>
      <c r="G201" s="718" t="s">
        <v>1927</v>
      </c>
      <c r="H201" s="673"/>
      <c r="I201" s="672"/>
      <c r="J201" s="672"/>
      <c r="K201" s="672"/>
      <c r="L201" s="149" t="str">
        <f t="shared" si="15"/>
        <v>411H</v>
      </c>
      <c r="M201" s="150" t="str">
        <f t="shared" si="16"/>
        <v>330E XDRIVE BERLINE</v>
      </c>
      <c r="N201" s="151">
        <f>+IF(OR($Q201=Parametres!$G$2,$Q201=Parametres!$G$3),I201,C201)</f>
        <v>-71234.28</v>
      </c>
      <c r="O201" s="151">
        <f>+IF(OR($Q201=Parametres!$G$2,$Q201=Parametres!$G$3),J201,D201)</f>
        <v>0</v>
      </c>
      <c r="P201" s="151">
        <f>+IF(OR($Q201=Parametres!$G$2,$Q201=Parametres!$G$3),K201,E201)</f>
        <v>-71234.28</v>
      </c>
      <c r="Q201" s="150" t="str">
        <f t="shared" si="17"/>
        <v>5-Ventes</v>
      </c>
      <c r="R201" s="149" t="str">
        <f t="shared" si="18"/>
        <v>411H</v>
      </c>
      <c r="S201" s="150">
        <f t="shared" si="19"/>
        <v>0</v>
      </c>
      <c r="T201" s="152" t="str">
        <f>+VLOOKUP($L201,Data_Validation!$A:$D,1,0)</f>
        <v>411H</v>
      </c>
      <c r="U201" s="152" t="str">
        <f>+VLOOKUP($L201,Data_Validation!$A:$D,3,0)</f>
        <v>Véhicules neufs</v>
      </c>
      <c r="V201" s="152" t="str">
        <f>+VLOOKUP($L201,Data_Validation!$A:$D,4,0)</f>
        <v>Autos détail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1980</v>
      </c>
      <c r="B202" s="718" t="s">
        <v>1981</v>
      </c>
      <c r="C202" s="720">
        <v>-80066.53</v>
      </c>
      <c r="D202" s="720">
        <v>0</v>
      </c>
      <c r="E202" s="720">
        <v>-80066.53</v>
      </c>
      <c r="F202" s="718" t="s">
        <v>2008</v>
      </c>
      <c r="G202" s="718" t="s">
        <v>1981</v>
      </c>
      <c r="H202" s="666"/>
      <c r="I202" s="665"/>
      <c r="J202" s="665"/>
      <c r="K202" s="665"/>
      <c r="L202" s="149" t="str">
        <f t="shared" si="15"/>
        <v>412C</v>
      </c>
      <c r="M202" s="150" t="str">
        <f t="shared" si="16"/>
        <v>M340I XDRIVE</v>
      </c>
      <c r="N202" s="151">
        <f>+IF(OR($Q202=Parametres!$G$2,$Q202=Parametres!$G$3),I202,C202)</f>
        <v>-80066.53</v>
      </c>
      <c r="O202" s="151">
        <f>+IF(OR($Q202=Parametres!$G$2,$Q202=Parametres!$G$3),J202,D202)</f>
        <v>0</v>
      </c>
      <c r="P202" s="151">
        <f>+IF(OR($Q202=Parametres!$G$2,$Q202=Parametres!$G$3),K202,E202)</f>
        <v>-80066.53</v>
      </c>
      <c r="Q202" s="150" t="str">
        <f t="shared" si="17"/>
        <v>5-Ventes</v>
      </c>
      <c r="R202" s="149" t="str">
        <f t="shared" si="18"/>
        <v>412C</v>
      </c>
      <c r="S202" s="150">
        <f t="shared" si="19"/>
        <v>0</v>
      </c>
      <c r="T202" s="152" t="str">
        <f>+VLOOKUP($L202,Data_Validation!$A:$D,1,0)</f>
        <v>412C</v>
      </c>
      <c r="U202" s="152" t="str">
        <f>+VLOOKUP($L202,Data_Validation!$A:$D,3,0)</f>
        <v>Véhicules neufs</v>
      </c>
      <c r="V202" s="152" t="str">
        <f>+VLOOKUP($L202,Data_Validation!$A:$D,4,0)</f>
        <v>Autos détail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1082</v>
      </c>
      <c r="B203" s="718" t="s">
        <v>411</v>
      </c>
      <c r="C203" s="720">
        <v>-177233.06</v>
      </c>
      <c r="D203" s="720">
        <v>-114147</v>
      </c>
      <c r="E203" s="720">
        <v>-291380.06</v>
      </c>
      <c r="F203" s="718" t="s">
        <v>2008</v>
      </c>
      <c r="G203" s="718" t="s">
        <v>411</v>
      </c>
      <c r="H203" s="666"/>
      <c r="I203" s="665"/>
      <c r="J203" s="665"/>
      <c r="K203" s="665"/>
      <c r="L203" s="149" t="str">
        <f t="shared" si="15"/>
        <v>416</v>
      </c>
      <c r="M203" s="150" t="str">
        <f t="shared" si="16"/>
        <v>VTE - X1 XDRIVE 28I</v>
      </c>
      <c r="N203" s="151">
        <f>+IF(OR($Q203=Parametres!$G$2,$Q203=Parametres!$G$3),I203,C203)</f>
        <v>-177233.06</v>
      </c>
      <c r="O203" s="151">
        <f>+IF(OR($Q203=Parametres!$G$2,$Q203=Parametres!$G$3),J203,D203)</f>
        <v>-114147</v>
      </c>
      <c r="P203" s="151">
        <f>+IF(OR($Q203=Parametres!$G$2,$Q203=Parametres!$G$3),K203,E203)</f>
        <v>-291380.06</v>
      </c>
      <c r="Q203" s="150" t="str">
        <f t="shared" si="17"/>
        <v>5-Ventes</v>
      </c>
      <c r="R203" s="149" t="str">
        <f t="shared" si="18"/>
        <v>416</v>
      </c>
      <c r="S203" s="150">
        <f t="shared" si="19"/>
        <v>0</v>
      </c>
      <c r="T203" s="152" t="str">
        <f>+VLOOKUP($L203,Data_Validation!$A:$D,1,0)</f>
        <v>416</v>
      </c>
      <c r="U203" s="152" t="str">
        <f>+VLOOKUP($L203,Data_Validation!$A:$D,3,0)</f>
        <v>Véhicules neufs</v>
      </c>
      <c r="V203" s="152" t="str">
        <f>+VLOOKUP($L203,Data_Validation!$A:$D,4,0)</f>
        <v>Camions détail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1095</v>
      </c>
      <c r="B204" s="718" t="s">
        <v>617</v>
      </c>
      <c r="C204" s="720">
        <v>-346937.85</v>
      </c>
      <c r="D204" s="720">
        <v>-213022.81</v>
      </c>
      <c r="E204" s="720">
        <v>-559960.66</v>
      </c>
      <c r="F204" s="718" t="s">
        <v>2008</v>
      </c>
      <c r="G204" s="718" t="s">
        <v>617</v>
      </c>
      <c r="H204" s="673"/>
      <c r="I204" s="672"/>
      <c r="J204" s="672"/>
      <c r="K204" s="672"/>
      <c r="L204" s="149" t="str">
        <f t="shared" si="15"/>
        <v>418</v>
      </c>
      <c r="M204" s="150" t="str">
        <f t="shared" si="16"/>
        <v>VTE - AUTRES MODELES BMW</v>
      </c>
      <c r="N204" s="151">
        <f>+IF(OR($Q204=Parametres!$G$2,$Q204=Parametres!$G$3),I204,C204)</f>
        <v>-346937.85</v>
      </c>
      <c r="O204" s="151">
        <f>+IF(OR($Q204=Parametres!$G$2,$Q204=Parametres!$G$3),J204,D204)</f>
        <v>-213022.81</v>
      </c>
      <c r="P204" s="151">
        <f>+IF(OR($Q204=Parametres!$G$2,$Q204=Parametres!$G$3),K204,E204)</f>
        <v>-559960.66</v>
      </c>
      <c r="Q204" s="150" t="str">
        <f t="shared" si="17"/>
        <v>5-Ventes</v>
      </c>
      <c r="R204" s="149" t="str">
        <f t="shared" si="18"/>
        <v>418</v>
      </c>
      <c r="S204" s="150">
        <f t="shared" si="19"/>
        <v>0</v>
      </c>
      <c r="T204" s="152" t="str">
        <f>+VLOOKUP($L204,Data_Validation!$A:$D,1,0)</f>
        <v>418</v>
      </c>
      <c r="U204" s="152" t="str">
        <f>+VLOOKUP($L204,Data_Validation!$A:$D,3,0)</f>
        <v>Véhicules neufs</v>
      </c>
      <c r="V204" s="152" t="str">
        <f>+VLOOKUP($L204,Data_Validation!$A:$D,4,0)</f>
        <v>Ex-Démos et courtoisies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1383</v>
      </c>
      <c r="B205" s="718" t="s">
        <v>410</v>
      </c>
      <c r="C205" s="720">
        <v>-362337.93</v>
      </c>
      <c r="D205" s="720">
        <v>-203016.45</v>
      </c>
      <c r="E205" s="720">
        <v>-565354.38</v>
      </c>
      <c r="F205" s="718" t="s">
        <v>2008</v>
      </c>
      <c r="G205" s="718" t="s">
        <v>617</v>
      </c>
      <c r="H205" s="673"/>
      <c r="I205" s="672"/>
      <c r="J205" s="672"/>
      <c r="K205" s="672"/>
      <c r="L205" s="149" t="str">
        <f t="shared" si="15"/>
        <v>418A</v>
      </c>
      <c r="M205" s="150" t="str">
        <f t="shared" si="16"/>
        <v>VTE - AUTRES MODELES BMW CAMION</v>
      </c>
      <c r="N205" s="151">
        <f>+IF(OR($Q205=Parametres!$G$2,$Q205=Parametres!$G$3),I205,C205)</f>
        <v>-362337.93</v>
      </c>
      <c r="O205" s="151">
        <f>+IF(OR($Q205=Parametres!$G$2,$Q205=Parametres!$G$3),J205,D205)</f>
        <v>-203016.45</v>
      </c>
      <c r="P205" s="151">
        <f>+IF(OR($Q205=Parametres!$G$2,$Q205=Parametres!$G$3),K205,E205)</f>
        <v>-565354.38</v>
      </c>
      <c r="Q205" s="150" t="str">
        <f t="shared" si="17"/>
        <v>5-Ventes</v>
      </c>
      <c r="R205" s="149" t="str">
        <f t="shared" si="18"/>
        <v>418</v>
      </c>
      <c r="S205" s="150">
        <f t="shared" si="19"/>
        <v>0</v>
      </c>
      <c r="T205" s="152" t="str">
        <f>+VLOOKUP($L205,Data_Validation!$A:$D,1,0)</f>
        <v>418A</v>
      </c>
      <c r="U205" s="152" t="str">
        <f>+VLOOKUP($L205,Data_Validation!$A:$D,3,0)</f>
        <v>Véhicules neufs</v>
      </c>
      <c r="V205" s="152" t="str">
        <f>+VLOOKUP($L205,Data_Validation!$A:$D,4,0)</f>
        <v>Ex-Démos et courtoisies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1384</v>
      </c>
      <c r="B206" s="718" t="s">
        <v>424</v>
      </c>
      <c r="C206" s="720">
        <v>-66500</v>
      </c>
      <c r="D206" s="720">
        <v>0</v>
      </c>
      <c r="E206" s="720">
        <v>-66500</v>
      </c>
      <c r="F206" s="718" t="s">
        <v>2008</v>
      </c>
      <c r="G206" s="718" t="s">
        <v>424</v>
      </c>
      <c r="H206" s="673"/>
      <c r="I206" s="673"/>
      <c r="J206" s="673"/>
      <c r="K206" s="673"/>
      <c r="L206" s="149" t="str">
        <f t="shared" si="15"/>
        <v>419</v>
      </c>
      <c r="M206" s="150" t="str">
        <f t="shared" si="16"/>
        <v>VTE - FLEET VOITURE BMW</v>
      </c>
      <c r="N206" s="151">
        <f>+IF(OR($Q206=Parametres!$G$2,$Q206=Parametres!$G$3),I206,C206)</f>
        <v>-66500</v>
      </c>
      <c r="O206" s="151">
        <f>+IF(OR($Q206=Parametres!$G$2,$Q206=Parametres!$G$3),J206,D206)</f>
        <v>0</v>
      </c>
      <c r="P206" s="151">
        <f>+IF(OR($Q206=Parametres!$G$2,$Q206=Parametres!$G$3),K206,E206)</f>
        <v>-66500</v>
      </c>
      <c r="Q206" s="150" t="str">
        <f t="shared" si="17"/>
        <v>5-Ventes</v>
      </c>
      <c r="R206" s="149" t="str">
        <f t="shared" si="18"/>
        <v>419</v>
      </c>
      <c r="S206" s="150">
        <f t="shared" si="19"/>
        <v>0</v>
      </c>
      <c r="T206" s="152" t="str">
        <f>+VLOOKUP($L206,Data_Validation!$A:$D,1,0)</f>
        <v>419</v>
      </c>
      <c r="U206" s="152" t="str">
        <f>+VLOOKUP($L206,Data_Validation!$A:$D,3,0)</f>
        <v>Véhicules neufs</v>
      </c>
      <c r="V206" s="152" t="str">
        <f>+VLOOKUP($L206,Data_Validation!$A:$D,4,0)</f>
        <v>Flottes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2440</v>
      </c>
      <c r="B207" s="718" t="s">
        <v>403</v>
      </c>
      <c r="C207" s="720">
        <v>-191221.72</v>
      </c>
      <c r="D207" s="720">
        <v>-271512.36</v>
      </c>
      <c r="E207" s="720">
        <v>-462734.08000000002</v>
      </c>
      <c r="F207" s="718" t="s">
        <v>2008</v>
      </c>
      <c r="G207" s="718" t="s">
        <v>403</v>
      </c>
      <c r="H207" s="673"/>
      <c r="I207" s="672"/>
      <c r="J207" s="672"/>
      <c r="K207" s="672"/>
      <c r="L207" s="149" t="str">
        <f t="shared" si="15"/>
        <v>423B</v>
      </c>
      <c r="M207" s="150" t="str">
        <f t="shared" si="16"/>
        <v>VTES -VTE - X3 XDRIVE 30I</v>
      </c>
      <c r="N207" s="151">
        <f>+IF(OR($Q207=Parametres!$G$2,$Q207=Parametres!$G$3),I207,C207)</f>
        <v>-191221.72</v>
      </c>
      <c r="O207" s="151">
        <f>+IF(OR($Q207=Parametres!$G$2,$Q207=Parametres!$G$3),J207,D207)</f>
        <v>-271512.36</v>
      </c>
      <c r="P207" s="151">
        <f>+IF(OR($Q207=Parametres!$G$2,$Q207=Parametres!$G$3),K207,E207)</f>
        <v>-462734.08000000002</v>
      </c>
      <c r="Q207" s="150" t="str">
        <f t="shared" si="17"/>
        <v>5-Ventes</v>
      </c>
      <c r="R207" s="149" t="str">
        <f t="shared" si="18"/>
        <v>423B</v>
      </c>
      <c r="S207" s="150">
        <f t="shared" si="19"/>
        <v>0</v>
      </c>
      <c r="T207" s="152" t="str">
        <f>+VLOOKUP($L207,Data_Validation!$A:$D,1,0)</f>
        <v>423B</v>
      </c>
      <c r="U207" s="152" t="str">
        <f>+VLOOKUP($L207,Data_Validation!$A:$D,3,0)</f>
        <v>Véhicules neufs</v>
      </c>
      <c r="V207" s="152" t="str">
        <f>+VLOOKUP($L207,Data_Validation!$A:$D,4,0)</f>
        <v>Camions détail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1387</v>
      </c>
      <c r="B208" s="718" t="s">
        <v>618</v>
      </c>
      <c r="C208" s="720">
        <v>-167538.12</v>
      </c>
      <c r="D208" s="720">
        <v>0</v>
      </c>
      <c r="E208" s="720">
        <v>-167538.12</v>
      </c>
      <c r="F208" s="718" t="s">
        <v>2008</v>
      </c>
      <c r="G208" s="718" t="s">
        <v>618</v>
      </c>
      <c r="H208" s="666"/>
      <c r="I208" s="665"/>
      <c r="J208" s="665"/>
      <c r="K208" s="665"/>
      <c r="L208" s="149" t="str">
        <f t="shared" si="15"/>
        <v>423C</v>
      </c>
      <c r="M208" s="150" t="str">
        <f t="shared" si="16"/>
        <v>VTES -X3 XDRIVE 30E</v>
      </c>
      <c r="N208" s="151">
        <f>+IF(OR($Q208=Parametres!$G$2,$Q208=Parametres!$G$3),I208,C208)</f>
        <v>-167538.12</v>
      </c>
      <c r="O208" s="151">
        <f>+IF(OR($Q208=Parametres!$G$2,$Q208=Parametres!$G$3),J208,D208)</f>
        <v>0</v>
      </c>
      <c r="P208" s="151">
        <f>+IF(OR($Q208=Parametres!$G$2,$Q208=Parametres!$G$3),K208,E208)</f>
        <v>-167538.12</v>
      </c>
      <c r="Q208" s="150" t="str">
        <f t="shared" si="17"/>
        <v>5-Ventes</v>
      </c>
      <c r="R208" s="149" t="str">
        <f t="shared" si="18"/>
        <v>423C</v>
      </c>
      <c r="S208" s="150">
        <f t="shared" si="19"/>
        <v>0</v>
      </c>
      <c r="T208" s="152" t="str">
        <f>+VLOOKUP($L208,Data_Validation!$A:$D,1,0)</f>
        <v>423C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1078</v>
      </c>
      <c r="B209" s="718" t="s">
        <v>619</v>
      </c>
      <c r="C209" s="720">
        <v>-225186.75</v>
      </c>
      <c r="D209" s="720">
        <v>3557.35</v>
      </c>
      <c r="E209" s="720">
        <v>-221629.4</v>
      </c>
      <c r="F209" s="718" t="s">
        <v>2008</v>
      </c>
      <c r="G209" s="718" t="s">
        <v>619</v>
      </c>
      <c r="H209" s="673"/>
      <c r="I209" s="672"/>
      <c r="J209" s="672"/>
      <c r="K209" s="672"/>
      <c r="L209" s="149" t="str">
        <f t="shared" si="15"/>
        <v>423D</v>
      </c>
      <c r="M209" s="150" t="str">
        <f t="shared" si="16"/>
        <v>VTES -VTE - X5 XDRIVE 35I/ X5 XDRIVE 40I</v>
      </c>
      <c r="N209" s="151">
        <f>+IF(OR($Q209=Parametres!$G$2,$Q209=Parametres!$G$3),I209,C209)</f>
        <v>-225186.75</v>
      </c>
      <c r="O209" s="151">
        <f>+IF(OR($Q209=Parametres!$G$2,$Q209=Parametres!$G$3),J209,D209)</f>
        <v>3557.35</v>
      </c>
      <c r="P209" s="151">
        <f>+IF(OR($Q209=Parametres!$G$2,$Q209=Parametres!$G$3),K209,E209)</f>
        <v>-221629.4</v>
      </c>
      <c r="Q209" s="150" t="str">
        <f t="shared" si="17"/>
        <v>5-Ventes</v>
      </c>
      <c r="R209" s="149" t="str">
        <f t="shared" si="18"/>
        <v>423D</v>
      </c>
      <c r="S209" s="150">
        <f t="shared" si="19"/>
        <v>0</v>
      </c>
      <c r="T209" s="152" t="str">
        <f>+VLOOKUP($L209,Data_Validation!$A:$D,1,0)</f>
        <v>423D</v>
      </c>
      <c r="U209" s="152" t="str">
        <f>+VLOOKUP($L209,Data_Validation!$A:$D,3,0)</f>
        <v>Véhicules neufs</v>
      </c>
      <c r="V209" s="152" t="str">
        <f>+VLOOKUP($L209,Data_Validation!$A:$D,4,0)</f>
        <v>Camions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2494</v>
      </c>
      <c r="B210" s="718" t="s">
        <v>2495</v>
      </c>
      <c r="C210" s="720">
        <v>-344950.45</v>
      </c>
      <c r="D210" s="720">
        <v>-195545.5</v>
      </c>
      <c r="E210" s="720">
        <v>-540495.94999999995</v>
      </c>
      <c r="F210" s="718" t="s">
        <v>2008</v>
      </c>
      <c r="G210" s="718" t="s">
        <v>2495</v>
      </c>
      <c r="H210" s="719"/>
      <c r="I210" s="719"/>
      <c r="J210" s="719"/>
      <c r="K210" s="719"/>
      <c r="L210" s="149" t="str">
        <f t="shared" si="15"/>
        <v>423F</v>
      </c>
      <c r="M210" s="150" t="str">
        <f t="shared" si="16"/>
        <v>VTES -VTE - X5 xDRIVE50e</v>
      </c>
      <c r="N210" s="151">
        <f>+IF(OR($Q210=Parametres!$G$2,$Q210=Parametres!$G$3),I210,C210)</f>
        <v>-344950.45</v>
      </c>
      <c r="O210" s="151">
        <f>+IF(OR($Q210=Parametres!$G$2,$Q210=Parametres!$G$3),J210,D210)</f>
        <v>-195545.5</v>
      </c>
      <c r="P210" s="151">
        <f>+IF(OR($Q210=Parametres!$G$2,$Q210=Parametres!$G$3),K210,E210)</f>
        <v>-540495.94999999995</v>
      </c>
      <c r="Q210" s="150" t="str">
        <f t="shared" si="17"/>
        <v>5-Ventes</v>
      </c>
      <c r="R210" s="149" t="str">
        <f t="shared" si="18"/>
        <v>423F</v>
      </c>
      <c r="S210" s="150">
        <f t="shared" si="19"/>
        <v>0</v>
      </c>
      <c r="T210" s="152" t="str">
        <f>+VLOOKUP($L210,Data_Validation!$A:$D,1,0)</f>
        <v>423F</v>
      </c>
      <c r="U210" s="152" t="str">
        <f>+VLOOKUP($L210,Data_Validation!$A:$D,3,0)</f>
        <v>Véhicules neufs</v>
      </c>
      <c r="V210" s="152" t="str">
        <f>+VLOOKUP($L210,Data_Validation!$A:$D,4,0)</f>
        <v>Camions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1388</v>
      </c>
      <c r="B211" s="718" t="s">
        <v>620</v>
      </c>
      <c r="C211" s="720">
        <v>-90673.5</v>
      </c>
      <c r="D211" s="720">
        <v>0</v>
      </c>
      <c r="E211" s="720">
        <v>-90673.5</v>
      </c>
      <c r="F211" s="718" t="s">
        <v>2008</v>
      </c>
      <c r="G211" s="718" t="s">
        <v>620</v>
      </c>
      <c r="H211" s="673"/>
      <c r="I211" s="672"/>
      <c r="J211" s="672"/>
      <c r="K211" s="672"/>
      <c r="L211" s="149" t="str">
        <f t="shared" si="15"/>
        <v>423G</v>
      </c>
      <c r="M211" s="150" t="str">
        <f t="shared" si="16"/>
        <v>VTES -VTE - X3 XDR M40I</v>
      </c>
      <c r="N211" s="151">
        <f>+IF(OR($Q211=Parametres!$G$2,$Q211=Parametres!$G$3),I211,C211)</f>
        <v>-90673.5</v>
      </c>
      <c r="O211" s="151">
        <f>+IF(OR($Q211=Parametres!$G$2,$Q211=Parametres!$G$3),J211,D211)</f>
        <v>0</v>
      </c>
      <c r="P211" s="151">
        <f>+IF(OR($Q211=Parametres!$G$2,$Q211=Parametres!$G$3),K211,E211)</f>
        <v>-90673.5</v>
      </c>
      <c r="Q211" s="150" t="str">
        <f t="shared" si="17"/>
        <v>5-Ventes</v>
      </c>
      <c r="R211" s="149" t="str">
        <f t="shared" si="18"/>
        <v>423G</v>
      </c>
      <c r="S211" s="150">
        <f t="shared" si="19"/>
        <v>0</v>
      </c>
      <c r="T211" s="152" t="str">
        <f>+VLOOKUP($L211,Data_Validation!$A:$D,1,0)</f>
        <v>423G</v>
      </c>
      <c r="U211" s="152" t="str">
        <f>+VLOOKUP($L211,Data_Validation!$A:$D,3,0)</f>
        <v>Véhicules neufs</v>
      </c>
      <c r="V211" s="152" t="str">
        <f>+VLOOKUP($L211,Data_Validation!$A:$D,4,0)</f>
        <v>Camions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2539</v>
      </c>
      <c r="B212" s="718" t="s">
        <v>2540</v>
      </c>
      <c r="C212" s="720">
        <v>0</v>
      </c>
      <c r="D212" s="720">
        <v>-109704.15</v>
      </c>
      <c r="E212" s="720">
        <v>-109704.15</v>
      </c>
      <c r="F212" s="718" t="s">
        <v>2008</v>
      </c>
      <c r="G212" s="718" t="s">
        <v>2540</v>
      </c>
      <c r="H212" s="673"/>
      <c r="I212" s="672"/>
      <c r="J212" s="672"/>
      <c r="K212" s="672"/>
      <c r="L212" s="149" t="str">
        <f t="shared" si="15"/>
        <v>424E</v>
      </c>
      <c r="M212" s="150" t="str">
        <f t="shared" si="16"/>
        <v>VTES -VTE - i5 M60 xDRIVE</v>
      </c>
      <c r="N212" s="151">
        <f>+IF(OR($Q212=Parametres!$G$2,$Q212=Parametres!$G$3),I212,C212)</f>
        <v>0</v>
      </c>
      <c r="O212" s="151">
        <f>+IF(OR($Q212=Parametres!$G$2,$Q212=Parametres!$G$3),J212,D212)</f>
        <v>-109704.15</v>
      </c>
      <c r="P212" s="151">
        <f>+IF(OR($Q212=Parametres!$G$2,$Q212=Parametres!$G$3),K212,E212)</f>
        <v>-109704.15</v>
      </c>
      <c r="Q212" s="150" t="str">
        <f t="shared" si="17"/>
        <v>5-Ventes</v>
      </c>
      <c r="R212" s="149" t="str">
        <f t="shared" si="18"/>
        <v>424E</v>
      </c>
      <c r="S212" s="150">
        <f t="shared" si="19"/>
        <v>0</v>
      </c>
      <c r="T212" s="152" t="str">
        <f>+VLOOKUP($L212,Data_Validation!$A:$D,1,0)</f>
        <v>424E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1137</v>
      </c>
      <c r="B213" s="718" t="s">
        <v>1015</v>
      </c>
      <c r="C213" s="720">
        <v>-19054.89</v>
      </c>
      <c r="D213" s="720">
        <v>-15164.94</v>
      </c>
      <c r="E213" s="720">
        <v>-34219.83</v>
      </c>
      <c r="F213" s="718" t="s">
        <v>2008</v>
      </c>
      <c r="G213" s="718" t="s">
        <v>626</v>
      </c>
      <c r="H213" s="673"/>
      <c r="I213" s="672"/>
      <c r="J213" s="672"/>
      <c r="K213" s="672"/>
      <c r="L213" s="149" t="str">
        <f t="shared" si="15"/>
        <v>430A</v>
      </c>
      <c r="M213" s="150" t="str">
        <f t="shared" si="16"/>
        <v>VTES -VTE - MARQUAGE NEUF BMW AUTO</v>
      </c>
      <c r="N213" s="151">
        <f>+IF(OR($Q213=Parametres!$G$2,$Q213=Parametres!$G$3),I213,C213)</f>
        <v>-19054.89</v>
      </c>
      <c r="O213" s="151">
        <f>+IF(OR($Q213=Parametres!$G$2,$Q213=Parametres!$G$3),J213,D213)</f>
        <v>-15164.94</v>
      </c>
      <c r="P213" s="151">
        <f>+IF(OR($Q213=Parametres!$G$2,$Q213=Parametres!$G$3),K213,E213)</f>
        <v>-34219.83</v>
      </c>
      <c r="Q213" s="150" t="str">
        <f t="shared" si="17"/>
        <v>5-Ventes</v>
      </c>
      <c r="R213" s="149" t="str">
        <f t="shared" si="18"/>
        <v>430</v>
      </c>
      <c r="S213" s="150">
        <f t="shared" si="19"/>
        <v>0</v>
      </c>
      <c r="T213" s="152" t="str">
        <f>+VLOOKUP($L213,Data_Validation!$A:$D,1,0)</f>
        <v>430A</v>
      </c>
      <c r="U213" s="152" t="str">
        <f>+VLOOKUP($L213,Data_Validation!$A:$D,3,0)</f>
        <v>Véhicules neufs</v>
      </c>
      <c r="V213" s="152" t="str">
        <f>+VLOOKUP($L213,Data_Validation!$A:$D,4,0)</f>
        <v>Rev. Autres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1391</v>
      </c>
      <c r="B214" s="718" t="s">
        <v>1017</v>
      </c>
      <c r="C214" s="720">
        <v>-7900.8</v>
      </c>
      <c r="D214" s="720">
        <v>-4446</v>
      </c>
      <c r="E214" s="720">
        <v>-12346.8</v>
      </c>
      <c r="F214" s="718" t="s">
        <v>2008</v>
      </c>
      <c r="G214" s="718" t="s">
        <v>626</v>
      </c>
      <c r="H214" s="719"/>
      <c r="I214" s="719"/>
      <c r="J214" s="719"/>
      <c r="K214" s="719"/>
      <c r="L214" s="149" t="str">
        <f t="shared" si="15"/>
        <v>430C</v>
      </c>
      <c r="M214" s="150" t="str">
        <f t="shared" si="16"/>
        <v>VTE - ACCESSOIRES NEUFS BMW AUTO</v>
      </c>
      <c r="N214" s="151">
        <f>+IF(OR($Q214=Parametres!$G$2,$Q214=Parametres!$G$3),I214,C214)</f>
        <v>-7900.8</v>
      </c>
      <c r="O214" s="151">
        <f>+IF(OR($Q214=Parametres!$G$2,$Q214=Parametres!$G$3),J214,D214)</f>
        <v>-4446</v>
      </c>
      <c r="P214" s="151">
        <f>+IF(OR($Q214=Parametres!$G$2,$Q214=Parametres!$G$3),K214,E214)</f>
        <v>-12346.8</v>
      </c>
      <c r="Q214" s="150" t="str">
        <f t="shared" si="17"/>
        <v>5-Ventes</v>
      </c>
      <c r="R214" s="149" t="str">
        <f t="shared" si="18"/>
        <v>430</v>
      </c>
      <c r="S214" s="150">
        <f t="shared" si="19"/>
        <v>0</v>
      </c>
      <c r="T214" s="152" t="str">
        <f>+VLOOKUP($L214,Data_Validation!$A:$D,1,0)</f>
        <v>430C</v>
      </c>
      <c r="U214" s="152" t="str">
        <f>+VLOOKUP($L214,Data_Validation!$A:$D,3,0)</f>
        <v>Véhicules neufs</v>
      </c>
      <c r="V214" s="152" t="str">
        <f>+VLOOKUP($L214,Data_Validation!$A:$D,4,0)</f>
        <v>Rev. Autres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1165</v>
      </c>
      <c r="B215" s="718" t="s">
        <v>1166</v>
      </c>
      <c r="C215" s="720">
        <v>-49928.68</v>
      </c>
      <c r="D215" s="720">
        <v>-28375</v>
      </c>
      <c r="E215" s="720">
        <v>-78303.679999999993</v>
      </c>
      <c r="F215" s="718" t="s">
        <v>2008</v>
      </c>
      <c r="G215" s="718" t="s">
        <v>626</v>
      </c>
      <c r="H215" s="673"/>
      <c r="I215" s="672"/>
      <c r="J215" s="672"/>
      <c r="K215" s="672"/>
      <c r="L215" s="149" t="str">
        <f t="shared" si="15"/>
        <v>430E</v>
      </c>
      <c r="M215" s="150" t="str">
        <f t="shared" si="16"/>
        <v>VTE - PROTEC ESTHETIQUE NEUF BMW AUTO</v>
      </c>
      <c r="N215" s="151">
        <f>+IF(OR($Q215=Parametres!$G$2,$Q215=Parametres!$G$3),I215,C215)</f>
        <v>-49928.68</v>
      </c>
      <c r="O215" s="151">
        <f>+IF(OR($Q215=Parametres!$G$2,$Q215=Parametres!$G$3),J215,D215)</f>
        <v>-28375</v>
      </c>
      <c r="P215" s="151">
        <f>+IF(OR($Q215=Parametres!$G$2,$Q215=Parametres!$G$3),K215,E215)</f>
        <v>-78303.679999999993</v>
      </c>
      <c r="Q215" s="150" t="str">
        <f t="shared" si="17"/>
        <v>5-Ventes</v>
      </c>
      <c r="R215" s="149" t="str">
        <f t="shared" si="18"/>
        <v>430</v>
      </c>
      <c r="S215" s="150">
        <f t="shared" si="19"/>
        <v>0</v>
      </c>
      <c r="T215" s="152" t="str">
        <f>+VLOOKUP($L215,Data_Validation!$A:$D,1,0)</f>
        <v>430E</v>
      </c>
      <c r="U215" s="152" t="str">
        <f>+VLOOKUP($L215,Data_Validation!$A:$D,3,0)</f>
        <v>Véhicules neufs</v>
      </c>
      <c r="V215" s="152" t="str">
        <f>+VLOOKUP($L215,Data_Validation!$A:$D,4,0)</f>
        <v>Rev. Protections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1392</v>
      </c>
      <c r="B216" s="718" t="s">
        <v>1393</v>
      </c>
      <c r="C216" s="720">
        <v>-2848.69</v>
      </c>
      <c r="D216" s="720">
        <v>0</v>
      </c>
      <c r="E216" s="720">
        <v>-2848.69</v>
      </c>
      <c r="F216" s="718" t="s">
        <v>2008</v>
      </c>
      <c r="G216" s="718" t="s">
        <v>626</v>
      </c>
      <c r="H216" s="607"/>
      <c r="I216" s="153"/>
      <c r="J216" s="153"/>
      <c r="K216" s="153"/>
      <c r="L216" s="149" t="str">
        <f t="shared" si="15"/>
        <v>430F</v>
      </c>
      <c r="M216" s="150" t="str">
        <f t="shared" si="16"/>
        <v>VTE - RIST FINANCE NEUF BMW AUTO</v>
      </c>
      <c r="N216" s="151">
        <f>+IF(OR($Q216=Parametres!$G$2,$Q216=Parametres!$G$3),I216,C216)</f>
        <v>-2848.69</v>
      </c>
      <c r="O216" s="151">
        <f>+IF(OR($Q216=Parametres!$G$2,$Q216=Parametres!$G$3),J216,D216)</f>
        <v>0</v>
      </c>
      <c r="P216" s="151">
        <f>+IF(OR($Q216=Parametres!$G$2,$Q216=Parametres!$G$3),K216,E216)</f>
        <v>-2848.69</v>
      </c>
      <c r="Q216" s="150" t="str">
        <f t="shared" si="17"/>
        <v>5-Ventes</v>
      </c>
      <c r="R216" s="149" t="str">
        <f t="shared" si="18"/>
        <v>430</v>
      </c>
      <c r="S216" s="150">
        <f t="shared" si="19"/>
        <v>0</v>
      </c>
      <c r="T216" s="152" t="str">
        <f>+VLOOKUP($L216,Data_Validation!$A:$D,1,0)</f>
        <v>430F</v>
      </c>
      <c r="U216" s="152" t="str">
        <f>+VLOOKUP($L216,Data_Validation!$A:$D,3,0)</f>
        <v>Véhicules neufs</v>
      </c>
      <c r="V216" s="152" t="str">
        <f>+VLOOKUP($L216,Data_Validation!$A:$D,4,0)</f>
        <v>Rev. Finances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1394</v>
      </c>
      <c r="B217" s="718" t="s">
        <v>1012</v>
      </c>
      <c r="C217" s="720">
        <v>-1360</v>
      </c>
      <c r="D217" s="720">
        <v>-2325</v>
      </c>
      <c r="E217" s="720">
        <v>-3685</v>
      </c>
      <c r="F217" s="718" t="s">
        <v>2008</v>
      </c>
      <c r="G217" s="718" t="s">
        <v>626</v>
      </c>
      <c r="H217" s="673"/>
      <c r="I217" s="672"/>
      <c r="J217" s="672"/>
      <c r="K217" s="672"/>
      <c r="L217" s="149" t="str">
        <f t="shared" si="15"/>
        <v>430P</v>
      </c>
      <c r="M217" s="150" t="str">
        <f t="shared" si="16"/>
        <v>VTE - PROTEC PNEUS/JANTES NEUF BMW AUTO</v>
      </c>
      <c r="N217" s="151">
        <f>+IF(OR($Q217=Parametres!$G$2,$Q217=Parametres!$G$3),I217,C217)</f>
        <v>-1360</v>
      </c>
      <c r="O217" s="151">
        <f>+IF(OR($Q217=Parametres!$G$2,$Q217=Parametres!$G$3),J217,D217)</f>
        <v>-2325</v>
      </c>
      <c r="P217" s="151">
        <f>+IF(OR($Q217=Parametres!$G$2,$Q217=Parametres!$G$3),K217,E217)</f>
        <v>-3685</v>
      </c>
      <c r="Q217" s="150" t="str">
        <f t="shared" si="17"/>
        <v>5-Ventes</v>
      </c>
      <c r="R217" s="149" t="str">
        <f t="shared" si="18"/>
        <v>430</v>
      </c>
      <c r="S217" s="150">
        <f t="shared" si="19"/>
        <v>0</v>
      </c>
      <c r="T217" s="152" t="str">
        <f>+VLOOKUP($L217,Data_Validation!$A:$D,1,0)</f>
        <v>430P</v>
      </c>
      <c r="U217" s="152" t="str">
        <f>+VLOOKUP($L217,Data_Validation!$A:$D,3,0)</f>
        <v>Véhicules neufs</v>
      </c>
      <c r="V217" s="152" t="str">
        <f>+VLOOKUP($L217,Data_Validation!$A:$D,4,0)</f>
        <v>Rev. Protections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1947</v>
      </c>
      <c r="B218" s="718" t="s">
        <v>1948</v>
      </c>
      <c r="C218" s="720">
        <v>0</v>
      </c>
      <c r="D218" s="720">
        <v>-3301</v>
      </c>
      <c r="E218" s="720">
        <v>-3301</v>
      </c>
      <c r="F218" s="718" t="s">
        <v>2008</v>
      </c>
      <c r="G218" s="718" t="s">
        <v>626</v>
      </c>
      <c r="H218" s="719"/>
      <c r="I218" s="719"/>
      <c r="J218" s="719"/>
      <c r="K218" s="719"/>
      <c r="L218" s="149" t="str">
        <f t="shared" si="15"/>
        <v>430R</v>
      </c>
      <c r="M218" s="150" t="str">
        <f t="shared" si="16"/>
        <v>VTE - ASS. REMP. NEUF BMW AUTO</v>
      </c>
      <c r="N218" s="151">
        <f>+IF(OR($Q218=Parametres!$G$2,$Q218=Parametres!$G$3),I218,C218)</f>
        <v>0</v>
      </c>
      <c r="O218" s="151">
        <f>+IF(OR($Q218=Parametres!$G$2,$Q218=Parametres!$G$3),J218,D218)</f>
        <v>-3301</v>
      </c>
      <c r="P218" s="151">
        <f>+IF(OR($Q218=Parametres!$G$2,$Q218=Parametres!$G$3),K218,E218)</f>
        <v>-3301</v>
      </c>
      <c r="Q218" s="150" t="str">
        <f t="shared" si="17"/>
        <v>5-Ventes</v>
      </c>
      <c r="R218" s="149" t="str">
        <f t="shared" si="18"/>
        <v>430</v>
      </c>
      <c r="S218" s="150">
        <f t="shared" si="19"/>
        <v>0</v>
      </c>
      <c r="T218" s="152" t="str">
        <f>+VLOOKUP($L218,Data_Validation!$A:$D,1,0)</f>
        <v>430R</v>
      </c>
      <c r="U218" s="152" t="str">
        <f>+VLOOKUP($L218,Data_Validation!$A:$D,3,0)</f>
        <v>Véhicules neufs</v>
      </c>
      <c r="V218" s="152" t="str">
        <f>+VLOOKUP($L218,Data_Validation!$A:$D,4,0)</f>
        <v>Rev. Protections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1199</v>
      </c>
      <c r="B219" s="718" t="s">
        <v>1200</v>
      </c>
      <c r="C219" s="720">
        <v>-3320</v>
      </c>
      <c r="D219" s="720">
        <v>0</v>
      </c>
      <c r="E219" s="720">
        <v>-3320</v>
      </c>
      <c r="F219" s="718" t="s">
        <v>2008</v>
      </c>
      <c r="G219" s="718" t="s">
        <v>626</v>
      </c>
      <c r="H219" s="673"/>
      <c r="I219" s="672"/>
      <c r="J219" s="672"/>
      <c r="K219" s="672"/>
      <c r="L219" s="149" t="str">
        <f t="shared" si="15"/>
        <v>430T</v>
      </c>
      <c r="M219" s="150" t="str">
        <f t="shared" si="16"/>
        <v>VTE - TRAITEMENT OTOPROTEC NEUF BMW AUTO</v>
      </c>
      <c r="N219" s="151">
        <f>+IF(OR($Q219=Parametres!$G$2,$Q219=Parametres!$G$3),I219,C219)</f>
        <v>-3320</v>
      </c>
      <c r="O219" s="151">
        <f>+IF(OR($Q219=Parametres!$G$2,$Q219=Parametres!$G$3),J219,D219)</f>
        <v>0</v>
      </c>
      <c r="P219" s="151">
        <f>+IF(OR($Q219=Parametres!$G$2,$Q219=Parametres!$G$3),K219,E219)</f>
        <v>-3320</v>
      </c>
      <c r="Q219" s="150" t="str">
        <f t="shared" si="17"/>
        <v>5-Ventes</v>
      </c>
      <c r="R219" s="149" t="str">
        <f t="shared" si="18"/>
        <v>430</v>
      </c>
      <c r="S219" s="150">
        <f t="shared" si="19"/>
        <v>0</v>
      </c>
      <c r="T219" s="152" t="str">
        <f>+VLOOKUP($L219,Data_Validation!$A:$D,1,0)</f>
        <v>430T</v>
      </c>
      <c r="U219" s="152" t="str">
        <f>+VLOOKUP($L219,Data_Validation!$A:$D,3,0)</f>
        <v>Véhicules neufs</v>
      </c>
      <c r="V219" s="152" t="str">
        <f>+VLOOKUP($L219,Data_Validation!$A:$D,4,0)</f>
        <v>Rev. Autres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1122</v>
      </c>
      <c r="B220" s="718" t="s">
        <v>1123</v>
      </c>
      <c r="C220" s="720">
        <v>-20688</v>
      </c>
      <c r="D220" s="720">
        <v>-8495</v>
      </c>
      <c r="E220" s="720">
        <v>-29183</v>
      </c>
      <c r="F220" s="718" t="s">
        <v>2008</v>
      </c>
      <c r="G220" s="718" t="s">
        <v>626</v>
      </c>
      <c r="H220" s="673"/>
      <c r="I220" s="672"/>
      <c r="J220" s="672"/>
      <c r="K220" s="672"/>
      <c r="L220" s="149" t="str">
        <f t="shared" si="15"/>
        <v>430U</v>
      </c>
      <c r="M220" s="150" t="str">
        <f t="shared" si="16"/>
        <v>VTE - ASSIST USURE NEUF BMW AUTO</v>
      </c>
      <c r="N220" s="151">
        <f>+IF(OR($Q220=Parametres!$G$2,$Q220=Parametres!$G$3),I220,C220)</f>
        <v>-20688</v>
      </c>
      <c r="O220" s="151">
        <f>+IF(OR($Q220=Parametres!$G$2,$Q220=Parametres!$G$3),J220,D220)</f>
        <v>-8495</v>
      </c>
      <c r="P220" s="151">
        <f>+IF(OR($Q220=Parametres!$G$2,$Q220=Parametres!$G$3),K220,E220)</f>
        <v>-29183</v>
      </c>
      <c r="Q220" s="150" t="str">
        <f t="shared" si="17"/>
        <v>5-Ventes</v>
      </c>
      <c r="R220" s="149" t="str">
        <f t="shared" si="18"/>
        <v>430</v>
      </c>
      <c r="S220" s="150">
        <f t="shared" si="19"/>
        <v>0</v>
      </c>
      <c r="T220" s="152" t="str">
        <f>+VLOOKUP($L220,Data_Validation!$A:$D,1,0)</f>
        <v>430U</v>
      </c>
      <c r="U220" s="152" t="str">
        <f>+VLOOKUP($L220,Data_Validation!$A:$D,3,0)</f>
        <v>Véhicules neufs</v>
      </c>
      <c r="V220" s="152" t="str">
        <f>+VLOOKUP($L220,Data_Validation!$A:$D,4,0)</f>
        <v>Rev. Protections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1127</v>
      </c>
      <c r="B221" s="718" t="s">
        <v>628</v>
      </c>
      <c r="C221" s="720">
        <v>-15199</v>
      </c>
      <c r="D221" s="720">
        <v>-44678.94</v>
      </c>
      <c r="E221" s="720">
        <v>-59877.94</v>
      </c>
      <c r="F221" s="718" t="s">
        <v>2008</v>
      </c>
      <c r="G221" s="718" t="s">
        <v>2013</v>
      </c>
      <c r="H221" s="666"/>
      <c r="I221" s="665"/>
      <c r="J221" s="665"/>
      <c r="K221" s="665"/>
      <c r="L221" s="149" t="str">
        <f t="shared" si="15"/>
        <v>432A</v>
      </c>
      <c r="M221" s="150" t="str">
        <f t="shared" si="16"/>
        <v>VTE - GAR PROL NEUF BMW AUTO</v>
      </c>
      <c r="N221" s="151">
        <f>+IF(OR($Q221=Parametres!$G$2,$Q221=Parametres!$G$3),I221,C221)</f>
        <v>-15199</v>
      </c>
      <c r="O221" s="151">
        <f>+IF(OR($Q221=Parametres!$G$2,$Q221=Parametres!$G$3),J221,D221)</f>
        <v>-44678.94</v>
      </c>
      <c r="P221" s="151">
        <f>+IF(OR($Q221=Parametres!$G$2,$Q221=Parametres!$G$3),K221,E221)</f>
        <v>-59877.94</v>
      </c>
      <c r="Q221" s="150" t="str">
        <f t="shared" si="17"/>
        <v>5-Ventes</v>
      </c>
      <c r="R221" s="149" t="str">
        <f t="shared" si="18"/>
        <v>432</v>
      </c>
      <c r="S221" s="150">
        <f t="shared" si="19"/>
        <v>0</v>
      </c>
      <c r="T221" s="152" t="str">
        <f>+VLOOKUP($L221,Data_Validation!$A:$D,1,0)</f>
        <v>432A</v>
      </c>
      <c r="U221" s="152" t="str">
        <f>+VLOOKUP($L221,Data_Validation!$A:$D,3,0)</f>
        <v>Véhicules neufs</v>
      </c>
      <c r="V221" s="152" t="str">
        <f>+VLOOKUP($L221,Data_Validation!$A:$D,4,0)</f>
        <v>Rev. Protections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2096</v>
      </c>
      <c r="B222" s="718" t="s">
        <v>2095</v>
      </c>
      <c r="C222" s="720">
        <v>-8010.1</v>
      </c>
      <c r="D222" s="720">
        <v>-5440</v>
      </c>
      <c r="E222" s="720">
        <v>-13450.1</v>
      </c>
      <c r="F222" s="718" t="s">
        <v>2008</v>
      </c>
      <c r="G222" s="718" t="s">
        <v>2368</v>
      </c>
      <c r="H222" s="673"/>
      <c r="I222" s="673"/>
      <c r="J222" s="673"/>
      <c r="K222" s="673"/>
      <c r="L222" s="149" t="str">
        <f t="shared" si="15"/>
        <v>434A</v>
      </c>
      <c r="M222" s="150" t="str">
        <f t="shared" si="16"/>
        <v>VTE - CONT ENTRT NEUF BMW AUTO</v>
      </c>
      <c r="N222" s="151">
        <f>+IF(OR($Q222=Parametres!$G$2,$Q222=Parametres!$G$3),I222,C222)</f>
        <v>-8010.1</v>
      </c>
      <c r="O222" s="151">
        <f>+IF(OR($Q222=Parametres!$G$2,$Q222=Parametres!$G$3),J222,D222)</f>
        <v>-5440</v>
      </c>
      <c r="P222" s="151">
        <f>+IF(OR($Q222=Parametres!$G$2,$Q222=Parametres!$G$3),K222,E222)</f>
        <v>-13450.1</v>
      </c>
      <c r="Q222" s="150" t="str">
        <f t="shared" si="17"/>
        <v>5-Ventes</v>
      </c>
      <c r="R222" s="149" t="str">
        <f t="shared" si="18"/>
        <v>434</v>
      </c>
      <c r="S222" s="150">
        <f t="shared" si="19"/>
        <v>0</v>
      </c>
      <c r="T222" s="152" t="str">
        <f>+VLOOKUP($L222,Data_Validation!$A:$D,1,0)</f>
        <v>434A</v>
      </c>
      <c r="U222" s="152" t="str">
        <f>+VLOOKUP($L222,Data_Validation!$A:$D,3,0)</f>
        <v>Véhicules neufs</v>
      </c>
      <c r="V222" s="152" t="str">
        <f>+VLOOKUP($L222,Data_Validation!$A:$D,4,0)</f>
        <v>Rev. Protections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1092</v>
      </c>
      <c r="B223" s="718" t="s">
        <v>421</v>
      </c>
      <c r="C223" s="720">
        <v>-587357.78</v>
      </c>
      <c r="D223" s="720">
        <v>-276142.3</v>
      </c>
      <c r="E223" s="720">
        <v>-863500.08</v>
      </c>
      <c r="F223" s="718" t="s">
        <v>2008</v>
      </c>
      <c r="G223" s="718" t="s">
        <v>421</v>
      </c>
      <c r="H223" s="673"/>
      <c r="I223" s="672"/>
      <c r="J223" s="672"/>
      <c r="K223" s="672"/>
      <c r="L223" s="149" t="str">
        <f t="shared" si="15"/>
        <v>440A</v>
      </c>
      <c r="M223" s="150" t="str">
        <f t="shared" si="16"/>
        <v>VTE - USAGE BMW AUTO CERT</v>
      </c>
      <c r="N223" s="151">
        <f>+IF(OR($Q223=Parametres!$G$2,$Q223=Parametres!$G$3),I223,C223)</f>
        <v>-587357.78</v>
      </c>
      <c r="O223" s="504">
        <f>+IF(OR($Q223=Parametres!$G$2,$Q223=Parametres!$G$3),J223,D223)</f>
        <v>-276142.3</v>
      </c>
      <c r="P223" s="151">
        <f>+IF(OR($Q223=Parametres!$G$2,$Q223=Parametres!$G$3),K223,E223)</f>
        <v>-863500.08</v>
      </c>
      <c r="Q223" s="150" t="str">
        <f t="shared" si="17"/>
        <v>5-Ventes</v>
      </c>
      <c r="R223" s="149" t="str">
        <f t="shared" si="18"/>
        <v>440A</v>
      </c>
      <c r="S223" s="150">
        <f t="shared" si="19"/>
        <v>0</v>
      </c>
      <c r="T223" s="152" t="str">
        <f>+VLOOKUP($L223,Data_Validation!$A:$D,1,0)</f>
        <v>440A</v>
      </c>
      <c r="U223" s="152" t="str">
        <f>+VLOOKUP($L223,Data_Validation!$A:$D,3,0)</f>
        <v>Véhicules usagés</v>
      </c>
      <c r="V223" s="152" t="str">
        <f>+VLOOKUP($L223,Data_Validation!$A:$D,4,0)</f>
        <v>Certifié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1396</v>
      </c>
      <c r="B224" s="718" t="s">
        <v>417</v>
      </c>
      <c r="C224" s="720">
        <v>-186198</v>
      </c>
      <c r="D224" s="720">
        <v>-147342</v>
      </c>
      <c r="E224" s="720">
        <v>-333540</v>
      </c>
      <c r="F224" s="718" t="s">
        <v>2008</v>
      </c>
      <c r="G224" s="718" t="s">
        <v>417</v>
      </c>
      <c r="H224" s="673"/>
      <c r="I224" s="672"/>
      <c r="J224" s="672"/>
      <c r="K224" s="672"/>
      <c r="L224" s="149" t="str">
        <f t="shared" si="15"/>
        <v>440B</v>
      </c>
      <c r="M224" s="150" t="str">
        <f t="shared" si="16"/>
        <v>VTE - USAGE BMW AUTO NON-CERT</v>
      </c>
      <c r="N224" s="151">
        <f>+IF(OR($Q224=Parametres!$G$2,$Q224=Parametres!$G$3),I224,C224)</f>
        <v>-186198</v>
      </c>
      <c r="O224" s="504">
        <f>+IF(OR($Q224=Parametres!$G$2,$Q224=Parametres!$G$3),J224,D224)</f>
        <v>-147342</v>
      </c>
      <c r="P224" s="151">
        <f>+IF(OR($Q224=Parametres!$G$2,$Q224=Parametres!$G$3),K224,E224)</f>
        <v>-333540</v>
      </c>
      <c r="Q224" s="150" t="str">
        <f t="shared" si="17"/>
        <v>5-Ventes</v>
      </c>
      <c r="R224" s="149" t="str">
        <f t="shared" si="18"/>
        <v>440B</v>
      </c>
      <c r="S224" s="150">
        <f t="shared" si="19"/>
        <v>0</v>
      </c>
      <c r="T224" s="152" t="str">
        <f>+VLOOKUP($L224,Data_Validation!$A:$D,1,0)</f>
        <v>440B</v>
      </c>
      <c r="U224" s="152" t="str">
        <f>+VLOOKUP($L224,Data_Validation!$A:$D,3,0)</f>
        <v>Véhicules usagés</v>
      </c>
      <c r="V224" s="152" t="str">
        <f>+VLOOKUP($L224,Data_Validation!$A:$D,4,0)</f>
        <v>Non Certifié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1083</v>
      </c>
      <c r="B225" s="718" t="s">
        <v>385</v>
      </c>
      <c r="C225" s="719">
        <v>-262141.47</v>
      </c>
      <c r="D225" s="719">
        <v>-462633</v>
      </c>
      <c r="E225" s="719">
        <v>-724774.47</v>
      </c>
      <c r="F225" s="718" t="s">
        <v>2008</v>
      </c>
      <c r="G225" s="718" t="s">
        <v>385</v>
      </c>
      <c r="H225" s="719"/>
      <c r="I225" s="720"/>
      <c r="J225" s="720"/>
      <c r="K225" s="720"/>
      <c r="L225" s="149" t="str">
        <f t="shared" si="15"/>
        <v>442</v>
      </c>
      <c r="M225" s="150" t="str">
        <f t="shared" si="16"/>
        <v>VTE - USAGE AUTRES</v>
      </c>
      <c r="N225" s="151">
        <f>+IF(OR($Q225=Parametres!$G$2,$Q225=Parametres!$G$3),I225,C225)</f>
        <v>-262141.47</v>
      </c>
      <c r="O225" s="151">
        <f>+IF(OR($Q225=Parametres!$G$2,$Q225=Parametres!$G$3),J225,D225)</f>
        <v>-462633</v>
      </c>
      <c r="P225" s="151">
        <f>+IF(OR($Q225=Parametres!$G$2,$Q225=Parametres!$G$3),K225,E225)</f>
        <v>-724774.47</v>
      </c>
      <c r="Q225" s="150" t="str">
        <f t="shared" si="17"/>
        <v>5-Ventes</v>
      </c>
      <c r="R225" s="149" t="str">
        <f t="shared" si="18"/>
        <v>442</v>
      </c>
      <c r="S225" s="150">
        <f t="shared" si="19"/>
        <v>0</v>
      </c>
      <c r="T225" s="152" t="str">
        <f>+VLOOKUP($L225,Data_Validation!$A:$D,1,0)</f>
        <v>442</v>
      </c>
      <c r="U225" s="152" t="str">
        <f>+VLOOKUP($L225,Data_Validation!$A:$D,3,0)</f>
        <v>Véhicules usagés</v>
      </c>
      <c r="V225" s="152" t="str">
        <f>+VLOOKUP($L225,Data_Validation!$A:$D,4,0)</f>
        <v>Autres marques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1072</v>
      </c>
      <c r="B226" s="718" t="s">
        <v>1073</v>
      </c>
      <c r="C226" s="719">
        <v>-271148</v>
      </c>
      <c r="D226" s="719">
        <v>-19000</v>
      </c>
      <c r="E226" s="719">
        <v>-290148</v>
      </c>
      <c r="F226" s="718" t="s">
        <v>2008</v>
      </c>
      <c r="G226" s="718" t="s">
        <v>1073</v>
      </c>
      <c r="H226" s="719"/>
      <c r="I226" s="720"/>
      <c r="J226" s="720"/>
      <c r="K226" s="720"/>
      <c r="L226" s="149" t="str">
        <f t="shared" si="15"/>
        <v>444A</v>
      </c>
      <c r="M226" s="150" t="str">
        <f t="shared" si="16"/>
        <v>VTE - GROS BMW AUTO</v>
      </c>
      <c r="N226" s="151">
        <f>+IF(OR($Q226=Parametres!$G$2,$Q226=Parametres!$G$3),I226,C226)</f>
        <v>-271148</v>
      </c>
      <c r="O226" s="501">
        <f>+IF(OR($Q226=Parametres!$G$2,$Q226=Parametres!$G$3),J226,D226)</f>
        <v>-19000</v>
      </c>
      <c r="P226" s="151">
        <f>+IF(OR($Q226=Parametres!$G$2,$Q226=Parametres!$G$3),K226,E226)</f>
        <v>-290148</v>
      </c>
      <c r="Q226" s="150" t="str">
        <f t="shared" si="17"/>
        <v>5-Ventes</v>
      </c>
      <c r="R226" s="149" t="str">
        <f t="shared" si="18"/>
        <v>444A</v>
      </c>
      <c r="S226" s="150">
        <f t="shared" si="19"/>
        <v>0</v>
      </c>
      <c r="T226" s="152" t="str">
        <f>+VLOOKUP($L226,Data_Validation!$A:$D,1,0)</f>
        <v>444A</v>
      </c>
      <c r="U226" s="152" t="str">
        <f>+VLOOKUP($L226,Data_Validation!$A:$D,3,0)</f>
        <v>Véhicules usagés</v>
      </c>
      <c r="V226" s="152" t="str">
        <f>+VLOOKUP($L226,Data_Validation!$A:$D,4,0)</f>
        <v>Ventes au Gros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1071</v>
      </c>
      <c r="B227" s="718" t="s">
        <v>399</v>
      </c>
      <c r="C227" s="719">
        <v>-104700</v>
      </c>
      <c r="D227" s="719">
        <v>-115200</v>
      </c>
      <c r="E227" s="719">
        <v>-219900</v>
      </c>
      <c r="F227" s="718" t="s">
        <v>2008</v>
      </c>
      <c r="G227" s="718" t="s">
        <v>399</v>
      </c>
      <c r="H227" s="719"/>
      <c r="I227" s="720"/>
      <c r="J227" s="720"/>
      <c r="K227" s="720"/>
      <c r="L227" s="149" t="str">
        <f t="shared" si="15"/>
        <v>444B</v>
      </c>
      <c r="M227" s="150" t="str">
        <f t="shared" si="16"/>
        <v>VTE - GROS BMW CAMION</v>
      </c>
      <c r="N227" s="151">
        <f>+IF(OR($Q227=Parametres!$G$2,$Q227=Parametres!$G$3),I227,C227)</f>
        <v>-104700</v>
      </c>
      <c r="O227" s="151">
        <f>+IF(OR($Q227=Parametres!$G$2,$Q227=Parametres!$G$3),J227,D227)</f>
        <v>-115200</v>
      </c>
      <c r="P227" s="151">
        <f>+IF(OR($Q227=Parametres!$G$2,$Q227=Parametres!$G$3),K227,E227)</f>
        <v>-219900</v>
      </c>
      <c r="Q227" s="150" t="str">
        <f t="shared" si="17"/>
        <v>5-Ventes</v>
      </c>
      <c r="R227" s="149" t="str">
        <f t="shared" si="18"/>
        <v>444B</v>
      </c>
      <c r="S227" s="150">
        <f t="shared" si="19"/>
        <v>0</v>
      </c>
      <c r="T227" s="152" t="str">
        <f>+VLOOKUP($L227,Data_Validation!$A:$D,1,0)</f>
        <v>444B</v>
      </c>
      <c r="U227" s="152" t="str">
        <f>+VLOOKUP($L227,Data_Validation!$A:$D,3,0)</f>
        <v>Véhicules usagés</v>
      </c>
      <c r="V227" s="152" t="str">
        <f>+VLOOKUP($L227,Data_Validation!$A:$D,4,0)</f>
        <v>Ventes au Gros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1077</v>
      </c>
      <c r="B228" s="718" t="s">
        <v>402</v>
      </c>
      <c r="C228" s="719">
        <v>-750600</v>
      </c>
      <c r="D228" s="719">
        <v>-327000</v>
      </c>
      <c r="E228" s="719">
        <v>-1077600</v>
      </c>
      <c r="F228" s="718" t="s">
        <v>2008</v>
      </c>
      <c r="G228" s="718" t="s">
        <v>402</v>
      </c>
      <c r="H228" s="719"/>
      <c r="I228" s="720"/>
      <c r="J228" s="720"/>
      <c r="K228" s="720"/>
      <c r="L228" s="149" t="str">
        <f t="shared" si="15"/>
        <v>444C</v>
      </c>
      <c r="M228" s="150" t="str">
        <f t="shared" si="16"/>
        <v>VTE - GROS AUTRES</v>
      </c>
      <c r="N228" s="151">
        <f>+IF(OR($Q228=Parametres!$G$2,$Q228=Parametres!$G$3),I228,C228)</f>
        <v>-750600</v>
      </c>
      <c r="O228" s="151">
        <f>+IF(OR($Q228=Parametres!$G$2,$Q228=Parametres!$G$3),J228,D228)</f>
        <v>-327000</v>
      </c>
      <c r="P228" s="151">
        <f>+IF(OR($Q228=Parametres!$G$2,$Q228=Parametres!$G$3),K228,E228)</f>
        <v>-1077600</v>
      </c>
      <c r="Q228" s="150" t="str">
        <f t="shared" si="17"/>
        <v>5-Ventes</v>
      </c>
      <c r="R228" s="149" t="str">
        <f t="shared" si="18"/>
        <v>444C</v>
      </c>
      <c r="S228" s="150">
        <f t="shared" si="19"/>
        <v>0</v>
      </c>
      <c r="T228" s="152" t="str">
        <f>+VLOOKUP($L228,Data_Validation!$A:$D,1,0)</f>
        <v>444C</v>
      </c>
      <c r="U228" s="152" t="str">
        <f>+VLOOKUP($L228,Data_Validation!$A:$D,3,0)</f>
        <v>Véhicules usagés</v>
      </c>
      <c r="V228" s="152" t="str">
        <f>+VLOOKUP($L228,Data_Validation!$A:$D,4,0)</f>
        <v>Ventes au Gros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1087</v>
      </c>
      <c r="B229" s="718" t="s">
        <v>419</v>
      </c>
      <c r="C229" s="720">
        <v>-421635.94</v>
      </c>
      <c r="D229" s="720">
        <v>-231315.07</v>
      </c>
      <c r="E229" s="720">
        <v>-652951.01</v>
      </c>
      <c r="F229" s="718" t="s">
        <v>2008</v>
      </c>
      <c r="G229" s="718" t="s">
        <v>419</v>
      </c>
      <c r="H229" s="673"/>
      <c r="I229" s="673"/>
      <c r="J229" s="673"/>
      <c r="K229" s="673"/>
      <c r="L229" s="149" t="str">
        <f t="shared" si="15"/>
        <v>446A</v>
      </c>
      <c r="M229" s="150" t="str">
        <f t="shared" si="16"/>
        <v>VTE - USAGE BMW CAMION CERT</v>
      </c>
      <c r="N229" s="151">
        <f>+IF(OR($Q229=Parametres!$G$2,$Q229=Parametres!$G$3),I229,C229)</f>
        <v>-421635.94</v>
      </c>
      <c r="O229" s="151">
        <f>+IF(OR($Q229=Parametres!$G$2,$Q229=Parametres!$G$3),J229,D229)</f>
        <v>-231315.07</v>
      </c>
      <c r="P229" s="151">
        <f>+IF(OR($Q229=Parametres!$G$2,$Q229=Parametres!$G$3),K229,E229)</f>
        <v>-652951.01</v>
      </c>
      <c r="Q229" s="150" t="str">
        <f t="shared" si="17"/>
        <v>5-Ventes</v>
      </c>
      <c r="R229" s="149" t="str">
        <f t="shared" si="18"/>
        <v>446A</v>
      </c>
      <c r="S229" s="150">
        <f t="shared" si="19"/>
        <v>0</v>
      </c>
      <c r="T229" s="152" t="str">
        <f>+VLOOKUP($L229,Data_Validation!$A:$D,1,0)</f>
        <v>446A</v>
      </c>
      <c r="U229" s="152" t="str">
        <f>+VLOOKUP($L229,Data_Validation!$A:$D,3,0)</f>
        <v>Véhicules usagés</v>
      </c>
      <c r="V229" s="152" t="str">
        <f>+VLOOKUP($L229,Data_Validation!$A:$D,4,0)</f>
        <v>Certifié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1089</v>
      </c>
      <c r="B230" s="718" t="s">
        <v>405</v>
      </c>
      <c r="C230" s="720">
        <v>-330050.15000000002</v>
      </c>
      <c r="D230" s="720">
        <v>-184700</v>
      </c>
      <c r="E230" s="720">
        <v>-514750.15</v>
      </c>
      <c r="F230" s="718" t="s">
        <v>2008</v>
      </c>
      <c r="G230" s="718" t="s">
        <v>405</v>
      </c>
      <c r="H230" s="673"/>
      <c r="I230" s="672"/>
      <c r="J230" s="672"/>
      <c r="K230" s="672"/>
      <c r="L230" s="149" t="str">
        <f t="shared" si="15"/>
        <v>446B</v>
      </c>
      <c r="M230" s="150" t="str">
        <f t="shared" si="16"/>
        <v>VTE - USAGE BMW CAMION NON-CERT</v>
      </c>
      <c r="N230" s="151">
        <f>+IF(OR($Q230=Parametres!$G$2,$Q230=Parametres!$G$3),I230,C230)</f>
        <v>-330050.15000000002</v>
      </c>
      <c r="O230" s="151">
        <f>+IF(OR($Q230=Parametres!$G$2,$Q230=Parametres!$G$3),J230,D230)</f>
        <v>-184700</v>
      </c>
      <c r="P230" s="151">
        <f>+IF(OR($Q230=Parametres!$G$2,$Q230=Parametres!$G$3),K230,E230)</f>
        <v>-514750.15</v>
      </c>
      <c r="Q230" s="150" t="str">
        <f t="shared" si="17"/>
        <v>5-Ventes</v>
      </c>
      <c r="R230" s="149" t="str">
        <f t="shared" si="18"/>
        <v>446B</v>
      </c>
      <c r="S230" s="150">
        <f t="shared" si="19"/>
        <v>0</v>
      </c>
      <c r="T230" s="152" t="str">
        <f>+VLOOKUP($L230,Data_Validation!$A:$D,1,0)</f>
        <v>446B</v>
      </c>
      <c r="U230" s="152" t="str">
        <f>+VLOOKUP($L230,Data_Validation!$A:$D,3,0)</f>
        <v>Véhicules usagés</v>
      </c>
      <c r="V230" s="152" t="str">
        <f>+VLOOKUP($L230,Data_Validation!$A:$D,4,0)</f>
        <v>Non Certifié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629</v>
      </c>
      <c r="B231" s="718" t="s">
        <v>630</v>
      </c>
      <c r="C231" s="719">
        <v>0</v>
      </c>
      <c r="D231" s="719">
        <v>-151506.5</v>
      </c>
      <c r="E231" s="719">
        <v>-151506.5</v>
      </c>
      <c r="F231" s="718" t="s">
        <v>2008</v>
      </c>
      <c r="G231" s="718" t="s">
        <v>630</v>
      </c>
      <c r="H231" s="719"/>
      <c r="I231" s="720"/>
      <c r="J231" s="720"/>
      <c r="K231" s="720"/>
      <c r="L231" s="149" t="str">
        <f t="shared" si="15"/>
        <v>447</v>
      </c>
      <c r="M231" s="150" t="str">
        <f t="shared" si="16"/>
        <v>VTE - X5 M</v>
      </c>
      <c r="N231" s="151">
        <f>+IF(OR($Q231=Parametres!$G$2,$Q231=Parametres!$G$3),I231,C231)</f>
        <v>0</v>
      </c>
      <c r="O231" s="151">
        <f>+IF(OR($Q231=Parametres!$G$2,$Q231=Parametres!$G$3),J231,D231)</f>
        <v>-151506.5</v>
      </c>
      <c r="P231" s="151">
        <f>+IF(OR($Q231=Parametres!$G$2,$Q231=Parametres!$G$3),K231,E231)</f>
        <v>-151506.5</v>
      </c>
      <c r="Q231" s="150" t="str">
        <f t="shared" si="17"/>
        <v>5-Ventes</v>
      </c>
      <c r="R231" s="149" t="str">
        <f t="shared" si="18"/>
        <v>447</v>
      </c>
      <c r="S231" s="150">
        <f t="shared" si="19"/>
        <v>0</v>
      </c>
      <c r="T231" s="152" t="str">
        <f>+VLOOKUP($L231,Data_Validation!$A:$D,1,0)</f>
        <v>447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1397</v>
      </c>
      <c r="B232" s="718" t="s">
        <v>401</v>
      </c>
      <c r="C232" s="720">
        <v>-231157.25</v>
      </c>
      <c r="D232" s="720">
        <v>-76702.69</v>
      </c>
      <c r="E232" s="720">
        <v>-307859.94</v>
      </c>
      <c r="F232" s="718" t="s">
        <v>2008</v>
      </c>
      <c r="G232" s="718" t="s">
        <v>401</v>
      </c>
      <c r="H232" s="673"/>
      <c r="I232" s="672"/>
      <c r="J232" s="672"/>
      <c r="K232" s="672"/>
      <c r="L232" s="149" t="str">
        <f t="shared" si="15"/>
        <v>448</v>
      </c>
      <c r="M232" s="150" t="str">
        <f t="shared" si="16"/>
        <v>VTE - RACHAT LOCATION BMW</v>
      </c>
      <c r="N232" s="151">
        <f>+IF(OR($Q232=Parametres!$G$2,$Q232=Parametres!$G$3),I232,C232)</f>
        <v>-231157.25</v>
      </c>
      <c r="O232" s="151">
        <f>+IF(OR($Q232=Parametres!$G$2,$Q232=Parametres!$G$3),J232,D232)</f>
        <v>-76702.69</v>
      </c>
      <c r="P232" s="151">
        <f>+IF(OR($Q232=Parametres!$G$2,$Q232=Parametres!$G$3),K232,E232)</f>
        <v>-307859.94</v>
      </c>
      <c r="Q232" s="150" t="str">
        <f t="shared" si="17"/>
        <v>5-Ventes</v>
      </c>
      <c r="R232" s="149" t="str">
        <f t="shared" si="18"/>
        <v>448</v>
      </c>
      <c r="S232" s="150">
        <f t="shared" si="19"/>
        <v>0</v>
      </c>
      <c r="T232" s="152" t="str">
        <f>+VLOOKUP($L232,Data_Validation!$A:$D,1,0)</f>
        <v>448</v>
      </c>
      <c r="U232" s="152" t="str">
        <f>+VLOOKUP($L232,Data_Validation!$A:$D,3,0)</f>
        <v>Véhicules neufs</v>
      </c>
      <c r="V232" s="152" t="str">
        <f>+VLOOKUP($L232,Data_Validation!$A:$D,4,0)</f>
        <v>Rachat bail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1187</v>
      </c>
      <c r="B233" s="718" t="s">
        <v>1013</v>
      </c>
      <c r="C233" s="720">
        <v>-5187</v>
      </c>
      <c r="D233" s="720">
        <v>-1995</v>
      </c>
      <c r="E233" s="720">
        <v>-7182</v>
      </c>
      <c r="F233" s="718" t="s">
        <v>2008</v>
      </c>
      <c r="G233" s="718" t="s">
        <v>1013</v>
      </c>
      <c r="H233" s="673"/>
      <c r="I233" s="672"/>
      <c r="J233" s="672"/>
      <c r="K233" s="672"/>
      <c r="L233" s="149" t="str">
        <f t="shared" si="15"/>
        <v>450</v>
      </c>
      <c r="M233" s="150" t="str">
        <f t="shared" si="16"/>
        <v>VTES -MARQUAGE USAGE BMW CERT</v>
      </c>
      <c r="N233" s="151">
        <f>+IF(OR($Q233=Parametres!$G$2,$Q233=Parametres!$G$3),I233,C233)</f>
        <v>-5187</v>
      </c>
      <c r="O233" s="151">
        <f>+IF(OR($Q233=Parametres!$G$2,$Q233=Parametres!$G$3),J233,D233)</f>
        <v>-1995</v>
      </c>
      <c r="P233" s="151">
        <f>+IF(OR($Q233=Parametres!$G$2,$Q233=Parametres!$G$3),K233,E233)</f>
        <v>-7182</v>
      </c>
      <c r="Q233" s="150" t="str">
        <f t="shared" si="17"/>
        <v>5-Ventes</v>
      </c>
      <c r="R233" s="149" t="str">
        <f t="shared" si="18"/>
        <v>450</v>
      </c>
      <c r="S233" s="150">
        <f t="shared" si="19"/>
        <v>0</v>
      </c>
      <c r="T233" s="152" t="str">
        <f>+VLOOKUP($L233,Data_Validation!$A:$D,1,0)</f>
        <v>450</v>
      </c>
      <c r="U233" s="152" t="str">
        <f>+VLOOKUP($L233,Data_Validation!$A:$D,3,0)</f>
        <v>Véhicules usagés</v>
      </c>
      <c r="V233" s="152" t="str">
        <f>+VLOOKUP($L233,Data_Validation!$A:$D,4,0)</f>
        <v>Rev. Autres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1399</v>
      </c>
      <c r="B234" s="718" t="s">
        <v>631</v>
      </c>
      <c r="C234" s="719">
        <v>0</v>
      </c>
      <c r="D234" s="719">
        <v>-2000</v>
      </c>
      <c r="E234" s="719">
        <v>-2000</v>
      </c>
      <c r="F234" s="718" t="s">
        <v>2008</v>
      </c>
      <c r="G234" s="718" t="s">
        <v>1013</v>
      </c>
      <c r="H234" s="719"/>
      <c r="I234" s="720"/>
      <c r="J234" s="720"/>
      <c r="K234" s="720"/>
      <c r="L234" s="149" t="str">
        <f t="shared" si="15"/>
        <v>450C</v>
      </c>
      <c r="M234" s="150" t="str">
        <f t="shared" si="16"/>
        <v>VTES -ACCESSOIRES USAGE BMW CERT</v>
      </c>
      <c r="N234" s="151">
        <f>+IF(OR($Q234=Parametres!$G$2,$Q234=Parametres!$G$3),I234,C234)</f>
        <v>0</v>
      </c>
      <c r="O234" s="151">
        <f>+IF(OR($Q234=Parametres!$G$2,$Q234=Parametres!$G$3),J234,D234)</f>
        <v>-2000</v>
      </c>
      <c r="P234" s="151">
        <f>+IF(OR($Q234=Parametres!$G$2,$Q234=Parametres!$G$3),K234,E234)</f>
        <v>-2000</v>
      </c>
      <c r="Q234" s="150" t="str">
        <f t="shared" si="17"/>
        <v>5-Ventes</v>
      </c>
      <c r="R234" s="149" t="str">
        <f t="shared" si="18"/>
        <v>450</v>
      </c>
      <c r="S234" s="150">
        <f t="shared" si="19"/>
        <v>0</v>
      </c>
      <c r="T234" s="152" t="str">
        <f>+VLOOKUP($L234,Data_Validation!$A:$D,1,0)</f>
        <v>450C</v>
      </c>
      <c r="U234" s="152" t="str">
        <f>+VLOOKUP($L234,Data_Validation!$A:$D,3,0)</f>
        <v>Véhicules usagés</v>
      </c>
      <c r="V234" s="152" t="str">
        <f>+VLOOKUP($L234,Data_Validation!$A:$D,4,0)</f>
        <v>Rev. Autres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1191</v>
      </c>
      <c r="B235" s="718" t="s">
        <v>1192</v>
      </c>
      <c r="C235" s="720">
        <v>-8085</v>
      </c>
      <c r="D235" s="720">
        <v>0</v>
      </c>
      <c r="E235" s="720">
        <v>-8085</v>
      </c>
      <c r="F235" s="718" t="s">
        <v>2008</v>
      </c>
      <c r="G235" s="718" t="s">
        <v>1013</v>
      </c>
      <c r="H235" s="673"/>
      <c r="I235" s="672"/>
      <c r="J235" s="672"/>
      <c r="K235" s="672"/>
      <c r="L235" s="149" t="str">
        <f t="shared" si="15"/>
        <v>450E</v>
      </c>
      <c r="M235" s="150" t="str">
        <f t="shared" si="16"/>
        <v>VTE - PROTEC ESTHETIQUE USAGE BMW AUTO</v>
      </c>
      <c r="N235" s="151">
        <f>+IF(OR($Q235=Parametres!$G$2,$Q235=Parametres!$G$3),I235,C235)</f>
        <v>-8085</v>
      </c>
      <c r="O235" s="151">
        <f>+IF(OR($Q235=Parametres!$G$2,$Q235=Parametres!$G$3),J235,D235)</f>
        <v>0</v>
      </c>
      <c r="P235" s="151">
        <f>+IF(OR($Q235=Parametres!$G$2,$Q235=Parametres!$G$3),K235,E235)</f>
        <v>-8085</v>
      </c>
      <c r="Q235" s="150" t="str">
        <f t="shared" si="17"/>
        <v>5-Ventes</v>
      </c>
      <c r="R235" s="149" t="str">
        <f t="shared" si="18"/>
        <v>450</v>
      </c>
      <c r="S235" s="150">
        <f t="shared" si="19"/>
        <v>0</v>
      </c>
      <c r="T235" s="152" t="str">
        <f>+VLOOKUP($L235,Data_Validation!$A:$D,1,0)</f>
        <v>450E</v>
      </c>
      <c r="U235" s="152" t="str">
        <f>+VLOOKUP($L235,Data_Validation!$A:$D,3,0)</f>
        <v>Véhicules usagés</v>
      </c>
      <c r="V235" s="152" t="str">
        <f>+VLOOKUP($L235,Data_Validation!$A:$D,4,0)</f>
        <v>Rev. Protections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1651</v>
      </c>
      <c r="B236" s="718" t="s">
        <v>438</v>
      </c>
      <c r="C236" s="720">
        <v>-8131.19</v>
      </c>
      <c r="D236" s="720">
        <v>-3183.65</v>
      </c>
      <c r="E236" s="720">
        <v>-11314.84</v>
      </c>
      <c r="F236" s="718" t="s">
        <v>2008</v>
      </c>
      <c r="G236" s="718" t="s">
        <v>1013</v>
      </c>
      <c r="H236" s="673"/>
      <c r="I236" s="672"/>
      <c r="J236" s="672"/>
      <c r="K236" s="672"/>
      <c r="L236" s="149" t="str">
        <f t="shared" si="15"/>
        <v>450F</v>
      </c>
      <c r="M236" s="150" t="str">
        <f t="shared" si="16"/>
        <v>VTE - RIST FINANCE USAGE BMW AUTO</v>
      </c>
      <c r="N236" s="151">
        <f>+IF(OR($Q236=Parametres!$G$2,$Q236=Parametres!$G$3),I236,C236)</f>
        <v>-8131.19</v>
      </c>
      <c r="O236" s="151">
        <f>+IF(OR($Q236=Parametres!$G$2,$Q236=Parametres!$G$3),J236,D236)</f>
        <v>-3183.65</v>
      </c>
      <c r="P236" s="151">
        <f>+IF(OR($Q236=Parametres!$G$2,$Q236=Parametres!$G$3),K236,E236)</f>
        <v>-11314.84</v>
      </c>
      <c r="Q236" s="150" t="str">
        <f t="shared" si="17"/>
        <v>5-Ventes</v>
      </c>
      <c r="R236" s="149" t="str">
        <f t="shared" si="18"/>
        <v>450</v>
      </c>
      <c r="S236" s="150">
        <f t="shared" si="19"/>
        <v>0</v>
      </c>
      <c r="T236" s="152" t="str">
        <f>+VLOOKUP($L236,Data_Validation!$A:$D,1,0)</f>
        <v>450F</v>
      </c>
      <c r="U236" s="152" t="str">
        <f>+VLOOKUP($L236,Data_Validation!$A:$D,3,0)</f>
        <v>Véhicules usagés</v>
      </c>
      <c r="V236" s="152" t="str">
        <f>+VLOOKUP($L236,Data_Validation!$A:$D,4,0)</f>
        <v>Rev. Finances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1079</v>
      </c>
      <c r="B237" s="718" t="s">
        <v>1080</v>
      </c>
      <c r="C237" s="720">
        <v>-128273.5</v>
      </c>
      <c r="D237" s="720">
        <v>0</v>
      </c>
      <c r="E237" s="720">
        <v>-128273.5</v>
      </c>
      <c r="F237" s="718" t="s">
        <v>2008</v>
      </c>
      <c r="G237" s="718" t="s">
        <v>1013</v>
      </c>
      <c r="H237" s="666"/>
      <c r="I237" s="665"/>
      <c r="J237" s="665"/>
      <c r="K237" s="665"/>
      <c r="L237" s="149" t="str">
        <f t="shared" si="15"/>
        <v>450H</v>
      </c>
      <c r="M237" s="150" t="str">
        <f t="shared" si="16"/>
        <v>VTES -VTE - M850I XDR GRAN COUPE</v>
      </c>
      <c r="N237" s="151">
        <f>+IF(OR($Q237=Parametres!$G$2,$Q237=Parametres!$G$3),I237,C237)</f>
        <v>-128273.5</v>
      </c>
      <c r="O237" s="151">
        <f>+IF(OR($Q237=Parametres!$G$2,$Q237=Parametres!$G$3),J237,D237)</f>
        <v>0</v>
      </c>
      <c r="P237" s="151">
        <f>+IF(OR($Q237=Parametres!$G$2,$Q237=Parametres!$G$3),K237,E237)</f>
        <v>-128273.5</v>
      </c>
      <c r="Q237" s="150" t="str">
        <f t="shared" si="17"/>
        <v>5-Ventes</v>
      </c>
      <c r="R237" s="149" t="str">
        <f t="shared" si="18"/>
        <v>450</v>
      </c>
      <c r="S237" s="150">
        <f t="shared" si="19"/>
        <v>0</v>
      </c>
      <c r="T237" s="152" t="str">
        <f>+VLOOKUP($L237,Data_Validation!$A:$D,1,0)</f>
        <v>450H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1400</v>
      </c>
      <c r="B238" s="718" t="s">
        <v>1401</v>
      </c>
      <c r="C238" s="720">
        <v>-675</v>
      </c>
      <c r="D238" s="720">
        <v>0</v>
      </c>
      <c r="E238" s="720">
        <v>-675</v>
      </c>
      <c r="F238" s="718" t="s">
        <v>2008</v>
      </c>
      <c r="G238" s="718" t="s">
        <v>1013</v>
      </c>
      <c r="H238" s="673"/>
      <c r="I238" s="672"/>
      <c r="J238" s="672"/>
      <c r="K238" s="672"/>
      <c r="L238" s="149" t="str">
        <f t="shared" si="15"/>
        <v>450P</v>
      </c>
      <c r="M238" s="150" t="str">
        <f t="shared" si="16"/>
        <v>VTES -PROTEC PNEUS/JANTES USAGE BMW CERT</v>
      </c>
      <c r="N238" s="151">
        <f>+IF(OR($Q238=Parametres!$G$2,$Q238=Parametres!$G$3),I238,C238)</f>
        <v>-675</v>
      </c>
      <c r="O238" s="151">
        <f>+IF(OR($Q238=Parametres!$G$2,$Q238=Parametres!$G$3),J238,D238)</f>
        <v>0</v>
      </c>
      <c r="P238" s="151">
        <f>+IF(OR($Q238=Parametres!$G$2,$Q238=Parametres!$G$3),K238,E238)</f>
        <v>-675</v>
      </c>
      <c r="Q238" s="150" t="str">
        <f t="shared" si="17"/>
        <v>5-Ventes</v>
      </c>
      <c r="R238" s="149" t="str">
        <f t="shared" si="18"/>
        <v>450</v>
      </c>
      <c r="S238" s="150">
        <f t="shared" si="19"/>
        <v>0</v>
      </c>
      <c r="T238" s="152" t="str">
        <f>+VLOOKUP($L238,Data_Validation!$A:$D,1,0)</f>
        <v>450P</v>
      </c>
      <c r="U238" s="152" t="str">
        <f>+VLOOKUP($L238,Data_Validation!$A:$D,3,0)</f>
        <v>Véhicules usagés</v>
      </c>
      <c r="V238" s="152" t="str">
        <f>+VLOOKUP($L238,Data_Validation!$A:$D,4,0)</f>
        <v>Rev. Protections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2014</v>
      </c>
      <c r="B239" s="718" t="s">
        <v>2015</v>
      </c>
      <c r="C239" s="720">
        <v>-1526</v>
      </c>
      <c r="D239" s="720">
        <v>0</v>
      </c>
      <c r="E239" s="720">
        <v>-1526</v>
      </c>
      <c r="F239" s="718" t="s">
        <v>2008</v>
      </c>
      <c r="G239" s="718" t="s">
        <v>1013</v>
      </c>
      <c r="H239" s="673"/>
      <c r="I239" s="672"/>
      <c r="J239" s="672"/>
      <c r="K239" s="672"/>
      <c r="L239" s="149" t="str">
        <f t="shared" si="15"/>
        <v>450R</v>
      </c>
      <c r="M239" s="150" t="str">
        <f t="shared" si="16"/>
        <v>VTES -ASS. REMP. USAGE BMW CERT</v>
      </c>
      <c r="N239" s="151">
        <f>+IF(OR($Q239=Parametres!$G$2,$Q239=Parametres!$G$3),I239,C239)</f>
        <v>-1526</v>
      </c>
      <c r="O239" s="151">
        <f>+IF(OR($Q239=Parametres!$G$2,$Q239=Parametres!$G$3),J239,D239)</f>
        <v>0</v>
      </c>
      <c r="P239" s="151">
        <f>+IF(OR($Q239=Parametres!$G$2,$Q239=Parametres!$G$3),K239,E239)</f>
        <v>-1526</v>
      </c>
      <c r="Q239" s="150" t="str">
        <f t="shared" si="17"/>
        <v>5-Ventes</v>
      </c>
      <c r="R239" s="149" t="str">
        <f t="shared" si="18"/>
        <v>450</v>
      </c>
      <c r="S239" s="150">
        <f t="shared" si="19"/>
        <v>0</v>
      </c>
      <c r="T239" s="152" t="str">
        <f>+VLOOKUP($L239,Data_Validation!$A:$D,1,0)</f>
        <v>450R</v>
      </c>
      <c r="U239" s="152" t="str">
        <f>+VLOOKUP($L239,Data_Validation!$A:$D,3,0)</f>
        <v>Véhicules usagés</v>
      </c>
      <c r="V239" s="152" t="str">
        <f>+VLOOKUP($L239,Data_Validation!$A:$D,4,0)</f>
        <v>Rev. Protections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1408</v>
      </c>
      <c r="B240" s="718" t="s">
        <v>375</v>
      </c>
      <c r="C240" s="719">
        <v>-3392.99</v>
      </c>
      <c r="D240" s="719">
        <v>-2394</v>
      </c>
      <c r="E240" s="719">
        <v>-5786.99</v>
      </c>
      <c r="F240" s="718" t="s">
        <v>2008</v>
      </c>
      <c r="G240" s="718" t="s">
        <v>375</v>
      </c>
      <c r="H240" s="719"/>
      <c r="I240" s="720"/>
      <c r="J240" s="720"/>
      <c r="K240" s="720"/>
      <c r="L240" s="149" t="str">
        <f t="shared" si="15"/>
        <v>451</v>
      </c>
      <c r="M240" s="150" t="str">
        <f t="shared" si="16"/>
        <v>VTES -VTE - MARQUAGE USAGE AUTRE</v>
      </c>
      <c r="N240" s="151">
        <f>+IF(OR($Q240=Parametres!$G$2,$Q240=Parametres!$G$3),I240,C240)</f>
        <v>-3392.99</v>
      </c>
      <c r="O240" s="151">
        <f>+IF(OR($Q240=Parametres!$G$2,$Q240=Parametres!$G$3),J240,D240)</f>
        <v>-2394</v>
      </c>
      <c r="P240" s="151">
        <f>+IF(OR($Q240=Parametres!$G$2,$Q240=Parametres!$G$3),K240,E240)</f>
        <v>-5786.99</v>
      </c>
      <c r="Q240" s="150" t="str">
        <f t="shared" si="17"/>
        <v>5-Ventes</v>
      </c>
      <c r="R240" s="149" t="str">
        <f t="shared" si="18"/>
        <v>451</v>
      </c>
      <c r="S240" s="150">
        <f t="shared" si="19"/>
        <v>0</v>
      </c>
      <c r="T240" s="152" t="str">
        <f>+VLOOKUP($L240,Data_Validation!$A:$D,1,0)</f>
        <v>451</v>
      </c>
      <c r="U240" s="152" t="str">
        <f>+VLOOKUP($L240,Data_Validation!$A:$D,3,0)</f>
        <v>Véhicules usagés</v>
      </c>
      <c r="V240" s="152" t="str">
        <f>+VLOOKUP($L240,Data_Validation!$A:$D,4,0)</f>
        <v>Rev. Autres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1106</v>
      </c>
      <c r="B241" s="718" t="s">
        <v>369</v>
      </c>
      <c r="C241" s="719">
        <v>-51496.89</v>
      </c>
      <c r="D241" s="719">
        <v>-7659</v>
      </c>
      <c r="E241" s="719">
        <v>-59155.89</v>
      </c>
      <c r="F241" s="718" t="s">
        <v>2008</v>
      </c>
      <c r="G241" s="718" t="s">
        <v>369</v>
      </c>
      <c r="H241" s="719"/>
      <c r="I241" s="720"/>
      <c r="J241" s="720"/>
      <c r="K241" s="720"/>
      <c r="L241" s="149" t="str">
        <f t="shared" si="15"/>
        <v>452</v>
      </c>
      <c r="M241" s="150" t="str">
        <f t="shared" si="16"/>
        <v>VTES -GAR PROL USAGE BMW CERT</v>
      </c>
      <c r="N241" s="151">
        <f>+IF(OR($Q241=Parametres!$G$2,$Q241=Parametres!$G$3),I241,C241)</f>
        <v>-51496.89</v>
      </c>
      <c r="O241" s="151">
        <f>+IF(OR($Q241=Parametres!$G$2,$Q241=Parametres!$G$3),J241,D241)</f>
        <v>-7659</v>
      </c>
      <c r="P241" s="151">
        <f>+IF(OR($Q241=Parametres!$G$2,$Q241=Parametres!$G$3),K241,E241)</f>
        <v>-59155.89</v>
      </c>
      <c r="Q241" s="150" t="str">
        <f t="shared" si="17"/>
        <v>5-Ventes</v>
      </c>
      <c r="R241" s="149" t="str">
        <f t="shared" si="18"/>
        <v>452</v>
      </c>
      <c r="S241" s="150">
        <f t="shared" si="19"/>
        <v>0</v>
      </c>
      <c r="T241" s="152" t="str">
        <f>+VLOOKUP($L241,Data_Validation!$A:$D,1,0)</f>
        <v>452</v>
      </c>
      <c r="U241" s="152" t="str">
        <f>+VLOOKUP($L241,Data_Validation!$A:$D,3,0)</f>
        <v>Véhicules usagés</v>
      </c>
      <c r="V241" s="152" t="str">
        <f>+VLOOKUP($L241,Data_Validation!$A:$D,4,0)</f>
        <v>Rev. Protections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633</v>
      </c>
      <c r="B242" s="671" t="s">
        <v>634</v>
      </c>
      <c r="C242" s="672">
        <v>-90973.5</v>
      </c>
      <c r="D242" s="672">
        <v>-95973.5</v>
      </c>
      <c r="E242" s="672">
        <v>-186947</v>
      </c>
      <c r="F242" s="671" t="s">
        <v>2008</v>
      </c>
      <c r="G242" s="671" t="s">
        <v>634</v>
      </c>
      <c r="H242" s="666"/>
      <c r="I242" s="665"/>
      <c r="J242" s="665"/>
      <c r="K242" s="665"/>
      <c r="L242" s="149" t="str">
        <f t="shared" si="15"/>
        <v>452B</v>
      </c>
      <c r="M242" s="150" t="str">
        <f t="shared" si="16"/>
        <v>VTES -VTES - Z4 M40I</v>
      </c>
      <c r="N242" s="151">
        <f>+IF(OR($Q242=Parametres!$G$2,$Q242=Parametres!$G$3),I242,C242)</f>
        <v>-90973.5</v>
      </c>
      <c r="O242" s="151">
        <f>+IF(OR($Q242=Parametres!$G$2,$Q242=Parametres!$G$3),J242,D242)</f>
        <v>-95973.5</v>
      </c>
      <c r="P242" s="151">
        <f>+IF(OR($Q242=Parametres!$G$2,$Q242=Parametres!$G$3),K242,E242)</f>
        <v>-186947</v>
      </c>
      <c r="Q242" s="150" t="str">
        <f t="shared" si="17"/>
        <v>5-Ventes</v>
      </c>
      <c r="R242" s="149" t="str">
        <f t="shared" si="18"/>
        <v>452B</v>
      </c>
      <c r="S242" s="150">
        <f t="shared" si="19"/>
        <v>0</v>
      </c>
      <c r="T242" s="152" t="str">
        <f>+VLOOKUP($L242,Data_Validation!$A:$D,1,0)</f>
        <v>452B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1986</v>
      </c>
      <c r="B243" s="671" t="s">
        <v>1987</v>
      </c>
      <c r="C243" s="672">
        <v>-27425.77</v>
      </c>
      <c r="D243" s="672">
        <v>-27895</v>
      </c>
      <c r="E243" s="672">
        <v>-55320.77</v>
      </c>
      <c r="F243" s="671" t="s">
        <v>2008</v>
      </c>
      <c r="G243" s="671" t="s">
        <v>369</v>
      </c>
      <c r="H243" s="666"/>
      <c r="I243" s="665"/>
      <c r="J243" s="665"/>
      <c r="K243" s="665"/>
      <c r="L243" s="149" t="str">
        <f t="shared" si="15"/>
        <v>452C</v>
      </c>
      <c r="M243" s="150" t="str">
        <f t="shared" si="16"/>
        <v>VTES -GAR PROL USAGE BMW NON-CERT</v>
      </c>
      <c r="N243" s="151">
        <f>+IF(OR($Q243=Parametres!$G$2,$Q243=Parametres!$G$3),I243,C243)</f>
        <v>-27425.77</v>
      </c>
      <c r="O243" s="151">
        <f>+IF(OR($Q243=Parametres!$G$2,$Q243=Parametres!$G$3),J243,D243)</f>
        <v>-27895</v>
      </c>
      <c r="P243" s="151">
        <f>+IF(OR($Q243=Parametres!$G$2,$Q243=Parametres!$G$3),K243,E243)</f>
        <v>-55320.77</v>
      </c>
      <c r="Q243" s="150" t="str">
        <f t="shared" si="17"/>
        <v>5-Ventes</v>
      </c>
      <c r="R243" s="149" t="str">
        <f t="shared" si="18"/>
        <v>452</v>
      </c>
      <c r="S243" s="150">
        <f t="shared" si="19"/>
        <v>0</v>
      </c>
      <c r="T243" s="152" t="str">
        <f>+VLOOKUP($L243,Data_Validation!$A:$D,1,0)</f>
        <v>452C</v>
      </c>
      <c r="U243" s="152" t="str">
        <f>+VLOOKUP($L243,Data_Validation!$A:$D,3,0)</f>
        <v>Véhicules usagés</v>
      </c>
      <c r="V243" s="152" t="str">
        <f>+VLOOKUP($L243,Data_Validation!$A:$D,4,0)</f>
        <v>Rev. Protections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1225</v>
      </c>
      <c r="B244" s="671" t="s">
        <v>370</v>
      </c>
      <c r="C244" s="672">
        <v>-1895.95</v>
      </c>
      <c r="D244" s="672">
        <v>-7068.6</v>
      </c>
      <c r="E244" s="672">
        <v>-8964.5499999999993</v>
      </c>
      <c r="F244" s="671" t="s">
        <v>2008</v>
      </c>
      <c r="G244" s="671" t="s">
        <v>370</v>
      </c>
      <c r="H244" s="666"/>
      <c r="I244" s="665"/>
      <c r="J244" s="665"/>
      <c r="K244" s="665"/>
      <c r="L244" s="149" t="str">
        <f t="shared" si="15"/>
        <v>453</v>
      </c>
      <c r="M244" s="150" t="str">
        <f t="shared" si="16"/>
        <v>VTE - RIST FINANCE USAGE AUTRE</v>
      </c>
      <c r="N244" s="151">
        <f>+IF(OR($Q244=Parametres!$G$2,$Q244=Parametres!$G$3),I244,C244)</f>
        <v>-1895.95</v>
      </c>
      <c r="O244" s="151">
        <f>+IF(OR($Q244=Parametres!$G$2,$Q244=Parametres!$G$3),J244,D244)</f>
        <v>-7068.6</v>
      </c>
      <c r="P244" s="151">
        <f>+IF(OR($Q244=Parametres!$G$2,$Q244=Parametres!$G$3),K244,E244)</f>
        <v>-8964.5499999999993</v>
      </c>
      <c r="Q244" s="150" t="str">
        <f t="shared" si="17"/>
        <v>5-Ventes</v>
      </c>
      <c r="R244" s="149" t="str">
        <f t="shared" si="18"/>
        <v>453</v>
      </c>
      <c r="S244" s="150">
        <f t="shared" si="19"/>
        <v>0</v>
      </c>
      <c r="T244" s="152" t="str">
        <f>+VLOOKUP($L244,Data_Validation!$A:$D,1,0)</f>
        <v>453</v>
      </c>
      <c r="U244" s="152" t="str">
        <f>+VLOOKUP($L244,Data_Validation!$A:$D,3,0)</f>
        <v>Véhicules usagés</v>
      </c>
      <c r="V244" s="152" t="str">
        <f>+VLOOKUP($L244,Data_Validation!$A:$D,4,0)</f>
        <v>Rev. Finances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2147</v>
      </c>
      <c r="B245" s="671" t="s">
        <v>2148</v>
      </c>
      <c r="C245" s="672">
        <v>-4860</v>
      </c>
      <c r="D245" s="672">
        <v>-1670</v>
      </c>
      <c r="E245" s="672">
        <v>-6530</v>
      </c>
      <c r="F245" s="671" t="s">
        <v>2008</v>
      </c>
      <c r="G245" s="671" t="s">
        <v>2369</v>
      </c>
      <c r="H245" s="666"/>
      <c r="I245" s="665"/>
      <c r="J245" s="665"/>
      <c r="K245" s="665"/>
      <c r="L245" s="149" t="str">
        <f t="shared" si="15"/>
        <v>454A</v>
      </c>
      <c r="M245" s="150" t="str">
        <f t="shared" si="16"/>
        <v>VTES -CONT ENTRET USAGE BMW NON-CERT</v>
      </c>
      <c r="N245" s="151">
        <f>+IF(OR($Q245=Parametres!$G$2,$Q245=Parametres!$G$3),I245,C245)</f>
        <v>-4860</v>
      </c>
      <c r="O245" s="151">
        <f>+IF(OR($Q245=Parametres!$G$2,$Q245=Parametres!$G$3),J245,D245)</f>
        <v>-1670</v>
      </c>
      <c r="P245" s="151">
        <f>+IF(OR($Q245=Parametres!$G$2,$Q245=Parametres!$G$3),K245,E245)</f>
        <v>-6530</v>
      </c>
      <c r="Q245" s="150" t="str">
        <f t="shared" si="17"/>
        <v>5-Ventes</v>
      </c>
      <c r="R245" s="149" t="str">
        <f t="shared" si="18"/>
        <v>454</v>
      </c>
      <c r="S245" s="150">
        <f t="shared" si="19"/>
        <v>0</v>
      </c>
      <c r="T245" s="152" t="str">
        <f>+VLOOKUP($L245,Data_Validation!$A:$D,1,0)</f>
        <v>454A</v>
      </c>
      <c r="U245" s="152" t="str">
        <f>+VLOOKUP($L245,Data_Validation!$A:$D,3,0)</f>
        <v>Véhicules usagés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2068</v>
      </c>
      <c r="B246" s="671" t="s">
        <v>2069</v>
      </c>
      <c r="C246" s="672">
        <v>-1950</v>
      </c>
      <c r="D246" s="672">
        <v>0</v>
      </c>
      <c r="E246" s="672">
        <v>-1950</v>
      </c>
      <c r="F246" s="671" t="s">
        <v>2008</v>
      </c>
      <c r="G246" s="671" t="s">
        <v>1013</v>
      </c>
      <c r="H246" s="666"/>
      <c r="I246" s="665"/>
      <c r="J246" s="665"/>
      <c r="K246" s="665"/>
      <c r="L246" s="149" t="str">
        <f t="shared" si="15"/>
        <v>454E</v>
      </c>
      <c r="M246" s="150" t="str">
        <f t="shared" si="16"/>
        <v>VTES -PROTEC ESTHETIQUE USAGE BMW NON-CERT</v>
      </c>
      <c r="N246" s="151">
        <f>+IF(OR($Q246=Parametres!$G$2,$Q246=Parametres!$G$3),I246,C246)</f>
        <v>-1950</v>
      </c>
      <c r="O246" s="151">
        <f>+IF(OR($Q246=Parametres!$G$2,$Q246=Parametres!$G$3),J246,D246)</f>
        <v>0</v>
      </c>
      <c r="P246" s="151">
        <f>+IF(OR($Q246=Parametres!$G$2,$Q246=Parametres!$G$3),K246,E246)</f>
        <v>-1950</v>
      </c>
      <c r="Q246" s="150" t="str">
        <f t="shared" si="17"/>
        <v>5-Ventes</v>
      </c>
      <c r="R246" s="149" t="str">
        <f t="shared" si="18"/>
        <v>450</v>
      </c>
      <c r="S246" s="150">
        <f t="shared" si="19"/>
        <v>0</v>
      </c>
      <c r="T246" s="152" t="str">
        <f>+VLOOKUP($L246,Data_Validation!$A:$D,1,0)</f>
        <v>454E</v>
      </c>
      <c r="U246" s="152" t="str">
        <f>+VLOOKUP($L246,Data_Validation!$A:$D,3,0)</f>
        <v>Véhicules usagés</v>
      </c>
      <c r="V246" s="152" t="str">
        <f>+VLOOKUP($L246,Data_Validation!$A:$D,4,0)</f>
        <v>Rev. Protections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1953</v>
      </c>
      <c r="B247" s="671" t="s">
        <v>1954</v>
      </c>
      <c r="C247" s="672">
        <v>-3851.63</v>
      </c>
      <c r="D247" s="672">
        <v>-2899.54</v>
      </c>
      <c r="E247" s="672">
        <v>-6751.17</v>
      </c>
      <c r="F247" s="671" t="s">
        <v>2008</v>
      </c>
      <c r="G247" s="671" t="s">
        <v>1013</v>
      </c>
      <c r="H247" s="666"/>
      <c r="I247" s="665"/>
      <c r="J247" s="665"/>
      <c r="K247" s="665"/>
      <c r="L247" s="149" t="str">
        <f t="shared" si="15"/>
        <v>454F</v>
      </c>
      <c r="M247" s="150" t="str">
        <f t="shared" si="16"/>
        <v>VTES -RIST FINANCE USAGE BMW NON-CERT</v>
      </c>
      <c r="N247" s="151">
        <f>+IF(OR($Q247=Parametres!$G$2,$Q247=Parametres!$G$3),I247,C247)</f>
        <v>-3851.63</v>
      </c>
      <c r="O247" s="151">
        <f>+IF(OR($Q247=Parametres!$G$2,$Q247=Parametres!$G$3),J247,D247)</f>
        <v>-2899.54</v>
      </c>
      <c r="P247" s="151">
        <f>+IF(OR($Q247=Parametres!$G$2,$Q247=Parametres!$G$3),K247,E247)</f>
        <v>-6751.17</v>
      </c>
      <c r="Q247" s="150" t="str">
        <f t="shared" si="17"/>
        <v>5-Ventes</v>
      </c>
      <c r="R247" s="149" t="str">
        <f t="shared" si="18"/>
        <v>450</v>
      </c>
      <c r="S247" s="150">
        <f t="shared" si="19"/>
        <v>0</v>
      </c>
      <c r="T247" s="152" t="str">
        <f>+VLOOKUP($L247,Data_Validation!$A:$D,1,0)</f>
        <v>454F</v>
      </c>
      <c r="U247" s="152" t="str">
        <f>+VLOOKUP($L247,Data_Validation!$A:$D,3,0)</f>
        <v>Véhicules usagés</v>
      </c>
      <c r="V247" s="152" t="str">
        <f>+VLOOKUP($L247,Data_Validation!$A:$D,4,0)</f>
        <v>Rev. Finances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1955</v>
      </c>
      <c r="B248" s="718" t="s">
        <v>1956</v>
      </c>
      <c r="C248" s="720">
        <v>-3990</v>
      </c>
      <c r="D248" s="720">
        <v>-3192</v>
      </c>
      <c r="E248" s="720">
        <v>-7182</v>
      </c>
      <c r="F248" s="718" t="s">
        <v>2008</v>
      </c>
      <c r="G248" s="718" t="s">
        <v>1013</v>
      </c>
      <c r="H248" s="673"/>
      <c r="I248" s="672"/>
      <c r="J248" s="672"/>
      <c r="K248" s="672"/>
      <c r="L248" s="149" t="str">
        <f t="shared" si="15"/>
        <v>454M</v>
      </c>
      <c r="M248" s="150" t="str">
        <f t="shared" si="16"/>
        <v>VTES -MARQUAGE USAGE BMW NON-CERT</v>
      </c>
      <c r="N248" s="151">
        <f>+IF(OR($Q248=Parametres!$G$2,$Q248=Parametres!$G$3),I248,C248)</f>
        <v>-3990</v>
      </c>
      <c r="O248" s="504">
        <f>+IF(OR($Q248=Parametres!$G$2,$Q248=Parametres!$G$3),J248,D248)</f>
        <v>-3192</v>
      </c>
      <c r="P248" s="151">
        <f>+IF(OR($Q248=Parametres!$G$2,$Q248=Parametres!$G$3),K248,E248)</f>
        <v>-7182</v>
      </c>
      <c r="Q248" s="150" t="str">
        <f t="shared" si="17"/>
        <v>5-Ventes</v>
      </c>
      <c r="R248" s="149" t="str">
        <f t="shared" si="18"/>
        <v>450</v>
      </c>
      <c r="S248" s="150">
        <f t="shared" si="19"/>
        <v>0</v>
      </c>
      <c r="T248" s="152" t="str">
        <f>+VLOOKUP($L248,Data_Validation!$A:$D,1,0)</f>
        <v>454M</v>
      </c>
      <c r="U248" s="152" t="str">
        <f>+VLOOKUP($L248,Data_Validation!$A:$D,3,0)</f>
        <v>Véhicules usagés</v>
      </c>
      <c r="V248" s="152" t="str">
        <f>+VLOOKUP($L248,Data_Validation!$A:$D,4,0)</f>
        <v>Rev. Protections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2861</v>
      </c>
      <c r="B249" s="718" t="s">
        <v>2862</v>
      </c>
      <c r="C249" s="720">
        <v>-795</v>
      </c>
      <c r="D249" s="720">
        <v>0</v>
      </c>
      <c r="E249" s="720">
        <v>-795</v>
      </c>
      <c r="F249" s="718" t="s">
        <v>2008</v>
      </c>
      <c r="G249" s="718" t="s">
        <v>1013</v>
      </c>
      <c r="H249" s="673"/>
      <c r="I249" s="672"/>
      <c r="J249" s="672"/>
      <c r="K249" s="672"/>
      <c r="L249" s="149" t="str">
        <f t="shared" si="15"/>
        <v>454T</v>
      </c>
      <c r="M249" s="150" t="str">
        <f t="shared" si="16"/>
        <v>VTES -TRAITEMENT OTOPROTEC USAGE BMW NON-CERT</v>
      </c>
      <c r="N249" s="151">
        <f>+IF(OR($Q249=Parametres!$G$2,$Q249=Parametres!$G$3),I249,C249)</f>
        <v>-795</v>
      </c>
      <c r="O249" s="151">
        <f>+IF(OR($Q249=Parametres!$G$2,$Q249=Parametres!$G$3),J249,D249)</f>
        <v>0</v>
      </c>
      <c r="P249" s="151">
        <f>+IF(OR($Q249=Parametres!$G$2,$Q249=Parametres!$G$3),K249,E249)</f>
        <v>-795</v>
      </c>
      <c r="Q249" s="150" t="str">
        <f t="shared" si="17"/>
        <v>5-Ventes</v>
      </c>
      <c r="R249" s="149" t="str">
        <f t="shared" si="18"/>
        <v>450</v>
      </c>
      <c r="S249" s="150">
        <f t="shared" si="19"/>
        <v>0</v>
      </c>
      <c r="T249" s="152" t="str">
        <f>+VLOOKUP($L249,Data_Validation!$A:$D,1,0)</f>
        <v>454T</v>
      </c>
      <c r="U249" s="152" t="str">
        <f>+VLOOKUP($L249,Data_Validation!$A:$D,3,0)</f>
        <v>Véhicules usagés</v>
      </c>
      <c r="V249" s="152" t="str">
        <f>+VLOOKUP($L249,Data_Validation!$A:$D,4,0)</f>
        <v>Rev. Autres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1412</v>
      </c>
      <c r="B250" s="671" t="s">
        <v>367</v>
      </c>
      <c r="C250" s="672">
        <v>0</v>
      </c>
      <c r="D250" s="672">
        <v>-13845</v>
      </c>
      <c r="E250" s="672">
        <v>-13845</v>
      </c>
      <c r="F250" s="671" t="s">
        <v>2008</v>
      </c>
      <c r="G250" s="671" t="s">
        <v>367</v>
      </c>
      <c r="H250" s="666"/>
      <c r="I250" s="665"/>
      <c r="J250" s="665"/>
      <c r="K250" s="665"/>
      <c r="L250" s="149" t="str">
        <f t="shared" si="15"/>
        <v>455</v>
      </c>
      <c r="M250" s="150" t="str">
        <f t="shared" si="16"/>
        <v>VTE - GAR PROL USAGE AUTRE</v>
      </c>
      <c r="N250" s="151">
        <f>+IF(OR($Q250=Parametres!$G$2,$Q250=Parametres!$G$3),I250,C250)</f>
        <v>0</v>
      </c>
      <c r="O250" s="151">
        <f>+IF(OR($Q250=Parametres!$G$2,$Q250=Parametres!$G$3),J250,D250)</f>
        <v>-13845</v>
      </c>
      <c r="P250" s="151">
        <f>+IF(OR($Q250=Parametres!$G$2,$Q250=Parametres!$G$3),K250,E250)</f>
        <v>-13845</v>
      </c>
      <c r="Q250" s="150" t="str">
        <f t="shared" si="17"/>
        <v>5-Ventes</v>
      </c>
      <c r="R250" s="149" t="str">
        <f t="shared" si="18"/>
        <v>455</v>
      </c>
      <c r="S250" s="150">
        <f t="shared" si="19"/>
        <v>0</v>
      </c>
      <c r="T250" s="152" t="str">
        <f>+VLOOKUP($L250,Data_Validation!$A:$D,1,0)</f>
        <v>455</v>
      </c>
      <c r="U250" s="152" t="str">
        <f>+VLOOKUP($L250,Data_Validation!$A:$D,3,0)</f>
        <v>Véhicules usagés</v>
      </c>
      <c r="V250" s="152" t="str">
        <f>+VLOOKUP($L250,Data_Validation!$A:$D,4,0)</f>
        <v>Rev. Protections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1179</v>
      </c>
      <c r="B251" s="718" t="s">
        <v>451</v>
      </c>
      <c r="C251" s="719">
        <v>-209.65</v>
      </c>
      <c r="D251" s="719">
        <v>-93.48</v>
      </c>
      <c r="E251" s="719">
        <v>-303.13</v>
      </c>
      <c r="F251" s="718" t="s">
        <v>2008</v>
      </c>
      <c r="G251" s="718" t="s">
        <v>451</v>
      </c>
      <c r="H251" s="719"/>
      <c r="I251" s="720"/>
      <c r="J251" s="720"/>
      <c r="K251" s="720"/>
      <c r="L251" s="149" t="str">
        <f t="shared" si="15"/>
        <v>459A</v>
      </c>
      <c r="M251" s="150" t="str">
        <f t="shared" si="16"/>
        <v>VTE - BMW SPA PROGRAMME</v>
      </c>
      <c r="N251" s="151">
        <f>+IF(OR($Q251=Parametres!$G$2,$Q251=Parametres!$G$3),I251,C251)</f>
        <v>-209.65</v>
      </c>
      <c r="O251" s="151">
        <f>+IF(OR($Q251=Parametres!$G$2,$Q251=Parametres!$G$3),J251,D251)</f>
        <v>-93.48</v>
      </c>
      <c r="P251" s="151">
        <f>+IF(OR($Q251=Parametres!$G$2,$Q251=Parametres!$G$3),K251,E251)</f>
        <v>-303.13</v>
      </c>
      <c r="Q251" s="150" t="str">
        <f t="shared" si="17"/>
        <v>5-Ventes</v>
      </c>
      <c r="R251" s="149" t="str">
        <f t="shared" si="18"/>
        <v>459A</v>
      </c>
      <c r="S251" s="150">
        <f t="shared" si="19"/>
        <v>0</v>
      </c>
      <c r="T251" s="152" t="str">
        <f>+VLOOKUP($L251,Data_Validation!$A:$D,1,0)</f>
        <v>459A</v>
      </c>
      <c r="U251" s="152" t="str">
        <f>+VLOOKUP($L251,Data_Validation!$A:$D,3,0)</f>
        <v>service</v>
      </c>
      <c r="V251" s="152" t="str">
        <f>+VLOOKUP($L251,Data_Validation!$A:$D,4,0)</f>
        <v>M/O Esthétique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2192</v>
      </c>
      <c r="B252" s="718" t="s">
        <v>2193</v>
      </c>
      <c r="C252" s="720">
        <v>-19571.14</v>
      </c>
      <c r="D252" s="720">
        <v>-28210.49</v>
      </c>
      <c r="E252" s="720">
        <v>-47781.63</v>
      </c>
      <c r="F252" s="718" t="s">
        <v>2008</v>
      </c>
      <c r="G252" s="718" t="s">
        <v>2425</v>
      </c>
      <c r="H252" s="666"/>
      <c r="I252" s="665"/>
      <c r="J252" s="665"/>
      <c r="K252" s="665"/>
      <c r="L252" s="149" t="str">
        <f t="shared" si="15"/>
        <v>459B</v>
      </c>
      <c r="M252" s="150" t="str">
        <f t="shared" si="16"/>
        <v>VTES -VTE - SUBLET ESTHETIQUE</v>
      </c>
      <c r="N252" s="151">
        <f>+IF(OR($Q252=Parametres!$G$2,$Q252=Parametres!$G$3),I252,C252)</f>
        <v>-19571.14</v>
      </c>
      <c r="O252" s="151">
        <f>+IF(OR($Q252=Parametres!$G$2,$Q252=Parametres!$G$3),J252,D252)</f>
        <v>-28210.49</v>
      </c>
      <c r="P252" s="151">
        <f>+IF(OR($Q252=Parametres!$G$2,$Q252=Parametres!$G$3),K252,E252)</f>
        <v>-47781.63</v>
      </c>
      <c r="Q252" s="150" t="str">
        <f t="shared" si="17"/>
        <v>5-Ventes</v>
      </c>
      <c r="R252" s="149" t="str">
        <f t="shared" si="18"/>
        <v>459</v>
      </c>
      <c r="S252" s="150">
        <f t="shared" si="19"/>
        <v>0</v>
      </c>
      <c r="T252" s="152" t="str">
        <f>+VLOOKUP($L252,Data_Validation!$A:$D,1,0)</f>
        <v>459B</v>
      </c>
      <c r="U252" s="152" t="str">
        <f>+VLOOKUP($L252,Data_Validation!$A:$D,3,0)</f>
        <v>Service</v>
      </c>
      <c r="V252" s="152" t="str">
        <f>+VLOOKUP($L252,Data_Validation!$A:$D,4,0)</f>
        <v>M/O Esthétique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1116</v>
      </c>
      <c r="B253" s="718" t="s">
        <v>1117</v>
      </c>
      <c r="C253" s="720">
        <v>-32964.42</v>
      </c>
      <c r="D253" s="720">
        <v>-35682.239999999998</v>
      </c>
      <c r="E253" s="720">
        <v>-68646.66</v>
      </c>
      <c r="F253" s="718" t="s">
        <v>2008</v>
      </c>
      <c r="G253" s="718" t="s">
        <v>1117</v>
      </c>
      <c r="H253" s="673"/>
      <c r="I253" s="672"/>
      <c r="J253" s="672"/>
      <c r="K253" s="672"/>
      <c r="L253" s="149" t="str">
        <f t="shared" si="15"/>
        <v>460A</v>
      </c>
      <c r="M253" s="150" t="str">
        <f t="shared" si="16"/>
        <v>VTE - M/O CLIENT BMW AUTO</v>
      </c>
      <c r="N253" s="151">
        <f>+IF(OR($Q253=Parametres!$G$2,$Q253=Parametres!$G$3),I253,C253)</f>
        <v>-32964.42</v>
      </c>
      <c r="O253" s="151">
        <f>+IF(OR($Q253=Parametres!$G$2,$Q253=Parametres!$G$3),J253,D253)</f>
        <v>-35682.239999999998</v>
      </c>
      <c r="P253" s="151">
        <f>+IF(OR($Q253=Parametres!$G$2,$Q253=Parametres!$G$3),K253,E253)</f>
        <v>-68646.66</v>
      </c>
      <c r="Q253" s="150" t="str">
        <f t="shared" si="17"/>
        <v>5-Ventes</v>
      </c>
      <c r="R253" s="149" t="str">
        <f t="shared" si="18"/>
        <v>460A</v>
      </c>
      <c r="S253" s="150">
        <f t="shared" si="19"/>
        <v>0</v>
      </c>
      <c r="T253" s="152" t="str">
        <f>+VLOOKUP($L253,Data_Validation!$A:$D,1,0)</f>
        <v>460A</v>
      </c>
      <c r="U253" s="152" t="str">
        <f>+VLOOKUP($L253,Data_Validation!$A:$D,3,0)</f>
        <v>service</v>
      </c>
      <c r="V253" s="152" t="str">
        <f>+VLOOKUP($L253,Data_Validation!$A:$D,4,0)</f>
        <v>M/O Client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1130</v>
      </c>
      <c r="B254" s="718" t="s">
        <v>416</v>
      </c>
      <c r="C254" s="720">
        <v>-64151.88</v>
      </c>
      <c r="D254" s="720">
        <v>-42518.27</v>
      </c>
      <c r="E254" s="720">
        <v>-106670.15</v>
      </c>
      <c r="F254" s="718" t="s">
        <v>2008</v>
      </c>
      <c r="G254" s="718" t="s">
        <v>1117</v>
      </c>
      <c r="H254" s="673"/>
      <c r="I254" s="672"/>
      <c r="J254" s="672"/>
      <c r="K254" s="672"/>
      <c r="L254" s="149" t="str">
        <f t="shared" si="15"/>
        <v>460B</v>
      </c>
      <c r="M254" s="150" t="str">
        <f t="shared" si="16"/>
        <v>VTE - M/O CLIENT BMW CAMION</v>
      </c>
      <c r="N254" s="151">
        <f>+IF(OR($Q254=Parametres!$G$2,$Q254=Parametres!$G$3),I254,C254)</f>
        <v>-64151.88</v>
      </c>
      <c r="O254" s="504">
        <f>+IF(OR($Q254=Parametres!$G$2,$Q254=Parametres!$G$3),J254,D254)</f>
        <v>-42518.27</v>
      </c>
      <c r="P254" s="151">
        <f>+IF(OR($Q254=Parametres!$G$2,$Q254=Parametres!$G$3),K254,E254)</f>
        <v>-106670.15</v>
      </c>
      <c r="Q254" s="150" t="str">
        <f t="shared" si="17"/>
        <v>5-Ventes</v>
      </c>
      <c r="R254" s="149" t="str">
        <f t="shared" si="18"/>
        <v>460A</v>
      </c>
      <c r="S254" s="150">
        <f t="shared" si="19"/>
        <v>0</v>
      </c>
      <c r="T254" s="152" t="str">
        <f>+VLOOKUP($L254,Data_Validation!$A:$D,1,0)</f>
        <v>460B</v>
      </c>
      <c r="U254" s="152" t="str">
        <f>+VLOOKUP($L254,Data_Validation!$A:$D,3,0)</f>
        <v>service</v>
      </c>
      <c r="V254" s="152" t="str">
        <f>+VLOOKUP($L254,Data_Validation!$A:$D,4,0)</f>
        <v>M/O Client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1014</v>
      </c>
      <c r="B255" s="718" t="s">
        <v>459</v>
      </c>
      <c r="C255" s="720">
        <v>-4152.95</v>
      </c>
      <c r="D255" s="720">
        <v>-6392.7</v>
      </c>
      <c r="E255" s="720">
        <v>-10545.65</v>
      </c>
      <c r="F255" s="718" t="s">
        <v>2008</v>
      </c>
      <c r="G255" s="718" t="s">
        <v>1117</v>
      </c>
      <c r="H255" s="673"/>
      <c r="I255" s="672"/>
      <c r="J255" s="672"/>
      <c r="K255" s="672"/>
      <c r="L255" s="149" t="str">
        <f t="shared" si="15"/>
        <v>460D</v>
      </c>
      <c r="M255" s="150" t="str">
        <f t="shared" si="16"/>
        <v>VTE - M/O CLIENT BMW I</v>
      </c>
      <c r="N255" s="151">
        <f>+IF(OR($Q255=Parametres!$G$2,$Q255=Parametres!$G$3),I255,C255)</f>
        <v>-4152.95</v>
      </c>
      <c r="O255" s="151">
        <f>+IF(OR($Q255=Parametres!$G$2,$Q255=Parametres!$G$3),J255,D255)</f>
        <v>-6392.7</v>
      </c>
      <c r="P255" s="151">
        <f>+IF(OR($Q255=Parametres!$G$2,$Q255=Parametres!$G$3),K255,E255)</f>
        <v>-10545.65</v>
      </c>
      <c r="Q255" s="150" t="str">
        <f t="shared" si="17"/>
        <v>5-Ventes</v>
      </c>
      <c r="R255" s="149" t="str">
        <f t="shared" si="18"/>
        <v>460A</v>
      </c>
      <c r="S255" s="150">
        <f t="shared" si="19"/>
        <v>0</v>
      </c>
      <c r="T255" s="152" t="str">
        <f>+VLOOKUP($L255,Data_Validation!$A:$D,1,0)</f>
        <v>460D</v>
      </c>
      <c r="U255" s="152" t="str">
        <f>+VLOOKUP($L255,Data_Validation!$A:$D,3,0)</f>
        <v>service</v>
      </c>
      <c r="V255" s="152" t="str">
        <f>+VLOOKUP($L255,Data_Validation!$A:$D,4,0)</f>
        <v>M/O Client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1128</v>
      </c>
      <c r="B256" s="718" t="s">
        <v>1111</v>
      </c>
      <c r="C256" s="720">
        <v>-9486.19</v>
      </c>
      <c r="D256" s="720">
        <v>-1959.71</v>
      </c>
      <c r="E256" s="720">
        <v>-11445.9</v>
      </c>
      <c r="F256" s="718" t="s">
        <v>2008</v>
      </c>
      <c r="G256" s="718" t="s">
        <v>1111</v>
      </c>
      <c r="H256" s="666"/>
      <c r="I256" s="665"/>
      <c r="J256" s="665"/>
      <c r="K256" s="665"/>
      <c r="L256" s="149" t="str">
        <f t="shared" si="15"/>
        <v>461A</v>
      </c>
      <c r="M256" s="150" t="str">
        <f t="shared" si="16"/>
        <v>VTE - M/O GARANTIE BMW AUTO</v>
      </c>
      <c r="N256" s="151">
        <f>+IF(OR($Q256=Parametres!$G$2,$Q256=Parametres!$G$3),I256,C256)</f>
        <v>-9486.19</v>
      </c>
      <c r="O256" s="151">
        <f>+IF(OR($Q256=Parametres!$G$2,$Q256=Parametres!$G$3),J256,D256)</f>
        <v>-1959.71</v>
      </c>
      <c r="P256" s="151">
        <f>+IF(OR($Q256=Parametres!$G$2,$Q256=Parametres!$G$3),K256,E256)</f>
        <v>-11445.9</v>
      </c>
      <c r="Q256" s="150" t="str">
        <f t="shared" si="17"/>
        <v>5-Ventes</v>
      </c>
      <c r="R256" s="149" t="str">
        <f t="shared" si="18"/>
        <v>461A</v>
      </c>
      <c r="S256" s="150">
        <f t="shared" si="19"/>
        <v>0</v>
      </c>
      <c r="T256" s="152" t="str">
        <f>+VLOOKUP($L256,Data_Validation!$A:$D,1,0)</f>
        <v>461A</v>
      </c>
      <c r="U256" s="152" t="str">
        <f>+VLOOKUP($L256,Data_Validation!$A:$D,3,0)</f>
        <v>service</v>
      </c>
      <c r="V256" s="152" t="str">
        <f>+VLOOKUP($L256,Data_Validation!$A:$D,4,0)</f>
        <v>M/O Garantie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1110</v>
      </c>
      <c r="B257" s="718" t="s">
        <v>437</v>
      </c>
      <c r="C257" s="719">
        <v>-17620.89</v>
      </c>
      <c r="D257" s="719">
        <v>-8426.56</v>
      </c>
      <c r="E257" s="719">
        <v>-26047.45</v>
      </c>
      <c r="F257" s="718" t="s">
        <v>2008</v>
      </c>
      <c r="G257" s="718" t="s">
        <v>1111</v>
      </c>
      <c r="H257" s="719"/>
      <c r="I257" s="720"/>
      <c r="J257" s="720"/>
      <c r="K257" s="720"/>
      <c r="L257" s="149" t="str">
        <f t="shared" si="15"/>
        <v>461B</v>
      </c>
      <c r="M257" s="150" t="str">
        <f t="shared" si="16"/>
        <v>VTE - M/O GARANTIE BMW CAMION</v>
      </c>
      <c r="N257" s="151">
        <f>+IF(OR($Q257=Parametres!$G$2,$Q257=Parametres!$G$3),I257,C257)</f>
        <v>-17620.89</v>
      </c>
      <c r="O257" s="151">
        <f>+IF(OR($Q257=Parametres!$G$2,$Q257=Parametres!$G$3),J257,D257)</f>
        <v>-8426.56</v>
      </c>
      <c r="P257" s="151">
        <f>+IF(OR($Q257=Parametres!$G$2,$Q257=Parametres!$G$3),K257,E257)</f>
        <v>-26047.45</v>
      </c>
      <c r="Q257" s="150" t="str">
        <f t="shared" si="17"/>
        <v>5-Ventes</v>
      </c>
      <c r="R257" s="149" t="str">
        <f t="shared" si="18"/>
        <v>461A</v>
      </c>
      <c r="S257" s="150">
        <f t="shared" si="19"/>
        <v>0</v>
      </c>
      <c r="T257" s="152" t="str">
        <f>+VLOOKUP($L257,Data_Validation!$A:$D,1,0)</f>
        <v>461B</v>
      </c>
      <c r="U257" s="152" t="str">
        <f>+VLOOKUP($L257,Data_Validation!$A:$D,3,0)</f>
        <v>service</v>
      </c>
      <c r="V257" s="152" t="str">
        <f>+VLOOKUP($L257,Data_Validation!$A:$D,4,0)</f>
        <v>M/O Garantie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1161</v>
      </c>
      <c r="B258" s="718" t="s">
        <v>442</v>
      </c>
      <c r="C258" s="720">
        <v>-6807.56</v>
      </c>
      <c r="D258" s="720">
        <v>-2733.62</v>
      </c>
      <c r="E258" s="720">
        <v>-9541.18</v>
      </c>
      <c r="F258" s="718" t="s">
        <v>2008</v>
      </c>
      <c r="G258" s="718" t="s">
        <v>442</v>
      </c>
      <c r="H258" s="673"/>
      <c r="I258" s="672"/>
      <c r="J258" s="672"/>
      <c r="K258" s="672"/>
      <c r="L258" s="149" t="str">
        <f t="shared" ref="L258:L321" si="20">+B258</f>
        <v>461D</v>
      </c>
      <c r="M258" s="150" t="str">
        <f t="shared" ref="M258:M321" si="21">+A258</f>
        <v>VTE - M/O ENTRETIEN BMW AUTO</v>
      </c>
      <c r="N258" s="151">
        <f>+IF(OR($Q258=Parametres!$G$2,$Q258=Parametres!$G$3),I258,C258)</f>
        <v>-6807.56</v>
      </c>
      <c r="O258" s="151">
        <f>+IF(OR($Q258=Parametres!$G$2,$Q258=Parametres!$G$3),J258,D258)</f>
        <v>-2733.62</v>
      </c>
      <c r="P258" s="151">
        <f>+IF(OR($Q258=Parametres!$G$2,$Q258=Parametres!$G$3),K258,E258)</f>
        <v>-9541.18</v>
      </c>
      <c r="Q258" s="150" t="str">
        <f t="shared" ref="Q258:Q321" si="22">+F258</f>
        <v>5-Ventes</v>
      </c>
      <c r="R258" s="149" t="str">
        <f t="shared" ref="R258:R321" si="23">+G258</f>
        <v>461D</v>
      </c>
      <c r="S258" s="150">
        <f t="shared" ref="S258:S321" si="24">+H258</f>
        <v>0</v>
      </c>
      <c r="T258" s="152" t="str">
        <f>+VLOOKUP($L258,Data_Validation!$A:$D,1,0)</f>
        <v>461D</v>
      </c>
      <c r="U258" s="152" t="str">
        <f>+VLOOKUP($L258,Data_Validation!$A:$D,3,0)</f>
        <v>service</v>
      </c>
      <c r="V258" s="152" t="str">
        <f>+VLOOKUP($L258,Data_Validation!$A:$D,4,0)</f>
        <v>M/O Garantie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1142</v>
      </c>
      <c r="B259" s="718" t="s">
        <v>436</v>
      </c>
      <c r="C259" s="720">
        <v>-17476.66</v>
      </c>
      <c r="D259" s="720">
        <v>-5453.98</v>
      </c>
      <c r="E259" s="720">
        <v>-22930.639999999999</v>
      </c>
      <c r="F259" s="718" t="s">
        <v>2008</v>
      </c>
      <c r="G259" s="718" t="s">
        <v>442</v>
      </c>
      <c r="H259" s="673"/>
      <c r="I259" s="672"/>
      <c r="J259" s="672"/>
      <c r="K259" s="672"/>
      <c r="L259" s="149" t="str">
        <f t="shared" si="20"/>
        <v>461E</v>
      </c>
      <c r="M259" s="150" t="str">
        <f t="shared" si="21"/>
        <v>VTE - M/O ENTRETIEN BMW CAMION</v>
      </c>
      <c r="N259" s="151">
        <f>+IF(OR($Q259=Parametres!$G$2,$Q259=Parametres!$G$3),I259,C259)</f>
        <v>-17476.66</v>
      </c>
      <c r="O259" s="151">
        <f>+IF(OR($Q259=Parametres!$G$2,$Q259=Parametres!$G$3),J259,D259)</f>
        <v>-5453.98</v>
      </c>
      <c r="P259" s="151">
        <f>+IF(OR($Q259=Parametres!$G$2,$Q259=Parametres!$G$3),K259,E259)</f>
        <v>-22930.639999999999</v>
      </c>
      <c r="Q259" s="150" t="str">
        <f t="shared" si="22"/>
        <v>5-Ventes</v>
      </c>
      <c r="R259" s="149" t="str">
        <f t="shared" si="23"/>
        <v>461D</v>
      </c>
      <c r="S259" s="150">
        <f t="shared" si="24"/>
        <v>0</v>
      </c>
      <c r="T259" s="152" t="str">
        <f>+VLOOKUP($L259,Data_Validation!$A:$D,1,0)</f>
        <v>461E</v>
      </c>
      <c r="U259" s="152" t="str">
        <f>+VLOOKUP($L259,Data_Validation!$A:$D,3,0)</f>
        <v>service</v>
      </c>
      <c r="V259" s="152" t="str">
        <f>+VLOOKUP($L259,Data_Validation!$A:$D,4,0)</f>
        <v>M/O Garantie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1223</v>
      </c>
      <c r="B260" s="718" t="s">
        <v>470</v>
      </c>
      <c r="C260" s="720">
        <v>-331.76</v>
      </c>
      <c r="D260" s="720">
        <v>-928.9</v>
      </c>
      <c r="E260" s="720">
        <v>-1260.6600000000001</v>
      </c>
      <c r="F260" s="718" t="s">
        <v>2008</v>
      </c>
      <c r="G260" s="718" t="s">
        <v>442</v>
      </c>
      <c r="H260" s="666"/>
      <c r="I260" s="665"/>
      <c r="J260" s="665"/>
      <c r="K260" s="665"/>
      <c r="L260" s="149" t="str">
        <f t="shared" si="20"/>
        <v>461G</v>
      </c>
      <c r="M260" s="150" t="str">
        <f t="shared" si="21"/>
        <v>VTE - M/O ENTRETIEN BMW I</v>
      </c>
      <c r="N260" s="151">
        <f>+IF(OR($Q260=Parametres!$G$2,$Q260=Parametres!$G$3),I260,C260)</f>
        <v>-331.76</v>
      </c>
      <c r="O260" s="151">
        <f>+IF(OR($Q260=Parametres!$G$2,$Q260=Parametres!$G$3),J260,D260)</f>
        <v>-928.9</v>
      </c>
      <c r="P260" s="151">
        <f>+IF(OR($Q260=Parametres!$G$2,$Q260=Parametres!$G$3),K260,E260)</f>
        <v>-1260.6600000000001</v>
      </c>
      <c r="Q260" s="150" t="str">
        <f t="shared" si="22"/>
        <v>5-Ventes</v>
      </c>
      <c r="R260" s="149" t="str">
        <f t="shared" si="23"/>
        <v>461D</v>
      </c>
      <c r="S260" s="150">
        <f t="shared" si="24"/>
        <v>0</v>
      </c>
      <c r="T260" s="152" t="str">
        <f>+VLOOKUP($L260,Data_Validation!$A:$D,1,0)</f>
        <v>461G</v>
      </c>
      <c r="U260" s="152" t="str">
        <f>+VLOOKUP($L260,Data_Validation!$A:$D,3,0)</f>
        <v>service</v>
      </c>
      <c r="V260" s="152" t="str">
        <f>+VLOOKUP($L260,Data_Validation!$A:$D,4,0)</f>
        <v>M/O Garantie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1226</v>
      </c>
      <c r="B261" s="718" t="s">
        <v>469</v>
      </c>
      <c r="C261" s="720">
        <v>-6295.41</v>
      </c>
      <c r="D261" s="720">
        <v>-484.61</v>
      </c>
      <c r="E261" s="720">
        <v>-6780.02</v>
      </c>
      <c r="F261" s="718" t="s">
        <v>2008</v>
      </c>
      <c r="G261" s="718" t="s">
        <v>1111</v>
      </c>
      <c r="H261" s="673"/>
      <c r="I261" s="672"/>
      <c r="J261" s="672"/>
      <c r="K261" s="672"/>
      <c r="L261" s="149" t="str">
        <f t="shared" si="20"/>
        <v>461H</v>
      </c>
      <c r="M261" s="150" t="str">
        <f t="shared" si="21"/>
        <v>VTE - M/O GARANTIE BMW</v>
      </c>
      <c r="N261" s="151">
        <f>+IF(OR($Q261=Parametres!$G$2,$Q261=Parametres!$G$3),I261,C261)</f>
        <v>-6295.41</v>
      </c>
      <c r="O261" s="151">
        <f>+IF(OR($Q261=Parametres!$G$2,$Q261=Parametres!$G$3),J261,D261)</f>
        <v>-484.61</v>
      </c>
      <c r="P261" s="151">
        <f>+IF(OR($Q261=Parametres!$G$2,$Q261=Parametres!$G$3),K261,E261)</f>
        <v>-6780.02</v>
      </c>
      <c r="Q261" s="150" t="str">
        <f t="shared" si="22"/>
        <v>5-Ventes</v>
      </c>
      <c r="R261" s="149" t="str">
        <f t="shared" si="23"/>
        <v>461A</v>
      </c>
      <c r="S261" s="150">
        <f t="shared" si="24"/>
        <v>0</v>
      </c>
      <c r="T261" s="152" t="str">
        <f>+VLOOKUP($L261,Data_Validation!$A:$D,1,0)</f>
        <v>461H</v>
      </c>
      <c r="U261" s="152" t="str">
        <f>+VLOOKUP($L261,Data_Validation!$A:$D,3,0)</f>
        <v>service</v>
      </c>
      <c r="V261" s="152" t="str">
        <f>+VLOOKUP($L261,Data_Validation!$A:$D,4,0)</f>
        <v>M/O Garantie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1141</v>
      </c>
      <c r="B262" s="671" t="s">
        <v>1140</v>
      </c>
      <c r="C262" s="672">
        <v>-18271</v>
      </c>
      <c r="D262" s="672">
        <v>-7714.63</v>
      </c>
      <c r="E262" s="672">
        <v>-25985.63</v>
      </c>
      <c r="F262" s="671" t="s">
        <v>2008</v>
      </c>
      <c r="G262" s="671" t="s">
        <v>1140</v>
      </c>
      <c r="H262" s="666"/>
      <c r="I262" s="665"/>
      <c r="J262" s="665"/>
      <c r="K262" s="665"/>
      <c r="L262" s="149" t="str">
        <f t="shared" si="20"/>
        <v>462A</v>
      </c>
      <c r="M262" s="150" t="str">
        <f t="shared" si="21"/>
        <v>VTE - M/O INTERNE BMW AUTO</v>
      </c>
      <c r="N262" s="151">
        <f>+IF(OR($Q262=Parametres!$G$2,$Q262=Parametres!$G$3),I262,C262)</f>
        <v>-18271</v>
      </c>
      <c r="O262" s="151">
        <f>+IF(OR($Q262=Parametres!$G$2,$Q262=Parametres!$G$3),J262,D262)</f>
        <v>-7714.63</v>
      </c>
      <c r="P262" s="151">
        <f>+IF(OR($Q262=Parametres!$G$2,$Q262=Parametres!$G$3),K262,E262)</f>
        <v>-25985.63</v>
      </c>
      <c r="Q262" s="150" t="str">
        <f t="shared" si="22"/>
        <v>5-Ventes</v>
      </c>
      <c r="R262" s="149" t="str">
        <f t="shared" si="23"/>
        <v>462A</v>
      </c>
      <c r="S262" s="150">
        <f t="shared" si="24"/>
        <v>0</v>
      </c>
      <c r="T262" s="152" t="str">
        <f>+VLOOKUP($L262,Data_Validation!$A:$D,1,0)</f>
        <v>462A</v>
      </c>
      <c r="U262" s="152" t="str">
        <f>+VLOOKUP($L262,Data_Validation!$A:$D,3,0)</f>
        <v>service</v>
      </c>
      <c r="V262" s="152" t="str">
        <f>+VLOOKUP($L262,Data_Validation!$A:$D,4,0)</f>
        <v>M/O Interne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1139</v>
      </c>
      <c r="B263" s="718" t="s">
        <v>432</v>
      </c>
      <c r="C263" s="720">
        <v>-22890.45</v>
      </c>
      <c r="D263" s="720">
        <v>-12653.17</v>
      </c>
      <c r="E263" s="720">
        <v>-35543.620000000003</v>
      </c>
      <c r="F263" s="718" t="s">
        <v>2008</v>
      </c>
      <c r="G263" s="718" t="s">
        <v>1140</v>
      </c>
      <c r="H263" s="673"/>
      <c r="I263" s="672"/>
      <c r="J263" s="672"/>
      <c r="K263" s="672"/>
      <c r="L263" s="149" t="str">
        <f t="shared" si="20"/>
        <v>462B</v>
      </c>
      <c r="M263" s="150" t="str">
        <f t="shared" si="21"/>
        <v>VTE - M/O INTERNE BMW CAMION</v>
      </c>
      <c r="N263" s="151">
        <f>+IF(OR($Q263=Parametres!$G$2,$Q263=Parametres!$G$3),I263,C263)</f>
        <v>-22890.45</v>
      </c>
      <c r="O263" s="151">
        <f>+IF(OR($Q263=Parametres!$G$2,$Q263=Parametres!$G$3),J263,D263)</f>
        <v>-12653.17</v>
      </c>
      <c r="P263" s="151">
        <f>+IF(OR($Q263=Parametres!$G$2,$Q263=Parametres!$G$3),K263,E263)</f>
        <v>-35543.620000000003</v>
      </c>
      <c r="Q263" s="150" t="str">
        <f t="shared" si="22"/>
        <v>5-Ventes</v>
      </c>
      <c r="R263" s="149" t="str">
        <f t="shared" si="23"/>
        <v>462A</v>
      </c>
      <c r="S263" s="150">
        <f t="shared" si="24"/>
        <v>0</v>
      </c>
      <c r="T263" s="152" t="str">
        <f>+VLOOKUP($L263,Data_Validation!$A:$D,1,0)</f>
        <v>462B</v>
      </c>
      <c r="U263" s="152" t="str">
        <f>+VLOOKUP($L263,Data_Validation!$A:$D,3,0)</f>
        <v>service</v>
      </c>
      <c r="V263" s="152" t="str">
        <f>+VLOOKUP($L263,Data_Validation!$A:$D,4,0)</f>
        <v>M/O Interne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1019</v>
      </c>
      <c r="B264" s="718" t="s">
        <v>472</v>
      </c>
      <c r="C264" s="719">
        <v>-11494.81</v>
      </c>
      <c r="D264" s="719">
        <v>-2169.62</v>
      </c>
      <c r="E264" s="719">
        <v>-13664.43</v>
      </c>
      <c r="F264" s="718" t="s">
        <v>2008</v>
      </c>
      <c r="G264" s="718" t="s">
        <v>1140</v>
      </c>
      <c r="H264" s="719"/>
      <c r="I264" s="720"/>
      <c r="J264" s="720"/>
      <c r="K264" s="720"/>
      <c r="L264" s="149" t="str">
        <f t="shared" si="20"/>
        <v>462D</v>
      </c>
      <c r="M264" s="150" t="str">
        <f t="shared" si="21"/>
        <v>VTE - M/O INTERNE BMW I</v>
      </c>
      <c r="N264" s="151">
        <f>+IF(OR($Q264=Parametres!$G$2,$Q264=Parametres!$G$3),I264,C264)</f>
        <v>-11494.81</v>
      </c>
      <c r="O264" s="151">
        <f>+IF(OR($Q264=Parametres!$G$2,$Q264=Parametres!$G$3),J264,D264)</f>
        <v>-2169.62</v>
      </c>
      <c r="P264" s="151">
        <f>+IF(OR($Q264=Parametres!$G$2,$Q264=Parametres!$G$3),K264,E264)</f>
        <v>-13664.43</v>
      </c>
      <c r="Q264" s="150" t="str">
        <f t="shared" si="22"/>
        <v>5-Ventes</v>
      </c>
      <c r="R264" s="149" t="str">
        <f t="shared" si="23"/>
        <v>462A</v>
      </c>
      <c r="S264" s="150">
        <f t="shared" si="24"/>
        <v>0</v>
      </c>
      <c r="T264" s="152" t="str">
        <f>+VLOOKUP($L264,Data_Validation!$A:$D,1,0)</f>
        <v>462D</v>
      </c>
      <c r="U264" s="152" t="str">
        <f>+VLOOKUP($L264,Data_Validation!$A:$D,3,0)</f>
        <v>service</v>
      </c>
      <c r="V264" s="152" t="str">
        <f>+VLOOKUP($L264,Data_Validation!$A:$D,4,0)</f>
        <v>M/O Interne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2176</v>
      </c>
      <c r="B265" s="718" t="s">
        <v>2177</v>
      </c>
      <c r="C265" s="720">
        <v>-15461.69</v>
      </c>
      <c r="D265" s="720">
        <v>-7775.85</v>
      </c>
      <c r="E265" s="720">
        <v>-23237.54</v>
      </c>
      <c r="F265" s="718" t="s">
        <v>2008</v>
      </c>
      <c r="G265" s="718" t="s">
        <v>1140</v>
      </c>
      <c r="H265" s="666"/>
      <c r="I265" s="665"/>
      <c r="J265" s="665"/>
      <c r="K265" s="665"/>
      <c r="L265" s="149" t="str">
        <f t="shared" si="20"/>
        <v>462L</v>
      </c>
      <c r="M265" s="150" t="str">
        <f t="shared" si="21"/>
        <v>VTES -SUBLET INTERNE AUTO</v>
      </c>
      <c r="N265" s="151">
        <f>+IF(OR($Q265=Parametres!$G$2,$Q265=Parametres!$G$3),I265,C265)</f>
        <v>-15461.69</v>
      </c>
      <c r="O265" s="151">
        <f>+IF(OR($Q265=Parametres!$G$2,$Q265=Parametres!$G$3),J265,D265)</f>
        <v>-7775.85</v>
      </c>
      <c r="P265" s="151">
        <f>+IF(OR($Q265=Parametres!$G$2,$Q265=Parametres!$G$3),K265,E265)</f>
        <v>-23237.54</v>
      </c>
      <c r="Q265" s="150" t="str">
        <f t="shared" si="22"/>
        <v>5-Ventes</v>
      </c>
      <c r="R265" s="149" t="str">
        <f t="shared" si="23"/>
        <v>462A</v>
      </c>
      <c r="S265" s="150">
        <f t="shared" si="24"/>
        <v>0</v>
      </c>
      <c r="T265" s="152" t="str">
        <f>+VLOOKUP($L265,Data_Validation!$A:$D,1,0)</f>
        <v>462L</v>
      </c>
      <c r="U265" s="152" t="str">
        <f>+VLOOKUP($L265,Data_Validation!$A:$D,3,0)</f>
        <v>Service</v>
      </c>
      <c r="V265" s="152" t="str">
        <f>+VLOOKUP($L265,Data_Validation!$A:$D,4,0)</f>
        <v>M/O Interne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2178</v>
      </c>
      <c r="B266" s="718" t="s">
        <v>2179</v>
      </c>
      <c r="C266" s="720">
        <v>-12754.7</v>
      </c>
      <c r="D266" s="720">
        <v>-8031.15</v>
      </c>
      <c r="E266" s="720">
        <v>-20785.849999999999</v>
      </c>
      <c r="F266" s="718" t="s">
        <v>2008</v>
      </c>
      <c r="G266" s="718" t="s">
        <v>1140</v>
      </c>
      <c r="H266" s="673"/>
      <c r="I266" s="673"/>
      <c r="J266" s="673"/>
      <c r="K266" s="673"/>
      <c r="L266" s="149" t="str">
        <f t="shared" si="20"/>
        <v>462M</v>
      </c>
      <c r="M266" s="150" t="str">
        <f t="shared" si="21"/>
        <v>VTES -SUBLET INTERNE CAMION</v>
      </c>
      <c r="N266" s="151">
        <f>+IF(OR($Q266=Parametres!$G$2,$Q266=Parametres!$G$3),I266,C266)</f>
        <v>-12754.7</v>
      </c>
      <c r="O266" s="504">
        <f>+IF(OR($Q266=Parametres!$G$2,$Q266=Parametres!$G$3),J266,D266)</f>
        <v>-8031.15</v>
      </c>
      <c r="P266" s="151">
        <f>+IF(OR($Q266=Parametres!$G$2,$Q266=Parametres!$G$3),K266,E266)</f>
        <v>-20785.849999999999</v>
      </c>
      <c r="Q266" s="150" t="str">
        <f t="shared" si="22"/>
        <v>5-Ventes</v>
      </c>
      <c r="R266" s="149" t="str">
        <f t="shared" si="23"/>
        <v>462A</v>
      </c>
      <c r="S266" s="150">
        <f t="shared" si="24"/>
        <v>0</v>
      </c>
      <c r="T266" s="152" t="str">
        <f>+VLOOKUP($L266,Data_Validation!$A:$D,1,0)</f>
        <v>462M</v>
      </c>
      <c r="U266" s="152" t="str">
        <f>+VLOOKUP($L266,Data_Validation!$A:$D,3,0)</f>
        <v>Service</v>
      </c>
      <c r="V266" s="152" t="str">
        <f>+VLOOKUP($L266,Data_Validation!$A:$D,4,0)</f>
        <v>M/O Interne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2239</v>
      </c>
      <c r="B267" s="718" t="s">
        <v>2238</v>
      </c>
      <c r="C267" s="720">
        <v>-2258.5500000000002</v>
      </c>
      <c r="D267" s="720">
        <v>-3241.8</v>
      </c>
      <c r="E267" s="720">
        <v>-5500.35</v>
      </c>
      <c r="F267" s="718" t="s">
        <v>2008</v>
      </c>
      <c r="G267" s="718" t="s">
        <v>1140</v>
      </c>
      <c r="H267" s="673"/>
      <c r="I267" s="672"/>
      <c r="J267" s="672"/>
      <c r="K267" s="672"/>
      <c r="L267" s="149" t="str">
        <f t="shared" si="20"/>
        <v>462N</v>
      </c>
      <c r="M267" s="150" t="str">
        <f t="shared" si="21"/>
        <v>VTES -SUBLET INTERNE ESTHETIQUE</v>
      </c>
      <c r="N267" s="151">
        <f>+IF(OR($Q267=Parametres!$G$2,$Q267=Parametres!$G$3),I267,C267)</f>
        <v>-2258.5500000000002</v>
      </c>
      <c r="O267" s="151">
        <f>+IF(OR($Q267=Parametres!$G$2,$Q267=Parametres!$G$3),J267,D267)</f>
        <v>-3241.8</v>
      </c>
      <c r="P267" s="151">
        <f>+IF(OR($Q267=Parametres!$G$2,$Q267=Parametres!$G$3),K267,E267)</f>
        <v>-5500.35</v>
      </c>
      <c r="Q267" s="150" t="str">
        <f t="shared" si="22"/>
        <v>5-Ventes</v>
      </c>
      <c r="R267" s="149" t="str">
        <f t="shared" si="23"/>
        <v>462A</v>
      </c>
      <c r="S267" s="150">
        <f t="shared" si="24"/>
        <v>0</v>
      </c>
      <c r="T267" s="152" t="str">
        <f>+VLOOKUP($L267,Data_Validation!$A:$D,1,0)</f>
        <v>462N</v>
      </c>
      <c r="U267" s="152" t="str">
        <f>+VLOOKUP($L267,Data_Validation!$A:$D,3,0)</f>
        <v>Service</v>
      </c>
      <c r="V267" s="152" t="str">
        <f>+VLOOKUP($L267,Data_Validation!$A:$D,4,0)</f>
        <v>M/O Interne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1155</v>
      </c>
      <c r="B268" s="718" t="s">
        <v>1144</v>
      </c>
      <c r="C268" s="720">
        <v>-7245.54</v>
      </c>
      <c r="D268" s="720">
        <v>-408.72</v>
      </c>
      <c r="E268" s="720">
        <v>-7654.26</v>
      </c>
      <c r="F268" s="718" t="s">
        <v>2008</v>
      </c>
      <c r="G268" s="718" t="s">
        <v>1144</v>
      </c>
      <c r="H268" s="673"/>
      <c r="I268" s="673"/>
      <c r="J268" s="673"/>
      <c r="K268" s="673"/>
      <c r="L268" s="149" t="str">
        <f t="shared" si="20"/>
        <v>463A</v>
      </c>
      <c r="M268" s="150" t="str">
        <f t="shared" si="21"/>
        <v>VTE - SOUS-TRAITANCE BMW AUTO</v>
      </c>
      <c r="N268" s="151">
        <f>+IF(OR($Q268=Parametres!$G$2,$Q268=Parametres!$G$3),I268,C268)</f>
        <v>-7245.54</v>
      </c>
      <c r="O268" s="151">
        <f>+IF(OR($Q268=Parametres!$G$2,$Q268=Parametres!$G$3),J268,D268)</f>
        <v>-408.72</v>
      </c>
      <c r="P268" s="151">
        <f>+IF(OR($Q268=Parametres!$G$2,$Q268=Parametres!$G$3),K268,E268)</f>
        <v>-7654.26</v>
      </c>
      <c r="Q268" s="150" t="str">
        <f t="shared" si="22"/>
        <v>5-Ventes</v>
      </c>
      <c r="R268" s="149" t="str">
        <f t="shared" si="23"/>
        <v>463A</v>
      </c>
      <c r="S268" s="150">
        <f t="shared" si="24"/>
        <v>0</v>
      </c>
      <c r="T268" s="152" t="str">
        <f>+VLOOKUP($L268,Data_Validation!$A:$D,1,0)</f>
        <v>463A</v>
      </c>
      <c r="U268" s="152" t="str">
        <f>+VLOOKUP($L268,Data_Validation!$A:$D,3,0)</f>
        <v>service</v>
      </c>
      <c r="V268" s="152" t="str">
        <f>+VLOOKUP($L268,Data_Validation!$A:$D,4,0)</f>
        <v>Sous-traitement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1143</v>
      </c>
      <c r="B269" s="718" t="s">
        <v>455</v>
      </c>
      <c r="C269" s="720">
        <v>-12760.25</v>
      </c>
      <c r="D269" s="720">
        <v>-1629.21</v>
      </c>
      <c r="E269" s="720">
        <v>-14389.46</v>
      </c>
      <c r="F269" s="718" t="s">
        <v>2008</v>
      </c>
      <c r="G269" s="718" t="s">
        <v>1144</v>
      </c>
      <c r="H269" s="673"/>
      <c r="I269" s="672"/>
      <c r="J269" s="672"/>
      <c r="K269" s="672"/>
      <c r="L269" s="149" t="str">
        <f t="shared" si="20"/>
        <v>463B</v>
      </c>
      <c r="M269" s="150" t="str">
        <f t="shared" si="21"/>
        <v>VTE - SOUS-TRAITANCE BMW CAMION</v>
      </c>
      <c r="N269" s="151">
        <f>+IF(OR($Q269=Parametres!$G$2,$Q269=Parametres!$G$3),I269,C269)</f>
        <v>-12760.25</v>
      </c>
      <c r="O269" s="151">
        <f>+IF(OR($Q269=Parametres!$G$2,$Q269=Parametres!$G$3),J269,D269)</f>
        <v>-1629.21</v>
      </c>
      <c r="P269" s="151">
        <f>+IF(OR($Q269=Parametres!$G$2,$Q269=Parametres!$G$3),K269,E269)</f>
        <v>-14389.46</v>
      </c>
      <c r="Q269" s="150" t="str">
        <f t="shared" si="22"/>
        <v>5-Ventes</v>
      </c>
      <c r="R269" s="149" t="str">
        <f t="shared" si="23"/>
        <v>463A</v>
      </c>
      <c r="S269" s="150">
        <f t="shared" si="24"/>
        <v>0</v>
      </c>
      <c r="T269" s="152" t="str">
        <f>+VLOOKUP($L269,Data_Validation!$A:$D,1,0)</f>
        <v>463B</v>
      </c>
      <c r="U269" s="152" t="str">
        <f>+VLOOKUP($L269,Data_Validation!$A:$D,3,0)</f>
        <v>service</v>
      </c>
      <c r="V269" s="152" t="str">
        <f>+VLOOKUP($L269,Data_Validation!$A:$D,4,0)</f>
        <v>Sous-traitement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473</v>
      </c>
      <c r="B270" s="718" t="s">
        <v>474</v>
      </c>
      <c r="C270" s="719">
        <v>-4085</v>
      </c>
      <c r="D270" s="719">
        <v>0</v>
      </c>
      <c r="E270" s="719">
        <v>-4085</v>
      </c>
      <c r="F270" s="718" t="s">
        <v>2008</v>
      </c>
      <c r="G270" s="718" t="s">
        <v>1144</v>
      </c>
      <c r="H270" s="719"/>
      <c r="I270" s="720"/>
      <c r="J270" s="720"/>
      <c r="K270" s="720"/>
      <c r="L270" s="149" t="str">
        <f t="shared" si="20"/>
        <v>463D</v>
      </c>
      <c r="M270" s="150" t="str">
        <f t="shared" si="21"/>
        <v>VTE - SOUS-TRAITANCE BMW I</v>
      </c>
      <c r="N270" s="151">
        <f>+IF(OR($Q270=Parametres!$G$2,$Q270=Parametres!$G$3),I270,C270)</f>
        <v>-4085</v>
      </c>
      <c r="O270" s="151">
        <f>+IF(OR($Q270=Parametres!$G$2,$Q270=Parametres!$G$3),J270,D270)</f>
        <v>0</v>
      </c>
      <c r="P270" s="151">
        <f>+IF(OR($Q270=Parametres!$G$2,$Q270=Parametres!$G$3),K270,E270)</f>
        <v>-4085</v>
      </c>
      <c r="Q270" s="150" t="str">
        <f t="shared" si="22"/>
        <v>5-Ventes</v>
      </c>
      <c r="R270" s="149" t="str">
        <f t="shared" si="23"/>
        <v>463A</v>
      </c>
      <c r="S270" s="150">
        <f t="shared" si="24"/>
        <v>0</v>
      </c>
      <c r="T270" s="152" t="str">
        <f>+VLOOKUP($L270,Data_Validation!$A:$D,1,0)</f>
        <v>463D</v>
      </c>
      <c r="U270" s="152" t="str">
        <f>+VLOOKUP($L270,Data_Validation!$A:$D,3,0)</f>
        <v>service</v>
      </c>
      <c r="V270" s="152" t="str">
        <f>+VLOOKUP($L270,Data_Validation!$A:$D,4,0)</f>
        <v>Sous-traitement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1120</v>
      </c>
      <c r="B271" s="718" t="s">
        <v>1121</v>
      </c>
      <c r="C271" s="719">
        <v>-42305.91</v>
      </c>
      <c r="D271" s="719">
        <v>-18015.939999999999</v>
      </c>
      <c r="E271" s="719">
        <v>-60321.85</v>
      </c>
      <c r="F271" s="718" t="s">
        <v>2008</v>
      </c>
      <c r="G271" s="718" t="s">
        <v>1121</v>
      </c>
      <c r="H271" s="719"/>
      <c r="I271" s="720"/>
      <c r="J271" s="720"/>
      <c r="K271" s="720"/>
      <c r="L271" s="149" t="str">
        <f t="shared" si="20"/>
        <v>470A</v>
      </c>
      <c r="M271" s="150" t="str">
        <f t="shared" si="21"/>
        <v>VTE - PIECES BT CLIENT BMW AUTO</v>
      </c>
      <c r="N271" s="151">
        <f>+IF(OR($Q271=Parametres!$G$2,$Q271=Parametres!$G$3),I271,C271)</f>
        <v>-42305.91</v>
      </c>
      <c r="O271" s="151">
        <f>+IF(OR($Q271=Parametres!$G$2,$Q271=Parametres!$G$3),J271,D271)</f>
        <v>-18015.939999999999</v>
      </c>
      <c r="P271" s="151">
        <f>+IF(OR($Q271=Parametres!$G$2,$Q271=Parametres!$G$3),K271,E271)</f>
        <v>-60321.85</v>
      </c>
      <c r="Q271" s="150" t="str">
        <f t="shared" si="22"/>
        <v>5-Ventes</v>
      </c>
      <c r="R271" s="149" t="str">
        <f t="shared" si="23"/>
        <v>470A</v>
      </c>
      <c r="S271" s="150">
        <f t="shared" si="24"/>
        <v>0</v>
      </c>
      <c r="T271" s="152" t="str">
        <f>+VLOOKUP($L271,Data_Validation!$A:$D,1,0)</f>
        <v>470A</v>
      </c>
      <c r="U271" s="152" t="str">
        <f>+VLOOKUP($L271,Data_Validation!$A:$D,3,0)</f>
        <v>Pièces</v>
      </c>
      <c r="V271" s="152" t="str">
        <f>+VLOOKUP($L271,Data_Validation!$A:$D,4,0)</f>
        <v>Pièces Ro Clients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1136</v>
      </c>
      <c r="B272" s="718" t="s">
        <v>430</v>
      </c>
      <c r="C272" s="720">
        <v>-92976.02</v>
      </c>
      <c r="D272" s="720">
        <v>-27559.85</v>
      </c>
      <c r="E272" s="720">
        <v>-120535.87</v>
      </c>
      <c r="F272" s="718" t="s">
        <v>2008</v>
      </c>
      <c r="G272" s="718" t="s">
        <v>1121</v>
      </c>
      <c r="H272" s="673"/>
      <c r="I272" s="672"/>
      <c r="J272" s="672"/>
      <c r="K272" s="672"/>
      <c r="L272" s="149" t="str">
        <f t="shared" si="20"/>
        <v>470B</v>
      </c>
      <c r="M272" s="150" t="str">
        <f t="shared" si="21"/>
        <v>VTE - PIECES BT CLIENT BMW CAMION</v>
      </c>
      <c r="N272" s="151">
        <f>+IF(OR($Q272=Parametres!$G$2,$Q272=Parametres!$G$3),I272,C272)</f>
        <v>-92976.02</v>
      </c>
      <c r="O272" s="151">
        <f>+IF(OR($Q272=Parametres!$G$2,$Q272=Parametres!$G$3),J272,D272)</f>
        <v>-27559.85</v>
      </c>
      <c r="P272" s="151">
        <f>+IF(OR($Q272=Parametres!$G$2,$Q272=Parametres!$G$3),K272,E272)</f>
        <v>-120535.87</v>
      </c>
      <c r="Q272" s="150" t="str">
        <f t="shared" si="22"/>
        <v>5-Ventes</v>
      </c>
      <c r="R272" s="149" t="str">
        <f t="shared" si="23"/>
        <v>470A</v>
      </c>
      <c r="S272" s="150">
        <f t="shared" si="24"/>
        <v>0</v>
      </c>
      <c r="T272" s="152" t="str">
        <f>+VLOOKUP($L272,Data_Validation!$A:$D,1,0)</f>
        <v>470B</v>
      </c>
      <c r="U272" s="152" t="str">
        <f>+VLOOKUP($L272,Data_Validation!$A:$D,3,0)</f>
        <v>Pièces</v>
      </c>
      <c r="V272" s="152" t="str">
        <f>+VLOOKUP($L272,Data_Validation!$A:$D,4,0)</f>
        <v>Pièces Ro Clients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1239</v>
      </c>
      <c r="B273" s="718" t="s">
        <v>458</v>
      </c>
      <c r="C273" s="719">
        <v>-3228.61</v>
      </c>
      <c r="D273" s="719">
        <v>-3572.12</v>
      </c>
      <c r="E273" s="719">
        <v>-6800.73</v>
      </c>
      <c r="F273" s="718" t="s">
        <v>2008</v>
      </c>
      <c r="G273" s="718" t="s">
        <v>1121</v>
      </c>
      <c r="H273" s="719"/>
      <c r="I273" s="720"/>
      <c r="J273" s="720"/>
      <c r="K273" s="720"/>
      <c r="L273" s="149" t="str">
        <f t="shared" si="20"/>
        <v>470D</v>
      </c>
      <c r="M273" s="150" t="str">
        <f t="shared" si="21"/>
        <v>VTE - PIECES BT CLIENT BMW I</v>
      </c>
      <c r="N273" s="151">
        <f>+IF(OR($Q273=Parametres!$G$2,$Q273=Parametres!$G$3),I273,C273)</f>
        <v>-3228.61</v>
      </c>
      <c r="O273" s="151">
        <f>+IF(OR($Q273=Parametres!$G$2,$Q273=Parametres!$G$3),J273,D273)</f>
        <v>-3572.12</v>
      </c>
      <c r="P273" s="151">
        <f>+IF(OR($Q273=Parametres!$G$2,$Q273=Parametres!$G$3),K273,E273)</f>
        <v>-6800.73</v>
      </c>
      <c r="Q273" s="150" t="str">
        <f t="shared" si="22"/>
        <v>5-Ventes</v>
      </c>
      <c r="R273" s="149" t="str">
        <f t="shared" si="23"/>
        <v>470A</v>
      </c>
      <c r="S273" s="150">
        <f t="shared" si="24"/>
        <v>0</v>
      </c>
      <c r="T273" s="152" t="str">
        <f>+VLOOKUP($L273,Data_Validation!$A:$D,1,0)</f>
        <v>470D</v>
      </c>
      <c r="U273" s="152" t="str">
        <f>+VLOOKUP($L273,Data_Validation!$A:$D,3,0)</f>
        <v>Pièces</v>
      </c>
      <c r="V273" s="152" t="str">
        <f>+VLOOKUP($L273,Data_Validation!$A:$D,4,0)</f>
        <v>Pièces Ro Clients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2083</v>
      </c>
      <c r="B274" s="718" t="s">
        <v>2084</v>
      </c>
      <c r="C274" s="720">
        <v>-400.42</v>
      </c>
      <c r="D274" s="720">
        <v>0</v>
      </c>
      <c r="E274" s="720">
        <v>-400.42</v>
      </c>
      <c r="F274" s="718" t="s">
        <v>2008</v>
      </c>
      <c r="G274" s="718" t="s">
        <v>2084</v>
      </c>
      <c r="H274" s="673"/>
      <c r="I274" s="672"/>
      <c r="J274" s="672"/>
      <c r="K274" s="672"/>
      <c r="L274" s="149" t="str">
        <f t="shared" si="20"/>
        <v>471A</v>
      </c>
      <c r="M274" s="150" t="str">
        <f t="shared" si="21"/>
        <v>VTE - PIECES BT CARROSS. BMW AUTO</v>
      </c>
      <c r="N274" s="151">
        <f>+IF(OR($Q274=Parametres!$G$2,$Q274=Parametres!$G$3),I274,C274)</f>
        <v>-400.42</v>
      </c>
      <c r="O274" s="151">
        <f>+IF(OR($Q274=Parametres!$G$2,$Q274=Parametres!$G$3),J274,D274)</f>
        <v>0</v>
      </c>
      <c r="P274" s="151">
        <f>+IF(OR($Q274=Parametres!$G$2,$Q274=Parametres!$G$3),K274,E274)</f>
        <v>-400.42</v>
      </c>
      <c r="Q274" s="150" t="str">
        <f t="shared" si="22"/>
        <v>5-Ventes</v>
      </c>
      <c r="R274" s="149" t="str">
        <f t="shared" si="23"/>
        <v>471A</v>
      </c>
      <c r="S274" s="150">
        <f t="shared" si="24"/>
        <v>0</v>
      </c>
      <c r="T274" s="152" t="str">
        <f>+VLOOKUP($L274,Data_Validation!$A:$D,1,0)</f>
        <v>471A</v>
      </c>
      <c r="U274" s="152" t="str">
        <f>+VLOOKUP($L274,Data_Validation!$A:$D,3,0)</f>
        <v>Pièces</v>
      </c>
      <c r="V274" s="152" t="str">
        <f>+VLOOKUP($L274,Data_Validation!$A:$D,4,0)</f>
        <v>Pièces Ro Carrosserie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2481</v>
      </c>
      <c r="B275" s="671" t="s">
        <v>2482</v>
      </c>
      <c r="C275" s="672">
        <v>-99.84</v>
      </c>
      <c r="D275" s="672">
        <v>-106.86</v>
      </c>
      <c r="E275" s="672">
        <v>-206.7</v>
      </c>
      <c r="F275" s="671" t="s">
        <v>2008</v>
      </c>
      <c r="G275" s="671" t="s">
        <v>2084</v>
      </c>
      <c r="H275" s="666"/>
      <c r="I275" s="665"/>
      <c r="J275" s="665"/>
      <c r="K275" s="665"/>
      <c r="L275" s="149" t="str">
        <f t="shared" si="20"/>
        <v>471D</v>
      </c>
      <c r="M275" s="150" t="str">
        <f t="shared" si="21"/>
        <v>VTE - PIECES BT CARROSS. BMW I</v>
      </c>
      <c r="N275" s="151">
        <f>+IF(OR($Q275=Parametres!$G$2,$Q275=Parametres!$G$3),I275,C275)</f>
        <v>-99.84</v>
      </c>
      <c r="O275" s="151">
        <f>+IF(OR($Q275=Parametres!$G$2,$Q275=Parametres!$G$3),J275,D275)</f>
        <v>-106.86</v>
      </c>
      <c r="P275" s="151">
        <f>+IF(OR($Q275=Parametres!$G$2,$Q275=Parametres!$G$3),K275,E275)</f>
        <v>-206.7</v>
      </c>
      <c r="Q275" s="150" t="str">
        <f t="shared" si="22"/>
        <v>5-Ventes</v>
      </c>
      <c r="R275" s="149" t="str">
        <f t="shared" si="23"/>
        <v>471A</v>
      </c>
      <c r="S275" s="150">
        <f t="shared" si="24"/>
        <v>0</v>
      </c>
      <c r="T275" s="152" t="str">
        <f>+VLOOKUP($L275,Data_Validation!$A:$D,1,0)</f>
        <v>471D</v>
      </c>
      <c r="U275" s="152" t="str">
        <f>+VLOOKUP($L275,Data_Validation!$A:$D,3,0)</f>
        <v>Pièces</v>
      </c>
      <c r="V275" s="152" t="str">
        <f>+VLOOKUP($L275,Data_Validation!$A:$D,4,0)</f>
        <v>Pièces Ro Carrosserie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1096</v>
      </c>
      <c r="B276" s="718" t="s">
        <v>1097</v>
      </c>
      <c r="C276" s="720">
        <v>-30604.04</v>
      </c>
      <c r="D276" s="720">
        <v>-3666.55</v>
      </c>
      <c r="E276" s="720">
        <v>-34270.589999999997</v>
      </c>
      <c r="F276" s="718" t="s">
        <v>2008</v>
      </c>
      <c r="G276" s="718" t="s">
        <v>1097</v>
      </c>
      <c r="H276" s="673"/>
      <c r="I276" s="672"/>
      <c r="J276" s="672"/>
      <c r="K276" s="672"/>
      <c r="L276" s="149" t="str">
        <f t="shared" si="20"/>
        <v>472A</v>
      </c>
      <c r="M276" s="150" t="str">
        <f t="shared" si="21"/>
        <v>VTE - PIECES GARANTIE BMW AUTO</v>
      </c>
      <c r="N276" s="151">
        <f>+IF(OR($Q276=Parametres!$G$2,$Q276=Parametres!$G$3),I276,C276)</f>
        <v>-30604.04</v>
      </c>
      <c r="O276" s="151">
        <f>+IF(OR($Q276=Parametres!$G$2,$Q276=Parametres!$G$3),J276,D276)</f>
        <v>-3666.55</v>
      </c>
      <c r="P276" s="151">
        <f>+IF(OR($Q276=Parametres!$G$2,$Q276=Parametres!$G$3),K276,E276)</f>
        <v>-34270.589999999997</v>
      </c>
      <c r="Q276" s="150" t="str">
        <f t="shared" si="22"/>
        <v>5-Ventes</v>
      </c>
      <c r="R276" s="149" t="str">
        <f t="shared" si="23"/>
        <v>472A</v>
      </c>
      <c r="S276" s="150">
        <f t="shared" si="24"/>
        <v>0</v>
      </c>
      <c r="T276" s="152" t="str">
        <f>+VLOOKUP($L276,Data_Validation!$A:$D,1,0)</f>
        <v>472A</v>
      </c>
      <c r="U276" s="152" t="str">
        <f>+VLOOKUP($L276,Data_Validation!$A:$D,3,0)</f>
        <v>pièces</v>
      </c>
      <c r="V276" s="152" t="str">
        <f>+VLOOKUP($L276,Data_Validation!$A:$D,4,0)</f>
        <v>P/A Garantie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1100</v>
      </c>
      <c r="B277" s="671" t="s">
        <v>466</v>
      </c>
      <c r="C277" s="672">
        <v>-80777.100000000006</v>
      </c>
      <c r="D277" s="672">
        <v>-26546.67</v>
      </c>
      <c r="E277" s="672">
        <v>-107323.77</v>
      </c>
      <c r="F277" s="671" t="s">
        <v>2008</v>
      </c>
      <c r="G277" s="671" t="s">
        <v>1097</v>
      </c>
      <c r="H277" s="666"/>
      <c r="I277" s="665"/>
      <c r="J277" s="665"/>
      <c r="K277" s="665"/>
      <c r="L277" s="149" t="str">
        <f t="shared" si="20"/>
        <v>472B</v>
      </c>
      <c r="M277" s="150" t="str">
        <f t="shared" si="21"/>
        <v>VTE - PIECES GARANTIE BMW CAMION</v>
      </c>
      <c r="N277" s="151">
        <f>+IF(OR($Q277=Parametres!$G$2,$Q277=Parametres!$G$3),I277,C277)</f>
        <v>-80777.100000000006</v>
      </c>
      <c r="O277" s="151">
        <f>+IF(OR($Q277=Parametres!$G$2,$Q277=Parametres!$G$3),J277,D277)</f>
        <v>-26546.67</v>
      </c>
      <c r="P277" s="151">
        <f>+IF(OR($Q277=Parametres!$G$2,$Q277=Parametres!$G$3),K277,E277)</f>
        <v>-107323.77</v>
      </c>
      <c r="Q277" s="150" t="str">
        <f t="shared" si="22"/>
        <v>5-Ventes</v>
      </c>
      <c r="R277" s="149" t="str">
        <f t="shared" si="23"/>
        <v>472A</v>
      </c>
      <c r="S277" s="150">
        <f t="shared" si="24"/>
        <v>0</v>
      </c>
      <c r="T277" s="152" t="str">
        <f>+VLOOKUP($L277,Data_Validation!$A:$D,1,0)</f>
        <v>472B</v>
      </c>
      <c r="U277" s="152" t="str">
        <f>+VLOOKUP($L277,Data_Validation!$A:$D,3,0)</f>
        <v>pièces</v>
      </c>
      <c r="V277" s="152" t="str">
        <f>+VLOOKUP($L277,Data_Validation!$A:$D,4,0)</f>
        <v>P/A Garantie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1180</v>
      </c>
      <c r="B278" s="671" t="s">
        <v>435</v>
      </c>
      <c r="C278" s="672">
        <v>-6671.83</v>
      </c>
      <c r="D278" s="672">
        <v>-1770.74</v>
      </c>
      <c r="E278" s="672">
        <v>-8442.57</v>
      </c>
      <c r="F278" s="671" t="s">
        <v>2008</v>
      </c>
      <c r="G278" s="671" t="s">
        <v>435</v>
      </c>
      <c r="H278" s="666"/>
      <c r="I278" s="665"/>
      <c r="J278" s="665"/>
      <c r="K278" s="665"/>
      <c r="L278" s="149" t="str">
        <f t="shared" si="20"/>
        <v>472D</v>
      </c>
      <c r="M278" s="150" t="str">
        <f t="shared" si="21"/>
        <v>VTE - PIECES ENTRETIEN BMW AUTO</v>
      </c>
      <c r="N278" s="151">
        <f>+IF(OR($Q278=Parametres!$G$2,$Q278=Parametres!$G$3),I278,C278)</f>
        <v>-6671.83</v>
      </c>
      <c r="O278" s="151">
        <f>+IF(OR($Q278=Parametres!$G$2,$Q278=Parametres!$G$3),J278,D278)</f>
        <v>-1770.74</v>
      </c>
      <c r="P278" s="151">
        <f>+IF(OR($Q278=Parametres!$G$2,$Q278=Parametres!$G$3),K278,E278)</f>
        <v>-8442.57</v>
      </c>
      <c r="Q278" s="150" t="str">
        <f t="shared" si="22"/>
        <v>5-Ventes</v>
      </c>
      <c r="R278" s="149" t="str">
        <f t="shared" si="23"/>
        <v>472D</v>
      </c>
      <c r="S278" s="150">
        <f t="shared" si="24"/>
        <v>0</v>
      </c>
      <c r="T278" s="152" t="str">
        <f>+VLOOKUP($L278,Data_Validation!$A:$D,1,0)</f>
        <v>472D</v>
      </c>
      <c r="U278" s="152" t="str">
        <f>+VLOOKUP($L278,Data_Validation!$A:$D,3,0)</f>
        <v>pièces</v>
      </c>
      <c r="V278" s="152" t="str">
        <f>+VLOOKUP($L278,Data_Validation!$A:$D,4,0)</f>
        <v>P/A Garantie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1150</v>
      </c>
      <c r="B279" s="718" t="s">
        <v>465</v>
      </c>
      <c r="C279" s="720">
        <v>-13234.14</v>
      </c>
      <c r="D279" s="720">
        <v>-3877.23</v>
      </c>
      <c r="E279" s="720">
        <v>-17111.37</v>
      </c>
      <c r="F279" s="718" t="s">
        <v>2008</v>
      </c>
      <c r="G279" s="718" t="s">
        <v>435</v>
      </c>
      <c r="H279" s="666"/>
      <c r="I279" s="665"/>
      <c r="J279" s="665"/>
      <c r="K279" s="665"/>
      <c r="L279" s="149" t="str">
        <f t="shared" si="20"/>
        <v>472E</v>
      </c>
      <c r="M279" s="150" t="str">
        <f t="shared" si="21"/>
        <v>VTE - PIECES ENTRETIEN BMW CAMION</v>
      </c>
      <c r="N279" s="151">
        <f>+IF(OR($Q279=Parametres!$G$2,$Q279=Parametres!$G$3),I279,C279)</f>
        <v>-13234.14</v>
      </c>
      <c r="O279" s="151">
        <f>+IF(OR($Q279=Parametres!$G$2,$Q279=Parametres!$G$3),J279,D279)</f>
        <v>-3877.23</v>
      </c>
      <c r="P279" s="151">
        <f>+IF(OR($Q279=Parametres!$G$2,$Q279=Parametres!$G$3),K279,E279)</f>
        <v>-17111.37</v>
      </c>
      <c r="Q279" s="150" t="str">
        <f t="shared" si="22"/>
        <v>5-Ventes</v>
      </c>
      <c r="R279" s="149" t="str">
        <f t="shared" si="23"/>
        <v>472D</v>
      </c>
      <c r="S279" s="150">
        <f t="shared" si="24"/>
        <v>0</v>
      </c>
      <c r="T279" s="152" t="str">
        <f>+VLOOKUP($L279,Data_Validation!$A:$D,1,0)</f>
        <v>472E</v>
      </c>
      <c r="U279" s="152" t="str">
        <f>+VLOOKUP($L279,Data_Validation!$A:$D,3,0)</f>
        <v>pièces</v>
      </c>
      <c r="V279" s="152" t="str">
        <f>+VLOOKUP($L279,Data_Validation!$A:$D,4,0)</f>
        <v>P/A Garantie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1231</v>
      </c>
      <c r="B280" s="718" t="s">
        <v>471</v>
      </c>
      <c r="C280" s="720">
        <v>0</v>
      </c>
      <c r="D280" s="720">
        <v>-412.09</v>
      </c>
      <c r="E280" s="720">
        <v>-412.09</v>
      </c>
      <c r="F280" s="718" t="s">
        <v>2008</v>
      </c>
      <c r="G280" s="718" t="s">
        <v>435</v>
      </c>
      <c r="H280" s="609"/>
      <c r="I280" s="608"/>
      <c r="J280" s="608"/>
      <c r="K280" s="608"/>
      <c r="L280" s="149" t="str">
        <f t="shared" si="20"/>
        <v>472G</v>
      </c>
      <c r="M280" s="150" t="str">
        <f t="shared" si="21"/>
        <v>VTE - PIECES ENTRETIEN BMW I</v>
      </c>
      <c r="N280" s="151">
        <f>+IF(OR($Q280=Parametres!$G$2,$Q280=Parametres!$G$3),I280,C280)</f>
        <v>0</v>
      </c>
      <c r="O280" s="151">
        <f>+IF(OR($Q280=Parametres!$G$2,$Q280=Parametres!$G$3),J280,D280)</f>
        <v>-412.09</v>
      </c>
      <c r="P280" s="151">
        <f>+IF(OR($Q280=Parametres!$G$2,$Q280=Parametres!$G$3),K280,E280)</f>
        <v>-412.09</v>
      </c>
      <c r="Q280" s="150" t="str">
        <f t="shared" si="22"/>
        <v>5-Ventes</v>
      </c>
      <c r="R280" s="149" t="str">
        <f t="shared" si="23"/>
        <v>472D</v>
      </c>
      <c r="S280" s="150">
        <f t="shared" si="24"/>
        <v>0</v>
      </c>
      <c r="T280" s="152" t="str">
        <f>+VLOOKUP($L280,Data_Validation!$A:$D,1,0)</f>
        <v>472G</v>
      </c>
      <c r="U280" s="152" t="str">
        <f>+VLOOKUP($L280,Data_Validation!$A:$D,3,0)</f>
        <v>pièces</v>
      </c>
      <c r="V280" s="152" t="str">
        <f>+VLOOKUP($L280,Data_Validation!$A:$D,4,0)</f>
        <v>P/A Garantie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1028</v>
      </c>
      <c r="B281" s="718" t="s">
        <v>635</v>
      </c>
      <c r="C281" s="720">
        <v>-23252.23</v>
      </c>
      <c r="D281" s="720">
        <v>-1011.1</v>
      </c>
      <c r="E281" s="720">
        <v>-24263.33</v>
      </c>
      <c r="F281" s="718" t="s">
        <v>2008</v>
      </c>
      <c r="G281" s="718" t="s">
        <v>1097</v>
      </c>
      <c r="H281" s="673"/>
      <c r="I281" s="672"/>
      <c r="J281" s="672"/>
      <c r="K281" s="672"/>
      <c r="L281" s="149" t="str">
        <f t="shared" si="20"/>
        <v>472H</v>
      </c>
      <c r="M281" s="150" t="str">
        <f t="shared" si="21"/>
        <v>VTE - PIECES GARANTIE BMW I</v>
      </c>
      <c r="N281" s="151">
        <f>+IF(OR($Q281=Parametres!$G$2,$Q281=Parametres!$G$3),I281,C281)</f>
        <v>-23252.23</v>
      </c>
      <c r="O281" s="151">
        <f>+IF(OR($Q281=Parametres!$G$2,$Q281=Parametres!$G$3),J281,D281)</f>
        <v>-1011.1</v>
      </c>
      <c r="P281" s="151">
        <f>+IF(OR($Q281=Parametres!$G$2,$Q281=Parametres!$G$3),K281,E281)</f>
        <v>-24263.33</v>
      </c>
      <c r="Q281" s="150" t="str">
        <f t="shared" si="22"/>
        <v>5-Ventes</v>
      </c>
      <c r="R281" s="149" t="str">
        <f t="shared" si="23"/>
        <v>472A</v>
      </c>
      <c r="S281" s="150">
        <f t="shared" si="24"/>
        <v>0</v>
      </c>
      <c r="T281" s="152" t="str">
        <f>+VLOOKUP($L281,Data_Validation!$A:$D,1,0)</f>
        <v>472H</v>
      </c>
      <c r="U281" s="152" t="str">
        <f>+VLOOKUP($L281,Data_Validation!$A:$D,3,0)</f>
        <v>pièces</v>
      </c>
      <c r="V281" s="152" t="str">
        <f>+VLOOKUP($L281,Data_Validation!$A:$D,4,0)</f>
        <v>P/A Garantie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1149</v>
      </c>
      <c r="B282" s="718" t="s">
        <v>1133</v>
      </c>
      <c r="C282" s="720">
        <v>-17780.14</v>
      </c>
      <c r="D282" s="720">
        <v>-10419.89</v>
      </c>
      <c r="E282" s="720">
        <v>-28200.03</v>
      </c>
      <c r="F282" s="718" t="s">
        <v>2008</v>
      </c>
      <c r="G282" s="718" t="s">
        <v>1133</v>
      </c>
      <c r="H282" s="673"/>
      <c r="I282" s="672"/>
      <c r="J282" s="672"/>
      <c r="K282" s="672"/>
      <c r="L282" s="149" t="str">
        <f t="shared" si="20"/>
        <v>473A</v>
      </c>
      <c r="M282" s="150" t="str">
        <f t="shared" si="21"/>
        <v>VTE - PIECES INTERNE BMW AUTO</v>
      </c>
      <c r="N282" s="151">
        <f>+IF(OR($Q282=Parametres!$G$2,$Q282=Parametres!$G$3),I282,C282)</f>
        <v>-17780.14</v>
      </c>
      <c r="O282" s="151">
        <f>+IF(OR($Q282=Parametres!$G$2,$Q282=Parametres!$G$3),J282,D282)</f>
        <v>-10419.89</v>
      </c>
      <c r="P282" s="151">
        <f>+IF(OR($Q282=Parametres!$G$2,$Q282=Parametres!$G$3),K282,E282)</f>
        <v>-28200.03</v>
      </c>
      <c r="Q282" s="150" t="str">
        <f t="shared" si="22"/>
        <v>5-Ventes</v>
      </c>
      <c r="R282" s="149" t="str">
        <f t="shared" si="23"/>
        <v>473A</v>
      </c>
      <c r="S282" s="150">
        <f t="shared" si="24"/>
        <v>0</v>
      </c>
      <c r="T282" s="152" t="str">
        <f>+VLOOKUP($L282,Data_Validation!$A:$D,1,0)</f>
        <v>473A</v>
      </c>
      <c r="U282" s="152" t="str">
        <f>+VLOOKUP($L282,Data_Validation!$A:$D,3,0)</f>
        <v>pièces</v>
      </c>
      <c r="V282" s="152" t="str">
        <f>+VLOOKUP($L282,Data_Validation!$A:$D,4,0)</f>
        <v>Ventes Internes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1132</v>
      </c>
      <c r="B283" s="718" t="s">
        <v>450</v>
      </c>
      <c r="C283" s="720">
        <v>-12561.96</v>
      </c>
      <c r="D283" s="720">
        <v>-6633.13</v>
      </c>
      <c r="E283" s="720">
        <v>-19195.09</v>
      </c>
      <c r="F283" s="718" t="s">
        <v>2008</v>
      </c>
      <c r="G283" s="718" t="s">
        <v>1133</v>
      </c>
      <c r="H283" s="673"/>
      <c r="I283" s="672"/>
      <c r="J283" s="672"/>
      <c r="K283" s="672"/>
      <c r="L283" s="149" t="str">
        <f t="shared" si="20"/>
        <v>473B</v>
      </c>
      <c r="M283" s="150" t="str">
        <f t="shared" si="21"/>
        <v>VTE - PIECES INTERNE BMW CAMION</v>
      </c>
      <c r="N283" s="151">
        <f>+IF(OR($Q283=Parametres!$G$2,$Q283=Parametres!$G$3),I283,C283)</f>
        <v>-12561.96</v>
      </c>
      <c r="O283" s="151">
        <f>+IF(OR($Q283=Parametres!$G$2,$Q283=Parametres!$G$3),J283,D283)</f>
        <v>-6633.13</v>
      </c>
      <c r="P283" s="151">
        <f>+IF(OR($Q283=Parametres!$G$2,$Q283=Parametres!$G$3),K283,E283)</f>
        <v>-19195.09</v>
      </c>
      <c r="Q283" s="150" t="str">
        <f t="shared" si="22"/>
        <v>5-Ventes</v>
      </c>
      <c r="R283" s="149" t="str">
        <f t="shared" si="23"/>
        <v>473A</v>
      </c>
      <c r="S283" s="150">
        <f t="shared" si="24"/>
        <v>0</v>
      </c>
      <c r="T283" s="152" t="str">
        <f>+VLOOKUP($L283,Data_Validation!$A:$D,1,0)</f>
        <v>473B</v>
      </c>
      <c r="U283" s="152" t="str">
        <f>+VLOOKUP($L283,Data_Validation!$A:$D,3,0)</f>
        <v>pièces</v>
      </c>
      <c r="V283" s="152" t="str">
        <f>+VLOOKUP($L283,Data_Validation!$A:$D,4,0)</f>
        <v>Ventes Internes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636</v>
      </c>
      <c r="B284" s="718" t="s">
        <v>637</v>
      </c>
      <c r="C284" s="720">
        <v>-986.15</v>
      </c>
      <c r="D284" s="720">
        <v>-1834.41</v>
      </c>
      <c r="E284" s="720">
        <v>-2820.56</v>
      </c>
      <c r="F284" s="718" t="s">
        <v>2008</v>
      </c>
      <c r="G284" s="718" t="s">
        <v>1133</v>
      </c>
      <c r="H284" s="673"/>
      <c r="I284" s="672"/>
      <c r="J284" s="672"/>
      <c r="K284" s="672"/>
      <c r="L284" s="149" t="str">
        <f t="shared" si="20"/>
        <v>473D</v>
      </c>
      <c r="M284" s="150" t="str">
        <f t="shared" si="21"/>
        <v>VTE - PIECES INTERNE BMW I</v>
      </c>
      <c r="N284" s="151">
        <f>+IF(OR($Q284=Parametres!$G$2,$Q284=Parametres!$G$3),I284,C284)</f>
        <v>-986.15</v>
      </c>
      <c r="O284" s="151">
        <f>+IF(OR($Q284=Parametres!$G$2,$Q284=Parametres!$G$3),J284,D284)</f>
        <v>-1834.41</v>
      </c>
      <c r="P284" s="151">
        <f>+IF(OR($Q284=Parametres!$G$2,$Q284=Parametres!$G$3),K284,E284)</f>
        <v>-2820.56</v>
      </c>
      <c r="Q284" s="150" t="str">
        <f t="shared" si="22"/>
        <v>5-Ventes</v>
      </c>
      <c r="R284" s="149" t="str">
        <f t="shared" si="23"/>
        <v>473A</v>
      </c>
      <c r="S284" s="150">
        <f t="shared" si="24"/>
        <v>0</v>
      </c>
      <c r="T284" s="152" t="str">
        <f>+VLOOKUP($L284,Data_Validation!$A:$D,1,0)</f>
        <v>473D</v>
      </c>
      <c r="U284" s="152" t="str">
        <f>+VLOOKUP($L284,Data_Validation!$A:$D,3,0)</f>
        <v>pièces</v>
      </c>
      <c r="V284" s="152" t="str">
        <f>+VLOOKUP($L284,Data_Validation!$A:$D,4,0)</f>
        <v>Ventes Internes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1118</v>
      </c>
      <c r="B285" s="718" t="s">
        <v>1119</v>
      </c>
      <c r="C285" s="720">
        <v>-39595.53</v>
      </c>
      <c r="D285" s="720">
        <v>-18366.46</v>
      </c>
      <c r="E285" s="720">
        <v>-57961.99</v>
      </c>
      <c r="F285" s="718" t="s">
        <v>2008</v>
      </c>
      <c r="G285" s="718" t="s">
        <v>1119</v>
      </c>
      <c r="H285" s="673"/>
      <c r="I285" s="672"/>
      <c r="J285" s="672"/>
      <c r="K285" s="672"/>
      <c r="L285" s="149" t="str">
        <f t="shared" si="20"/>
        <v>474A</v>
      </c>
      <c r="M285" s="150" t="str">
        <f t="shared" si="21"/>
        <v>VTE - PIECES COMPTOIR BMW AUTO</v>
      </c>
      <c r="N285" s="151">
        <f>+IF(OR($Q285=Parametres!$G$2,$Q285=Parametres!$G$3),I285,C285)</f>
        <v>-39595.53</v>
      </c>
      <c r="O285" s="151">
        <f>+IF(OR($Q285=Parametres!$G$2,$Q285=Parametres!$G$3),J285,D285)</f>
        <v>-18366.46</v>
      </c>
      <c r="P285" s="151">
        <f>+IF(OR($Q285=Parametres!$G$2,$Q285=Parametres!$G$3),K285,E285)</f>
        <v>-57961.99</v>
      </c>
      <c r="Q285" s="150" t="str">
        <f t="shared" si="22"/>
        <v>5-Ventes</v>
      </c>
      <c r="R285" s="149" t="str">
        <f t="shared" si="23"/>
        <v>474A</v>
      </c>
      <c r="S285" s="150">
        <f t="shared" si="24"/>
        <v>0</v>
      </c>
      <c r="T285" s="152" t="str">
        <f>+VLOOKUP($L285,Data_Validation!$A:$D,1,0)</f>
        <v>474A</v>
      </c>
      <c r="U285" s="152" t="str">
        <f>+VLOOKUP($L285,Data_Validation!$A:$D,3,0)</f>
        <v>pièces</v>
      </c>
      <c r="V285" s="152" t="str">
        <f>+VLOOKUP($L285,Data_Validation!$A:$D,4,0)</f>
        <v>Ventes Détails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1188</v>
      </c>
      <c r="B286" s="718" t="s">
        <v>461</v>
      </c>
      <c r="C286" s="720">
        <v>-1972.43</v>
      </c>
      <c r="D286" s="720">
        <v>-1142.8699999999999</v>
      </c>
      <c r="E286" s="720">
        <v>-3115.3</v>
      </c>
      <c r="F286" s="718" t="s">
        <v>2008</v>
      </c>
      <c r="G286" s="718" t="s">
        <v>1119</v>
      </c>
      <c r="H286" s="673"/>
      <c r="I286" s="672"/>
      <c r="J286" s="672"/>
      <c r="K286" s="672"/>
      <c r="L286" s="149" t="str">
        <f t="shared" si="20"/>
        <v>474D</v>
      </c>
      <c r="M286" s="150" t="str">
        <f t="shared" si="21"/>
        <v>VTE - PIECES COMP. BMW LIFESTYLE</v>
      </c>
      <c r="N286" s="151">
        <f>+IF(OR($Q286=Parametres!$G$2,$Q286=Parametres!$G$3),I286,C286)</f>
        <v>-1972.43</v>
      </c>
      <c r="O286" s="151">
        <f>+IF(OR($Q286=Parametres!$G$2,$Q286=Parametres!$G$3),J286,D286)</f>
        <v>-1142.8699999999999</v>
      </c>
      <c r="P286" s="151">
        <f>+IF(OR($Q286=Parametres!$G$2,$Q286=Parametres!$G$3),K286,E286)</f>
        <v>-3115.3</v>
      </c>
      <c r="Q286" s="150" t="str">
        <f t="shared" si="22"/>
        <v>5-Ventes</v>
      </c>
      <c r="R286" s="149" t="str">
        <f t="shared" si="23"/>
        <v>474A</v>
      </c>
      <c r="S286" s="150">
        <f t="shared" si="24"/>
        <v>0</v>
      </c>
      <c r="T286" s="152" t="str">
        <f>+VLOOKUP($L286,Data_Validation!$A:$D,1,0)</f>
        <v>474D</v>
      </c>
      <c r="U286" s="152" t="str">
        <f>+VLOOKUP($L286,Data_Validation!$A:$D,3,0)</f>
        <v>pièces</v>
      </c>
      <c r="V286" s="152" t="str">
        <f>+VLOOKUP($L286,Data_Validation!$A:$D,4,0)</f>
        <v>Ventes Détails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1134</v>
      </c>
      <c r="B287" s="718" t="s">
        <v>426</v>
      </c>
      <c r="C287" s="720">
        <v>-28695.95</v>
      </c>
      <c r="D287" s="720">
        <v>-7892.62</v>
      </c>
      <c r="E287" s="720">
        <v>-36588.57</v>
      </c>
      <c r="F287" s="718" t="s">
        <v>2008</v>
      </c>
      <c r="G287" s="718" t="s">
        <v>1119</v>
      </c>
      <c r="H287" s="673"/>
      <c r="I287" s="673"/>
      <c r="J287" s="673"/>
      <c r="K287" s="673"/>
      <c r="L287" s="149" t="str">
        <f t="shared" si="20"/>
        <v>474E</v>
      </c>
      <c r="M287" s="508" t="str">
        <f t="shared" si="21"/>
        <v>VTE - PIECES COMP. BMW ACCESSOIRE</v>
      </c>
      <c r="N287" s="151">
        <f>+IF(OR($Q287=Parametres!$G$2,$Q287=Parametres!$G$3),I287,C287)</f>
        <v>-28695.95</v>
      </c>
      <c r="O287" s="509">
        <f>+IF(OR($Q287=Parametres!$G$2,$Q287=Parametres!$G$3),J287,D287)</f>
        <v>-7892.62</v>
      </c>
      <c r="P287" s="510">
        <f>+IF(OR($Q287=Parametres!$G$2,$Q287=Parametres!$G$3),K287,E287)</f>
        <v>-36588.57</v>
      </c>
      <c r="Q287" s="150" t="str">
        <f t="shared" si="22"/>
        <v>5-Ventes</v>
      </c>
      <c r="R287" s="149" t="str">
        <f t="shared" si="23"/>
        <v>474A</v>
      </c>
      <c r="S287" s="150">
        <f t="shared" si="24"/>
        <v>0</v>
      </c>
      <c r="T287" s="152" t="str">
        <f>+VLOOKUP($L287,Data_Validation!$A:$D,1,0)</f>
        <v>474E</v>
      </c>
      <c r="U287" s="152" t="str">
        <f>+VLOOKUP($L287,Data_Validation!$A:$D,3,0)</f>
        <v>pièces</v>
      </c>
      <c r="V287" s="152" t="str">
        <f>+VLOOKUP($L287,Data_Validation!$A:$D,4,0)</f>
        <v>Ventes Détails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1167</v>
      </c>
      <c r="B288" s="671" t="s">
        <v>1168</v>
      </c>
      <c r="C288" s="672">
        <v>-137575.72</v>
      </c>
      <c r="D288" s="672">
        <v>-50271.28</v>
      </c>
      <c r="E288" s="672">
        <v>-187847</v>
      </c>
      <c r="F288" s="671" t="s">
        <v>2008</v>
      </c>
      <c r="G288" s="671" t="s">
        <v>1168</v>
      </c>
      <c r="H288" s="666"/>
      <c r="I288" s="665"/>
      <c r="J288" s="665"/>
      <c r="K288" s="665"/>
      <c r="L288" s="149" t="str">
        <f t="shared" si="20"/>
        <v>475A</v>
      </c>
      <c r="M288" s="150" t="str">
        <f t="shared" si="21"/>
        <v>VTE - PIECES GROS BMW AUTO</v>
      </c>
      <c r="N288" s="151">
        <f>+IF(OR($Q288=Parametres!$G$2,$Q288=Parametres!$G$3),I288,C288)</f>
        <v>-137575.72</v>
      </c>
      <c r="O288" s="151">
        <f>+IF(OR($Q288=Parametres!$G$2,$Q288=Parametres!$G$3),J288,D288)</f>
        <v>-50271.28</v>
      </c>
      <c r="P288" s="151">
        <f>+IF(OR($Q288=Parametres!$G$2,$Q288=Parametres!$G$3),K288,E288)</f>
        <v>-187847</v>
      </c>
      <c r="Q288" s="150" t="str">
        <f t="shared" si="22"/>
        <v>5-Ventes</v>
      </c>
      <c r="R288" s="149" t="str">
        <f t="shared" si="23"/>
        <v>475A</v>
      </c>
      <c r="S288" s="150">
        <f t="shared" si="24"/>
        <v>0</v>
      </c>
      <c r="T288" s="152" t="str">
        <f>+VLOOKUP($L288,Data_Validation!$A:$D,1,0)</f>
        <v>475A</v>
      </c>
      <c r="U288" s="152" t="str">
        <f>+VLOOKUP($L288,Data_Validation!$A:$D,3,0)</f>
        <v>pièces</v>
      </c>
      <c r="V288" s="152" t="str">
        <f>+VLOOKUP($L288,Data_Validation!$A:$D,4,0)</f>
        <v>Ventes de Gros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2527</v>
      </c>
      <c r="B289" s="718" t="s">
        <v>2528</v>
      </c>
      <c r="C289" s="720">
        <v>0</v>
      </c>
      <c r="D289" s="720">
        <v>-142573.5</v>
      </c>
      <c r="E289" s="720">
        <v>-142573.5</v>
      </c>
      <c r="F289" s="718" t="s">
        <v>2008</v>
      </c>
      <c r="G289" s="718" t="s">
        <v>2528</v>
      </c>
      <c r="H289" s="673"/>
      <c r="I289" s="672"/>
      <c r="J289" s="672"/>
      <c r="K289" s="672"/>
      <c r="L289" s="149" t="str">
        <f t="shared" si="20"/>
        <v>480C</v>
      </c>
      <c r="M289" s="150" t="str">
        <f t="shared" si="21"/>
        <v>VTES -VTE - X7 M60i</v>
      </c>
      <c r="N289" s="151">
        <f>+IF(OR($Q289=Parametres!$G$2,$Q289=Parametres!$G$3),I289,C289)</f>
        <v>0</v>
      </c>
      <c r="O289" s="151">
        <f>+IF(OR($Q289=Parametres!$G$2,$Q289=Parametres!$G$3),J289,D289)</f>
        <v>-142573.5</v>
      </c>
      <c r="P289" s="151">
        <f>+IF(OR($Q289=Parametres!$G$2,$Q289=Parametres!$G$3),K289,E289)</f>
        <v>-142573.5</v>
      </c>
      <c r="Q289" s="150" t="str">
        <f t="shared" si="22"/>
        <v>5-Ventes</v>
      </c>
      <c r="R289" s="149" t="str">
        <f t="shared" si="23"/>
        <v>480C</v>
      </c>
      <c r="S289" s="150">
        <f t="shared" si="24"/>
        <v>0</v>
      </c>
      <c r="T289" s="152" t="str">
        <f>+VLOOKUP($L289,Data_Validation!$A:$D,1,0)</f>
        <v>480C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2863</v>
      </c>
      <c r="B290" s="718" t="s">
        <v>2864</v>
      </c>
      <c r="C290" s="719">
        <v>-246468.25</v>
      </c>
      <c r="D290" s="719">
        <v>0</v>
      </c>
      <c r="E290" s="719">
        <v>-246468.25</v>
      </c>
      <c r="F290" s="718" t="s">
        <v>2008</v>
      </c>
      <c r="G290" s="718" t="s">
        <v>2530</v>
      </c>
      <c r="H290" s="719"/>
      <c r="I290" s="720"/>
      <c r="J290" s="720"/>
      <c r="K290" s="720"/>
      <c r="L290" s="149" t="str">
        <f t="shared" si="20"/>
        <v>481A</v>
      </c>
      <c r="M290" s="150" t="str">
        <f t="shared" si="21"/>
        <v>XM LABEL</v>
      </c>
      <c r="N290" s="151">
        <f>+IF(OR($Q290=Parametres!$G$2,$Q290=Parametres!$G$3),I290,C290)</f>
        <v>-246468.25</v>
      </c>
      <c r="O290" s="151">
        <f>+IF(OR($Q290=Parametres!$G$2,$Q290=Parametres!$G$3),J290,D290)</f>
        <v>0</v>
      </c>
      <c r="P290" s="151">
        <f>+IF(OR($Q290=Parametres!$G$2,$Q290=Parametres!$G$3),K290,E290)</f>
        <v>-246468.25</v>
      </c>
      <c r="Q290" s="150" t="str">
        <f t="shared" si="22"/>
        <v>5-Ventes</v>
      </c>
      <c r="R290" s="149" t="str">
        <f t="shared" si="23"/>
        <v>481</v>
      </c>
      <c r="S290" s="150">
        <f t="shared" si="24"/>
        <v>0</v>
      </c>
      <c r="T290" s="152" t="str">
        <f>+VLOOKUP($L290,Data_Validation!$A:$D,1,0)</f>
        <v>481A</v>
      </c>
      <c r="U290" s="152" t="str">
        <f>+VLOOKUP($L290,Data_Validation!$A:$D,3,0)</f>
        <v>Véhicules neufs</v>
      </c>
      <c r="V290" s="152" t="str">
        <f>+VLOOKUP($L290,Data_Validation!$A:$D,4,0)</f>
        <v>Camions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423</v>
      </c>
      <c r="B291" s="718" t="s">
        <v>418</v>
      </c>
      <c r="C291" s="720">
        <v>-73387.97</v>
      </c>
      <c r="D291" s="720">
        <v>-112823.72</v>
      </c>
      <c r="E291" s="720">
        <v>-186211.69</v>
      </c>
      <c r="F291" s="718" t="s">
        <v>2008</v>
      </c>
      <c r="G291" s="718" t="s">
        <v>418</v>
      </c>
      <c r="H291" s="673"/>
      <c r="I291" s="673"/>
      <c r="J291" s="673"/>
      <c r="K291" s="673"/>
      <c r="L291" s="149" t="str">
        <f t="shared" si="20"/>
        <v>488A</v>
      </c>
      <c r="M291" s="150" t="str">
        <f t="shared" si="21"/>
        <v>VTE - PNEUS</v>
      </c>
      <c r="N291" s="151">
        <f>+IF(OR($Q291=Parametres!$G$2,$Q291=Parametres!$G$3),I291,C291)</f>
        <v>-73387.97</v>
      </c>
      <c r="O291" s="151">
        <f>+IF(OR($Q291=Parametres!$G$2,$Q291=Parametres!$G$3),J291,D291)</f>
        <v>-112823.72</v>
      </c>
      <c r="P291" s="151">
        <f>+IF(OR($Q291=Parametres!$G$2,$Q291=Parametres!$G$3),K291,E291)</f>
        <v>-186211.69</v>
      </c>
      <c r="Q291" s="150" t="str">
        <f t="shared" si="22"/>
        <v>5-Ventes</v>
      </c>
      <c r="R291" s="149" t="str">
        <f t="shared" si="23"/>
        <v>488A</v>
      </c>
      <c r="S291" s="150">
        <f t="shared" si="24"/>
        <v>0</v>
      </c>
      <c r="T291" s="152" t="str">
        <f>+VLOOKUP($L291,Data_Validation!$A:$D,1,0)</f>
        <v>488A</v>
      </c>
      <c r="U291" s="152" t="str">
        <f>+VLOOKUP($L291,Data_Validation!$A:$D,3,0)</f>
        <v>pièces</v>
      </c>
      <c r="V291" s="152" t="str">
        <f>+VLOOKUP($L291,Data_Validation!$A:$D,4,0)</f>
        <v>Ventes Pneus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1147</v>
      </c>
      <c r="B292" s="718" t="s">
        <v>446</v>
      </c>
      <c r="C292" s="720">
        <v>-10535.47</v>
      </c>
      <c r="D292" s="720">
        <v>-5005.8599999999997</v>
      </c>
      <c r="E292" s="720">
        <v>-15541.33</v>
      </c>
      <c r="F292" s="718" t="s">
        <v>2008</v>
      </c>
      <c r="G292" s="718" t="s">
        <v>446</v>
      </c>
      <c r="H292" s="673"/>
      <c r="I292" s="672"/>
      <c r="J292" s="672"/>
      <c r="K292" s="672"/>
      <c r="L292" s="149" t="str">
        <f t="shared" si="20"/>
        <v>489A</v>
      </c>
      <c r="M292" s="150" t="str">
        <f t="shared" si="21"/>
        <v>VTE - HUILES &amp; GRAISSES</v>
      </c>
      <c r="N292" s="151">
        <f>+IF(OR($Q292=Parametres!$G$2,$Q292=Parametres!$G$3),I292,C292)</f>
        <v>-10535.47</v>
      </c>
      <c r="O292" s="151">
        <f>+IF(OR($Q292=Parametres!$G$2,$Q292=Parametres!$G$3),J292,D292)</f>
        <v>-5005.8599999999997</v>
      </c>
      <c r="P292" s="151">
        <f>+IF(OR($Q292=Parametres!$G$2,$Q292=Parametres!$G$3),K292,E292)</f>
        <v>-15541.33</v>
      </c>
      <c r="Q292" s="150" t="str">
        <f t="shared" si="22"/>
        <v>5-Ventes</v>
      </c>
      <c r="R292" s="149" t="str">
        <f t="shared" si="23"/>
        <v>489A</v>
      </c>
      <c r="S292" s="150">
        <f t="shared" si="24"/>
        <v>0</v>
      </c>
      <c r="T292" s="152" t="str">
        <f>+VLOOKUP($L292,Data_Validation!$A:$D,1,0)</f>
        <v>489A</v>
      </c>
      <c r="U292" s="152" t="str">
        <f>+VLOOKUP($L292,Data_Validation!$A:$D,3,0)</f>
        <v>pièces</v>
      </c>
      <c r="V292" s="152" t="str">
        <f>+VLOOKUP($L292,Data_Validation!$A:$D,4,0)</f>
        <v>Huiles et Graisse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1151</v>
      </c>
      <c r="B293" s="671" t="s">
        <v>1152</v>
      </c>
      <c r="C293" s="672">
        <v>-14709.24</v>
      </c>
      <c r="D293" s="672">
        <v>-6963.07</v>
      </c>
      <c r="E293" s="672">
        <v>-21672.31</v>
      </c>
      <c r="F293" s="671" t="s">
        <v>2008</v>
      </c>
      <c r="G293" s="671" t="s">
        <v>446</v>
      </c>
      <c r="H293" s="666"/>
      <c r="I293" s="665"/>
      <c r="J293" s="665"/>
      <c r="K293" s="665"/>
      <c r="L293" s="149" t="str">
        <f t="shared" si="20"/>
        <v>489B</v>
      </c>
      <c r="M293" s="150" t="str">
        <f t="shared" si="21"/>
        <v>VTE - HUILE &amp; GRAISSE</v>
      </c>
      <c r="N293" s="151">
        <f>+IF(OR($Q293=Parametres!$G$2,$Q293=Parametres!$G$3),I293,C293)</f>
        <v>-14709.24</v>
      </c>
      <c r="O293" s="151">
        <f>+IF(OR($Q293=Parametres!$G$2,$Q293=Parametres!$G$3),J293,D293)</f>
        <v>-6963.07</v>
      </c>
      <c r="P293" s="151">
        <f>+IF(OR($Q293=Parametres!$G$2,$Q293=Parametres!$G$3),K293,E293)</f>
        <v>-21672.31</v>
      </c>
      <c r="Q293" s="150" t="str">
        <f t="shared" si="22"/>
        <v>5-Ventes</v>
      </c>
      <c r="R293" s="149" t="str">
        <f t="shared" si="23"/>
        <v>489A</v>
      </c>
      <c r="S293" s="150">
        <f t="shared" si="24"/>
        <v>0</v>
      </c>
      <c r="T293" s="152" t="str">
        <f>+VLOOKUP($L293,Data_Validation!$A:$D,1,0)</f>
        <v>489B</v>
      </c>
      <c r="U293" s="152" t="str">
        <f>+VLOOKUP($L293,Data_Validation!$A:$D,3,0)</f>
        <v>pièces</v>
      </c>
      <c r="V293" s="152" t="str">
        <f>+VLOOKUP($L293,Data_Validation!$A:$D,4,0)</f>
        <v>Huiles et Graisse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1414</v>
      </c>
      <c r="B294" s="671" t="s">
        <v>366</v>
      </c>
      <c r="C294" s="672">
        <v>-5531.04</v>
      </c>
      <c r="D294" s="672">
        <v>-349.28</v>
      </c>
      <c r="E294" s="672">
        <v>-5880.32</v>
      </c>
      <c r="F294" s="671" t="s">
        <v>2008</v>
      </c>
      <c r="G294" s="671" t="s">
        <v>366</v>
      </c>
      <c r="H294" s="666"/>
      <c r="I294" s="665"/>
      <c r="J294" s="665"/>
      <c r="K294" s="665"/>
      <c r="L294" s="149" t="str">
        <f t="shared" si="20"/>
        <v>493</v>
      </c>
      <c r="M294" s="150" t="str">
        <f t="shared" si="21"/>
        <v>VTE - M/O CARROSERIE BMW</v>
      </c>
      <c r="N294" s="151">
        <f>+IF(OR($Q294=Parametres!$G$2,$Q294=Parametres!$G$3),I294,C294)</f>
        <v>-5531.04</v>
      </c>
      <c r="O294" s="151">
        <f>+IF(OR($Q294=Parametres!$G$2,$Q294=Parametres!$G$3),J294,D294)</f>
        <v>-349.28</v>
      </c>
      <c r="P294" s="151">
        <f>+IF(OR($Q294=Parametres!$G$2,$Q294=Parametres!$G$3),K294,E294)</f>
        <v>-5880.32</v>
      </c>
      <c r="Q294" s="150" t="str">
        <f t="shared" si="22"/>
        <v>5-Ventes</v>
      </c>
      <c r="R294" s="149" t="str">
        <f t="shared" si="23"/>
        <v>493</v>
      </c>
      <c r="S294" s="150">
        <f t="shared" si="24"/>
        <v>0</v>
      </c>
      <c r="T294" s="152" t="str">
        <f>+VLOOKUP($L294,Data_Validation!$A:$D,1,0)</f>
        <v>493</v>
      </c>
      <c r="U294" s="152" t="str">
        <f>+VLOOKUP($L294,Data_Validation!$A:$D,3,0)</f>
        <v>carrosserie</v>
      </c>
      <c r="V294" s="152" t="str">
        <f>+VLOOKUP($L294,Data_Validation!$A:$D,4,0)</f>
        <v>M/O Sous-traitement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2516</v>
      </c>
      <c r="B295" s="671" t="s">
        <v>2517</v>
      </c>
      <c r="C295" s="672">
        <v>207.5</v>
      </c>
      <c r="D295" s="672">
        <v>0</v>
      </c>
      <c r="E295" s="672">
        <v>207.5</v>
      </c>
      <c r="F295" s="671" t="s">
        <v>2016</v>
      </c>
      <c r="G295" s="671" t="s">
        <v>2515</v>
      </c>
      <c r="H295" s="666"/>
      <c r="I295" s="665"/>
      <c r="J295" s="665"/>
      <c r="K295" s="665"/>
      <c r="L295" s="149" t="str">
        <f t="shared" si="20"/>
        <v>601F</v>
      </c>
      <c r="M295" s="150" t="str">
        <f t="shared" si="21"/>
        <v>C/V - M2</v>
      </c>
      <c r="N295" s="151">
        <f>+IF(OR($Q295=Parametres!$G$2,$Q295=Parametres!$G$3),I295,C295)</f>
        <v>207.5</v>
      </c>
      <c r="O295" s="151">
        <f>+IF(OR($Q295=Parametres!$G$2,$Q295=Parametres!$G$3),J295,D295)</f>
        <v>0</v>
      </c>
      <c r="P295" s="151">
        <f>+IF(OR($Q295=Parametres!$G$2,$Q295=Parametres!$G$3),K295,E295)</f>
        <v>207.5</v>
      </c>
      <c r="Q295" s="150" t="str">
        <f t="shared" si="22"/>
        <v>6-Coût des ventes</v>
      </c>
      <c r="R295" s="149" t="str">
        <f t="shared" si="23"/>
        <v>401F</v>
      </c>
      <c r="S295" s="150">
        <f t="shared" si="24"/>
        <v>0</v>
      </c>
      <c r="T295" s="152" t="str">
        <f>+VLOOKUP($L295,Data_Validation!$A:$D,1,0)</f>
        <v>601F</v>
      </c>
      <c r="U295" s="152" t="str">
        <f>+VLOOKUP($L295,Data_Validation!$A:$D,3,0)</f>
        <v>Véhicules neufs</v>
      </c>
      <c r="V295" s="152" t="str">
        <f>+VLOOKUP($L295,Data_Validation!$A:$D,4,0)</f>
        <v>Autos détail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2350</v>
      </c>
      <c r="B296" s="718" t="s">
        <v>2351</v>
      </c>
      <c r="C296" s="720">
        <v>106707.52</v>
      </c>
      <c r="D296" s="720">
        <v>111938.3</v>
      </c>
      <c r="E296" s="720">
        <v>218645.82</v>
      </c>
      <c r="F296" s="718" t="s">
        <v>2016</v>
      </c>
      <c r="G296" s="718" t="s">
        <v>2345</v>
      </c>
      <c r="H296" s="666"/>
      <c r="I296" s="665"/>
      <c r="J296" s="665"/>
      <c r="K296" s="665"/>
      <c r="L296" s="149" t="str">
        <f t="shared" si="20"/>
        <v>602B</v>
      </c>
      <c r="M296" s="150" t="str">
        <f t="shared" si="21"/>
        <v>C/V - IX XDRIVE 50</v>
      </c>
      <c r="N296" s="151">
        <f>+IF(OR($Q296=Parametres!$G$2,$Q296=Parametres!$G$3),I296,C296)</f>
        <v>106707.52</v>
      </c>
      <c r="O296" s="151">
        <f>+IF(OR($Q296=Parametres!$G$2,$Q296=Parametres!$G$3),J296,D296)</f>
        <v>111938.3</v>
      </c>
      <c r="P296" s="151">
        <f>+IF(OR($Q296=Parametres!$G$2,$Q296=Parametres!$G$3),K296,E296)</f>
        <v>218645.82</v>
      </c>
      <c r="Q296" s="150" t="str">
        <f t="shared" si="22"/>
        <v>6-Coût des ventes</v>
      </c>
      <c r="R296" s="149" t="str">
        <f t="shared" si="23"/>
        <v>402B</v>
      </c>
      <c r="S296" s="150">
        <f t="shared" si="24"/>
        <v>0</v>
      </c>
      <c r="T296" s="152" t="str">
        <f>+VLOOKUP($L296,Data_Validation!$A:$D,1,0)</f>
        <v>602B</v>
      </c>
      <c r="U296" s="152" t="str">
        <f>+VLOOKUP($L296,Data_Validation!$A:$D,3,0)</f>
        <v>Véhicules neufs</v>
      </c>
      <c r="V296" s="152" t="str">
        <f>+VLOOKUP($L296,Data_Validation!$A:$D,4,0)</f>
        <v>Camions détail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2354</v>
      </c>
      <c r="B297" s="671" t="s">
        <v>2355</v>
      </c>
      <c r="C297" s="672">
        <v>234612.72</v>
      </c>
      <c r="D297" s="672">
        <v>156309.01999999999</v>
      </c>
      <c r="E297" s="672">
        <v>390921.74</v>
      </c>
      <c r="F297" s="671" t="s">
        <v>2016</v>
      </c>
      <c r="G297" s="671" t="s">
        <v>2349</v>
      </c>
      <c r="H297" s="666"/>
      <c r="I297" s="665"/>
      <c r="J297" s="665"/>
      <c r="K297" s="665"/>
      <c r="L297" s="149" t="str">
        <f t="shared" si="20"/>
        <v>604I</v>
      </c>
      <c r="M297" s="150" t="str">
        <f t="shared" si="21"/>
        <v>C/V - i4 eDRIVE40 GRAN COUPE</v>
      </c>
      <c r="N297" s="151">
        <f>+IF(OR($Q297=Parametres!$G$2,$Q297=Parametres!$G$3),I297,C297)</f>
        <v>234612.72</v>
      </c>
      <c r="O297" s="151">
        <f>+IF(OR($Q297=Parametres!$G$2,$Q297=Parametres!$G$3),J297,D297)</f>
        <v>156309.01999999999</v>
      </c>
      <c r="P297" s="151">
        <f>+IF(OR($Q297=Parametres!$G$2,$Q297=Parametres!$G$3),K297,E297)</f>
        <v>390921.74</v>
      </c>
      <c r="Q297" s="150" t="str">
        <f t="shared" si="22"/>
        <v>6-Coût des ventes</v>
      </c>
      <c r="R297" s="149" t="str">
        <f t="shared" si="23"/>
        <v>404I</v>
      </c>
      <c r="S297" s="150">
        <f t="shared" si="24"/>
        <v>0</v>
      </c>
      <c r="T297" s="152" t="str">
        <f>+VLOOKUP($L297,Data_Validation!$A:$D,1,0)</f>
        <v>604I</v>
      </c>
      <c r="U297" s="152" t="str">
        <f>+VLOOKUP($L297,Data_Validation!$A:$D,3,0)</f>
        <v>Véhicules neufs</v>
      </c>
      <c r="V297" s="152" t="str">
        <f>+VLOOKUP($L297,Data_Validation!$A:$D,4,0)</f>
        <v>Autos détail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1415</v>
      </c>
      <c r="B298" s="718" t="s">
        <v>643</v>
      </c>
      <c r="C298" s="720">
        <v>0</v>
      </c>
      <c r="D298" s="720">
        <v>82763.5</v>
      </c>
      <c r="E298" s="720">
        <v>82763.5</v>
      </c>
      <c r="F298" s="718" t="s">
        <v>2016</v>
      </c>
      <c r="G298" s="718" t="s">
        <v>606</v>
      </c>
      <c r="H298" s="666"/>
      <c r="I298" s="665"/>
      <c r="J298" s="665"/>
      <c r="K298" s="665"/>
      <c r="L298" s="149" t="str">
        <f t="shared" si="20"/>
        <v>605B</v>
      </c>
      <c r="M298" s="150" t="str">
        <f t="shared" si="21"/>
        <v>C/V - 430I XDRIVE CABRIOLET</v>
      </c>
      <c r="N298" s="151">
        <f>+IF(OR($Q298=Parametres!$G$2,$Q298=Parametres!$G$3),I298,C298)</f>
        <v>0</v>
      </c>
      <c r="O298" s="151">
        <f>+IF(OR($Q298=Parametres!$G$2,$Q298=Parametres!$G$3),J298,D298)</f>
        <v>82763.5</v>
      </c>
      <c r="P298" s="151">
        <f>+IF(OR($Q298=Parametres!$G$2,$Q298=Parametres!$G$3),K298,E298)</f>
        <v>82763.5</v>
      </c>
      <c r="Q298" s="150" t="str">
        <f t="shared" si="22"/>
        <v>6-Coût des ventes</v>
      </c>
      <c r="R298" s="149" t="str">
        <f t="shared" si="23"/>
        <v>405B</v>
      </c>
      <c r="S298" s="150">
        <f t="shared" si="24"/>
        <v>0</v>
      </c>
      <c r="T298" s="152" t="str">
        <f>+VLOOKUP($L298,Data_Validation!$A:$D,1,0)</f>
        <v>605B</v>
      </c>
      <c r="U298" s="152" t="str">
        <f>+VLOOKUP($L298,Data_Validation!$A:$D,3,0)</f>
        <v>Véhicules neufs</v>
      </c>
      <c r="V298" s="152" t="str">
        <f>+VLOOKUP($L298,Data_Validation!$A:$D,4,0)</f>
        <v>Autos détail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2483</v>
      </c>
      <c r="B299" s="718" t="s">
        <v>2484</v>
      </c>
      <c r="C299" s="720">
        <v>64894.87</v>
      </c>
      <c r="D299" s="720">
        <v>205168.74</v>
      </c>
      <c r="E299" s="720">
        <v>270063.61</v>
      </c>
      <c r="F299" s="718" t="s">
        <v>2016</v>
      </c>
      <c r="G299" s="718" t="s">
        <v>2480</v>
      </c>
      <c r="H299" s="666"/>
      <c r="I299" s="665"/>
      <c r="J299" s="665"/>
      <c r="K299" s="665"/>
      <c r="L299" s="149" t="str">
        <f t="shared" si="20"/>
        <v>605C</v>
      </c>
      <c r="M299" s="150" t="str">
        <f t="shared" si="21"/>
        <v>C/V - i4 eDRIVE35</v>
      </c>
      <c r="N299" s="151">
        <f>+IF(OR($Q299=Parametres!$G$2,$Q299=Parametres!$G$3),I299,C299)</f>
        <v>64894.87</v>
      </c>
      <c r="O299" s="151">
        <f>+IF(OR($Q299=Parametres!$G$2,$Q299=Parametres!$G$3),J299,D299)</f>
        <v>205168.74</v>
      </c>
      <c r="P299" s="151">
        <f>+IF(OR($Q299=Parametres!$G$2,$Q299=Parametres!$G$3),K299,E299)</f>
        <v>270063.61</v>
      </c>
      <c r="Q299" s="150" t="str">
        <f t="shared" si="22"/>
        <v>6-Coût des ventes</v>
      </c>
      <c r="R299" s="149" t="str">
        <f t="shared" si="23"/>
        <v>405C</v>
      </c>
      <c r="S299" s="150">
        <f t="shared" si="24"/>
        <v>0</v>
      </c>
      <c r="T299" s="152" t="str">
        <f>+VLOOKUP($L299,Data_Validation!$A:$D,1,0)</f>
        <v>605C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1867</v>
      </c>
      <c r="B300" s="718" t="s">
        <v>645</v>
      </c>
      <c r="C300" s="720">
        <v>0</v>
      </c>
      <c r="D300" s="720">
        <v>65199.61</v>
      </c>
      <c r="E300" s="720">
        <v>65199.61</v>
      </c>
      <c r="F300" s="718" t="s">
        <v>2016</v>
      </c>
      <c r="G300" s="718" t="s">
        <v>608</v>
      </c>
      <c r="H300" s="673"/>
      <c r="I300" s="672"/>
      <c r="J300" s="672"/>
      <c r="K300" s="672"/>
      <c r="L300" s="149" t="str">
        <f t="shared" si="20"/>
        <v>605F</v>
      </c>
      <c r="M300" s="150" t="str">
        <f t="shared" si="21"/>
        <v>C/V - 440I XDRIVE GRAN COUPE</v>
      </c>
      <c r="N300" s="151">
        <f>+IF(OR($Q300=Parametres!$G$2,$Q300=Parametres!$G$3),I300,C300)</f>
        <v>0</v>
      </c>
      <c r="O300" s="151">
        <f>+IF(OR($Q300=Parametres!$G$2,$Q300=Parametres!$G$3),J300,D300)</f>
        <v>65199.61</v>
      </c>
      <c r="P300" s="151">
        <f>+IF(OR($Q300=Parametres!$G$2,$Q300=Parametres!$G$3),K300,E300)</f>
        <v>65199.61</v>
      </c>
      <c r="Q300" s="150" t="str">
        <f t="shared" si="22"/>
        <v>6-Coût des ventes</v>
      </c>
      <c r="R300" s="149" t="str">
        <f t="shared" si="23"/>
        <v>405F</v>
      </c>
      <c r="S300" s="150">
        <f t="shared" si="24"/>
        <v>0</v>
      </c>
      <c r="T300" s="152" t="str">
        <f>+VLOOKUP($L300,Data_Validation!$A:$D,1,0)</f>
        <v>605F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2375</v>
      </c>
      <c r="B301" s="718" t="s">
        <v>2376</v>
      </c>
      <c r="C301" s="719">
        <v>0</v>
      </c>
      <c r="D301" s="719">
        <v>116172.84</v>
      </c>
      <c r="E301" s="719">
        <v>116172.84</v>
      </c>
      <c r="F301" s="718" t="s">
        <v>2016</v>
      </c>
      <c r="G301" s="718" t="s">
        <v>2371</v>
      </c>
      <c r="H301" s="719"/>
      <c r="I301" s="720"/>
      <c r="J301" s="720"/>
      <c r="K301" s="720"/>
      <c r="L301" s="149" t="str">
        <f t="shared" si="20"/>
        <v>605H</v>
      </c>
      <c r="M301" s="150" t="str">
        <f t="shared" si="21"/>
        <v>C/V - M4 COMPETITION CABRIOLET XDRIVE</v>
      </c>
      <c r="N301" s="151">
        <f>+IF(OR($Q301=Parametres!$G$2,$Q301=Parametres!$G$3),I301,C301)</f>
        <v>0</v>
      </c>
      <c r="O301" s="151">
        <f>+IF(OR($Q301=Parametres!$G$2,$Q301=Parametres!$G$3),J301,D301)</f>
        <v>116172.84</v>
      </c>
      <c r="P301" s="151">
        <f>+IF(OR($Q301=Parametres!$G$2,$Q301=Parametres!$G$3),K301,E301)</f>
        <v>116172.84</v>
      </c>
      <c r="Q301" s="150" t="str">
        <f t="shared" si="22"/>
        <v>6-Coût des ventes</v>
      </c>
      <c r="R301" s="149" t="str">
        <f t="shared" si="23"/>
        <v>405H</v>
      </c>
      <c r="S301" s="150">
        <f t="shared" si="24"/>
        <v>0</v>
      </c>
      <c r="T301" s="152" t="str">
        <f>+VLOOKUP($L301,Data_Validation!$A:$D,1,0)</f>
        <v>605H</v>
      </c>
      <c r="U301" s="152" t="str">
        <f>+VLOOKUP($L301,Data_Validation!$A:$D,3,0)</f>
        <v>Véhicules neufs</v>
      </c>
      <c r="V301" s="152" t="str">
        <f>+VLOOKUP($L301,Data_Validation!$A:$D,4,0)</f>
        <v>Autos détail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2149</v>
      </c>
      <c r="B302" s="718" t="s">
        <v>2150</v>
      </c>
      <c r="C302" s="720">
        <v>0</v>
      </c>
      <c r="D302" s="720">
        <v>124493.41</v>
      </c>
      <c r="E302" s="720">
        <v>124493.41</v>
      </c>
      <c r="F302" s="718" t="s">
        <v>2016</v>
      </c>
      <c r="G302" s="718" t="s">
        <v>2146</v>
      </c>
      <c r="H302" s="673"/>
      <c r="I302" s="672"/>
      <c r="J302" s="672"/>
      <c r="K302" s="672"/>
      <c r="L302" s="149" t="str">
        <f t="shared" si="20"/>
        <v>605J</v>
      </c>
      <c r="M302" s="150" t="str">
        <f t="shared" si="21"/>
        <v>C/V - M4 COMPETITION</v>
      </c>
      <c r="N302" s="151">
        <f>+IF(OR($Q302=Parametres!$G$2,$Q302=Parametres!$G$3),I302,C302)</f>
        <v>0</v>
      </c>
      <c r="O302" s="151">
        <f>+IF(OR($Q302=Parametres!$G$2,$Q302=Parametres!$G$3),J302,D302)</f>
        <v>124493.41</v>
      </c>
      <c r="P302" s="151">
        <f>+IF(OR($Q302=Parametres!$G$2,$Q302=Parametres!$G$3),K302,E302)</f>
        <v>124493.41</v>
      </c>
      <c r="Q302" s="150" t="str">
        <f t="shared" si="22"/>
        <v>6-Coût des ventes</v>
      </c>
      <c r="R302" s="149" t="str">
        <f t="shared" si="23"/>
        <v>405J</v>
      </c>
      <c r="S302" s="150">
        <f t="shared" si="24"/>
        <v>0</v>
      </c>
      <c r="T302" s="152" t="str">
        <f>+VLOOKUP($L302,Data_Validation!$A:$D,1,0)</f>
        <v>605J</v>
      </c>
      <c r="U302" s="152" t="str">
        <f>+VLOOKUP($L302,Data_Validation!$A:$D,3,0)</f>
        <v>Véhicules neufs</v>
      </c>
      <c r="V302" s="152" t="str">
        <f>+VLOOKUP($L302,Data_Validation!$A:$D,4,0)</f>
        <v>Autos détail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1988</v>
      </c>
      <c r="B303" s="718" t="s">
        <v>1989</v>
      </c>
      <c r="C303" s="720">
        <v>74552.11</v>
      </c>
      <c r="D303" s="720">
        <v>75520.460000000006</v>
      </c>
      <c r="E303" s="720">
        <v>150072.57</v>
      </c>
      <c r="F303" s="718" t="s">
        <v>2016</v>
      </c>
      <c r="G303" s="718" t="s">
        <v>1985</v>
      </c>
      <c r="H303" s="609"/>
      <c r="I303" s="608"/>
      <c r="J303" s="608"/>
      <c r="K303" s="608"/>
      <c r="L303" s="149" t="str">
        <f t="shared" si="20"/>
        <v>605K</v>
      </c>
      <c r="M303" s="150" t="str">
        <f t="shared" si="21"/>
        <v>C/V - M440I XDR COUPE</v>
      </c>
      <c r="N303" s="151">
        <f>+IF(OR($Q303=Parametres!$G$2,$Q303=Parametres!$G$3),I303,C303)</f>
        <v>74552.11</v>
      </c>
      <c r="O303" s="504">
        <f>+IF(OR($Q303=Parametres!$G$2,$Q303=Parametres!$G$3),J303,D303)</f>
        <v>75520.460000000006</v>
      </c>
      <c r="P303" s="151">
        <f>+IF(OR($Q303=Parametres!$G$2,$Q303=Parametres!$G$3),K303,E303)</f>
        <v>150072.57</v>
      </c>
      <c r="Q303" s="150" t="str">
        <f t="shared" si="22"/>
        <v>6-Coût des ventes</v>
      </c>
      <c r="R303" s="149" t="str">
        <f t="shared" si="23"/>
        <v>405K</v>
      </c>
      <c r="S303" s="150">
        <f t="shared" si="24"/>
        <v>0</v>
      </c>
      <c r="T303" s="152" t="str">
        <f>+VLOOKUP($L303,Data_Validation!$A:$D,1,0)</f>
        <v>605K</v>
      </c>
      <c r="U303" s="152" t="str">
        <f>+VLOOKUP($L303,Data_Validation!$A:$D,3,0)</f>
        <v>Véhicules neufs</v>
      </c>
      <c r="V303" s="152" t="str">
        <f>+VLOOKUP($L303,Data_Validation!$A:$D,4,0)</f>
        <v>Autos détail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1418</v>
      </c>
      <c r="B304" s="718" t="s">
        <v>648</v>
      </c>
      <c r="C304" s="720">
        <v>64976.959999999999</v>
      </c>
      <c r="D304" s="720">
        <v>0</v>
      </c>
      <c r="E304" s="720">
        <v>64976.959999999999</v>
      </c>
      <c r="F304" s="718" t="s">
        <v>2016</v>
      </c>
      <c r="G304" s="718" t="s">
        <v>611</v>
      </c>
      <c r="H304" s="673"/>
      <c r="I304" s="672"/>
      <c r="J304" s="672"/>
      <c r="K304" s="672"/>
      <c r="L304" s="149" t="str">
        <f t="shared" si="20"/>
        <v>606G</v>
      </c>
      <c r="M304" s="150" t="str">
        <f t="shared" si="21"/>
        <v>C/V - M240I XDRIVE COUPE</v>
      </c>
      <c r="N304" s="151">
        <f>+IF(OR($Q304=Parametres!$G$2,$Q304=Parametres!$G$3),I304,C304)</f>
        <v>64976.959999999999</v>
      </c>
      <c r="O304" s="151">
        <f>+IF(OR($Q304=Parametres!$G$2,$Q304=Parametres!$G$3),J304,D304)</f>
        <v>0</v>
      </c>
      <c r="P304" s="151">
        <f>+IF(OR($Q304=Parametres!$G$2,$Q304=Parametres!$G$3),K304,E304)</f>
        <v>64976.959999999999</v>
      </c>
      <c r="Q304" s="150" t="str">
        <f t="shared" si="22"/>
        <v>6-Coût des ventes</v>
      </c>
      <c r="R304" s="149" t="str">
        <f t="shared" si="23"/>
        <v>406G</v>
      </c>
      <c r="S304" s="150">
        <f t="shared" si="24"/>
        <v>0</v>
      </c>
      <c r="T304" s="152" t="str">
        <f>+VLOOKUP($L304,Data_Validation!$A:$D,1,0)</f>
        <v>606G</v>
      </c>
      <c r="U304" s="152" t="str">
        <f>+VLOOKUP($L304,Data_Validation!$A:$D,3,0)</f>
        <v>Véhicules neufs</v>
      </c>
      <c r="V304" s="152" t="str">
        <f>+VLOOKUP($L304,Data_Validation!$A:$D,4,0)</f>
        <v>Autos détail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2377</v>
      </c>
      <c r="B305" s="718" t="s">
        <v>2378</v>
      </c>
      <c r="C305" s="720">
        <v>102290.17</v>
      </c>
      <c r="D305" s="720">
        <v>0</v>
      </c>
      <c r="E305" s="720">
        <v>102290.17</v>
      </c>
      <c r="F305" s="718" t="s">
        <v>2016</v>
      </c>
      <c r="G305" s="718" t="s">
        <v>2373</v>
      </c>
      <c r="H305" s="673"/>
      <c r="I305" s="672"/>
      <c r="J305" s="672"/>
      <c r="K305" s="672"/>
      <c r="L305" s="149" t="str">
        <f t="shared" si="20"/>
        <v>607D</v>
      </c>
      <c r="M305" s="150" t="str">
        <f t="shared" si="21"/>
        <v>C/V - M3 COMPETITION XDRIVE</v>
      </c>
      <c r="N305" s="151">
        <f>+IF(OR($Q305=Parametres!$G$2,$Q305=Parametres!$G$3),I305,C305)</f>
        <v>102290.17</v>
      </c>
      <c r="O305" s="151">
        <f>+IF(OR($Q305=Parametres!$G$2,$Q305=Parametres!$G$3),J305,D305)</f>
        <v>0</v>
      </c>
      <c r="P305" s="151">
        <f>+IF(OR($Q305=Parametres!$G$2,$Q305=Parametres!$G$3),K305,E305)</f>
        <v>102290.17</v>
      </c>
      <c r="Q305" s="150" t="str">
        <f t="shared" si="22"/>
        <v>6-Coût des ventes</v>
      </c>
      <c r="R305" s="149" t="str">
        <f t="shared" si="23"/>
        <v>407D</v>
      </c>
      <c r="S305" s="150">
        <f t="shared" si="24"/>
        <v>0</v>
      </c>
      <c r="T305" s="152" t="str">
        <f>+VLOOKUP($L305,Data_Validation!$A:$D,1,0)</f>
        <v>607D</v>
      </c>
      <c r="U305" s="152" t="str">
        <f>+VLOOKUP($L305,Data_Validation!$A:$D,3,0)</f>
        <v>Véhicules neufs</v>
      </c>
      <c r="V305" s="152" t="str">
        <f>+VLOOKUP($L305,Data_Validation!$A:$D,4,0)</f>
        <v>Autos détail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2901</v>
      </c>
      <c r="B306" s="718" t="s">
        <v>2903</v>
      </c>
      <c r="C306" s="720">
        <v>0</v>
      </c>
      <c r="D306" s="720">
        <v>62638</v>
      </c>
      <c r="E306" s="720">
        <v>62638</v>
      </c>
      <c r="F306" s="718" t="s">
        <v>2016</v>
      </c>
      <c r="G306" s="718" t="s">
        <v>2902</v>
      </c>
      <c r="H306" s="673"/>
      <c r="I306" s="672"/>
      <c r="J306" s="672"/>
      <c r="K306" s="672"/>
      <c r="L306" s="149" t="str">
        <f t="shared" si="20"/>
        <v>609</v>
      </c>
      <c r="M306" s="150" t="str">
        <f t="shared" si="21"/>
        <v>X2 XDRIVE28I</v>
      </c>
      <c r="N306" s="151">
        <f>+IF(OR($Q306=Parametres!$G$2,$Q306=Parametres!$G$3),I306,C306)</f>
        <v>0</v>
      </c>
      <c r="O306" s="151">
        <f>+IF(OR($Q306=Parametres!$G$2,$Q306=Parametres!$G$3),J306,D306)</f>
        <v>62638</v>
      </c>
      <c r="P306" s="151">
        <f>+IF(OR($Q306=Parametres!$G$2,$Q306=Parametres!$G$3),K306,E306)</f>
        <v>62638</v>
      </c>
      <c r="Q306" s="150" t="str">
        <f t="shared" si="22"/>
        <v>6-Coût des ventes</v>
      </c>
      <c r="R306" s="149" t="str">
        <f t="shared" si="23"/>
        <v>409</v>
      </c>
      <c r="S306" s="150">
        <f t="shared" si="24"/>
        <v>0</v>
      </c>
      <c r="T306" s="152" t="str">
        <f>+VLOOKUP($L306,Data_Validation!$A:$D,1,0)</f>
        <v>609</v>
      </c>
      <c r="U306" s="152" t="str">
        <f>+VLOOKUP($L306,Data_Validation!$A:$D,3,0)</f>
        <v>Véhicules neufs</v>
      </c>
      <c r="V306" s="152" t="str">
        <f>+VLOOKUP($L306,Data_Validation!$A:$D,4,0)</f>
        <v>Camions détail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2882</v>
      </c>
      <c r="B307" s="718" t="s">
        <v>2884</v>
      </c>
      <c r="C307" s="720">
        <v>84965.15</v>
      </c>
      <c r="D307" s="720">
        <v>0</v>
      </c>
      <c r="E307" s="720">
        <v>84965.15</v>
      </c>
      <c r="F307" s="718" t="s">
        <v>2016</v>
      </c>
      <c r="G307" s="718" t="s">
        <v>2883</v>
      </c>
      <c r="H307" s="673"/>
      <c r="I307" s="672"/>
      <c r="J307" s="672"/>
      <c r="K307" s="672"/>
      <c r="L307" s="149" t="str">
        <f t="shared" si="20"/>
        <v>609A</v>
      </c>
      <c r="M307" s="150" t="str">
        <f t="shared" si="21"/>
        <v>X2 M35I XDRIVE</v>
      </c>
      <c r="N307" s="151">
        <f>+IF(OR($Q307=Parametres!$G$2,$Q307=Parametres!$G$3),I307,C307)</f>
        <v>84965.15</v>
      </c>
      <c r="O307" s="151">
        <f>+IF(OR($Q307=Parametres!$G$2,$Q307=Parametres!$G$3),J307,D307)</f>
        <v>0</v>
      </c>
      <c r="P307" s="151">
        <f>+IF(OR($Q307=Parametres!$G$2,$Q307=Parametres!$G$3),K307,E307)</f>
        <v>84965.15</v>
      </c>
      <c r="Q307" s="150" t="str">
        <f t="shared" si="22"/>
        <v>6-Coût des ventes</v>
      </c>
      <c r="R307" s="149" t="str">
        <f t="shared" si="23"/>
        <v>409A</v>
      </c>
      <c r="S307" s="150">
        <f t="shared" si="24"/>
        <v>0</v>
      </c>
      <c r="T307" s="152" t="str">
        <f>+VLOOKUP($L307,Data_Validation!$A:$D,1,0)</f>
        <v>609A</v>
      </c>
      <c r="U307" s="152" t="str">
        <f>+VLOOKUP($L307,Data_Validation!$A:$D,3,0)</f>
        <v>Véhicules neufs</v>
      </c>
      <c r="V307" s="152" t="str">
        <f>+VLOOKUP($L307,Data_Validation!$A:$D,4,0)</f>
        <v>Camions détail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1020</v>
      </c>
      <c r="B308" s="718" t="s">
        <v>650</v>
      </c>
      <c r="C308" s="719">
        <v>0</v>
      </c>
      <c r="D308" s="719">
        <v>62923.61</v>
      </c>
      <c r="E308" s="719">
        <v>62923.61</v>
      </c>
      <c r="F308" s="718" t="s">
        <v>2016</v>
      </c>
      <c r="G308" s="718" t="s">
        <v>613</v>
      </c>
      <c r="H308" s="719"/>
      <c r="I308" s="720"/>
      <c r="J308" s="720"/>
      <c r="K308" s="720"/>
      <c r="L308" s="149" t="str">
        <f t="shared" si="20"/>
        <v>611C</v>
      </c>
      <c r="M308" s="150" t="str">
        <f t="shared" si="21"/>
        <v>C/V - 330I XDRIVE SEDAN</v>
      </c>
      <c r="N308" s="151">
        <f>+IF(OR($Q308=Parametres!$G$2,$Q308=Parametres!$G$3),I308,C308)</f>
        <v>0</v>
      </c>
      <c r="O308" s="151">
        <f>+IF(OR($Q308=Parametres!$G$2,$Q308=Parametres!$G$3),J308,D308)</f>
        <v>62923.61</v>
      </c>
      <c r="P308" s="151">
        <f>+IF(OR($Q308=Parametres!$G$2,$Q308=Parametres!$G$3),K308,E308)</f>
        <v>62923.61</v>
      </c>
      <c r="Q308" s="150" t="str">
        <f t="shared" si="22"/>
        <v>6-Coût des ventes</v>
      </c>
      <c r="R308" s="149" t="str">
        <f t="shared" si="23"/>
        <v>411C</v>
      </c>
      <c r="S308" s="150">
        <f t="shared" si="24"/>
        <v>0</v>
      </c>
      <c r="T308" s="152" t="str">
        <f>+VLOOKUP($L308,Data_Validation!$A:$D,1,0)</f>
        <v>611C</v>
      </c>
      <c r="U308" s="152" t="str">
        <f>+VLOOKUP($L308,Data_Validation!$A:$D,3,0)</f>
        <v>Véhicules neufs</v>
      </c>
      <c r="V308" s="152" t="str">
        <f>+VLOOKUP($L308,Data_Validation!$A:$D,4,0)</f>
        <v>Autos détail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1926</v>
      </c>
      <c r="B309" s="718" t="s">
        <v>1928</v>
      </c>
      <c r="C309" s="720">
        <v>66656.72</v>
      </c>
      <c r="D309" s="720">
        <v>0</v>
      </c>
      <c r="E309" s="720">
        <v>66656.72</v>
      </c>
      <c r="F309" s="718" t="s">
        <v>2016</v>
      </c>
      <c r="G309" s="718" t="s">
        <v>1927</v>
      </c>
      <c r="H309" s="673"/>
      <c r="I309" s="672"/>
      <c r="J309" s="672"/>
      <c r="K309" s="672"/>
      <c r="L309" s="149" t="str">
        <f t="shared" si="20"/>
        <v>611H</v>
      </c>
      <c r="M309" s="150" t="str">
        <f t="shared" si="21"/>
        <v>330E XDRIVE BERLINE</v>
      </c>
      <c r="N309" s="151">
        <f>+IF(OR($Q309=Parametres!$G$2,$Q309=Parametres!$G$3),I309,C309)</f>
        <v>66656.72</v>
      </c>
      <c r="O309" s="151">
        <f>+IF(OR($Q309=Parametres!$G$2,$Q309=Parametres!$G$3),J309,D309)</f>
        <v>0</v>
      </c>
      <c r="P309" s="151">
        <f>+IF(OR($Q309=Parametres!$G$2,$Q309=Parametres!$G$3),K309,E309)</f>
        <v>66656.72</v>
      </c>
      <c r="Q309" s="150" t="str">
        <f t="shared" si="22"/>
        <v>6-Coût des ventes</v>
      </c>
      <c r="R309" s="149" t="str">
        <f t="shared" si="23"/>
        <v>411H</v>
      </c>
      <c r="S309" s="150">
        <f t="shared" si="24"/>
        <v>0</v>
      </c>
      <c r="T309" s="152" t="str">
        <f>+VLOOKUP($L309,Data_Validation!$A:$D,1,0)</f>
        <v>611H</v>
      </c>
      <c r="U309" s="152" t="str">
        <f>+VLOOKUP($L309,Data_Validation!$A:$D,3,0)</f>
        <v>Véhicules neufs</v>
      </c>
      <c r="V309" s="152" t="str">
        <f>+VLOOKUP($L309,Data_Validation!$A:$D,4,0)</f>
        <v>Autos détail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1980</v>
      </c>
      <c r="B310" s="718" t="s">
        <v>1982</v>
      </c>
      <c r="C310" s="720">
        <v>76375.27</v>
      </c>
      <c r="D310" s="720">
        <v>0</v>
      </c>
      <c r="E310" s="720">
        <v>76375.27</v>
      </c>
      <c r="F310" s="718" t="s">
        <v>2016</v>
      </c>
      <c r="G310" s="718" t="s">
        <v>1981</v>
      </c>
      <c r="H310" s="666"/>
      <c r="I310" s="665"/>
      <c r="J310" s="665"/>
      <c r="K310" s="665"/>
      <c r="L310" s="149" t="str">
        <f t="shared" si="20"/>
        <v>612C</v>
      </c>
      <c r="M310" s="150" t="str">
        <f t="shared" si="21"/>
        <v>M340I XDRIVE</v>
      </c>
      <c r="N310" s="151">
        <f>+IF(OR($Q310=Parametres!$G$2,$Q310=Parametres!$G$3),I310,C310)</f>
        <v>76375.27</v>
      </c>
      <c r="O310" s="151">
        <f>+IF(OR($Q310=Parametres!$G$2,$Q310=Parametres!$G$3),J310,D310)</f>
        <v>0</v>
      </c>
      <c r="P310" s="151">
        <f>+IF(OR($Q310=Parametres!$G$2,$Q310=Parametres!$G$3),K310,E310)</f>
        <v>76375.27</v>
      </c>
      <c r="Q310" s="150" t="str">
        <f t="shared" si="22"/>
        <v>6-Coût des ventes</v>
      </c>
      <c r="R310" s="149" t="str">
        <f t="shared" si="23"/>
        <v>412C</v>
      </c>
      <c r="S310" s="150">
        <f t="shared" si="24"/>
        <v>0</v>
      </c>
      <c r="T310" s="152" t="str">
        <f>+VLOOKUP($L310,Data_Validation!$A:$D,1,0)</f>
        <v>612C</v>
      </c>
      <c r="U310" s="152" t="str">
        <f>+VLOOKUP($L310,Data_Validation!$A:$D,3,0)</f>
        <v>Véhicules neufs</v>
      </c>
      <c r="V310" s="152" t="str">
        <f>+VLOOKUP($L310,Data_Validation!$A:$D,4,0)</f>
        <v>Autos détail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1843</v>
      </c>
      <c r="B311" s="718" t="s">
        <v>980</v>
      </c>
      <c r="C311" s="720">
        <v>164425.76</v>
      </c>
      <c r="D311" s="720">
        <v>106980.4</v>
      </c>
      <c r="E311" s="720">
        <v>271406.15999999997</v>
      </c>
      <c r="F311" s="718" t="s">
        <v>2016</v>
      </c>
      <c r="G311" s="718" t="s">
        <v>411</v>
      </c>
      <c r="H311" s="673"/>
      <c r="I311" s="672"/>
      <c r="J311" s="672"/>
      <c r="K311" s="672"/>
      <c r="L311" s="149" t="str">
        <f t="shared" si="20"/>
        <v>616</v>
      </c>
      <c r="M311" s="150" t="str">
        <f t="shared" si="21"/>
        <v>C/V - X1 XDRIVE 28I</v>
      </c>
      <c r="N311" s="151">
        <f>+IF(OR($Q311=Parametres!$G$2,$Q311=Parametres!$G$3),I311,C311)</f>
        <v>164425.76</v>
      </c>
      <c r="O311" s="151">
        <f>+IF(OR($Q311=Parametres!$G$2,$Q311=Parametres!$G$3),J311,D311)</f>
        <v>106980.4</v>
      </c>
      <c r="P311" s="151">
        <f>+IF(OR($Q311=Parametres!$G$2,$Q311=Parametres!$G$3),K311,E311)</f>
        <v>271406.15999999997</v>
      </c>
      <c r="Q311" s="150" t="str">
        <f t="shared" si="22"/>
        <v>6-Coût des ventes</v>
      </c>
      <c r="R311" s="149" t="str">
        <f t="shared" si="23"/>
        <v>416</v>
      </c>
      <c r="S311" s="150">
        <f t="shared" si="24"/>
        <v>0</v>
      </c>
      <c r="T311" s="152" t="str">
        <f>+VLOOKUP($L311,Data_Validation!$A:$D,1,0)</f>
        <v>616</v>
      </c>
      <c r="U311" s="152" t="str">
        <f>+VLOOKUP($L311,Data_Validation!$A:$D,3,0)</f>
        <v>Véhicules neufs</v>
      </c>
      <c r="V311" s="152" t="str">
        <f>+VLOOKUP($L311,Data_Validation!$A:$D,4,0)</f>
        <v>Camions détail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1105</v>
      </c>
      <c r="B312" s="718" t="s">
        <v>427</v>
      </c>
      <c r="C312" s="720">
        <v>-74323.399999999994</v>
      </c>
      <c r="D312" s="720">
        <v>-47079</v>
      </c>
      <c r="E312" s="720">
        <v>-121402.4</v>
      </c>
      <c r="F312" s="718" t="s">
        <v>2016</v>
      </c>
      <c r="G312" s="718" t="s">
        <v>2254</v>
      </c>
      <c r="H312" s="666"/>
      <c r="I312" s="665"/>
      <c r="J312" s="665"/>
      <c r="K312" s="665"/>
      <c r="L312" s="149" t="str">
        <f t="shared" si="20"/>
        <v>617A</v>
      </c>
      <c r="M312" s="150" t="str">
        <f t="shared" si="21"/>
        <v>RESERVE DETAILLANT</v>
      </c>
      <c r="N312" s="151">
        <f>+IF(OR($Q312=Parametres!$G$2,$Q312=Parametres!$G$3),I312,C312)</f>
        <v>-74323.399999999994</v>
      </c>
      <c r="O312" s="151">
        <f>+IF(OR($Q312=Parametres!$G$2,$Q312=Parametres!$G$3),J312,D312)</f>
        <v>-47079</v>
      </c>
      <c r="P312" s="151">
        <f>+IF(OR($Q312=Parametres!$G$2,$Q312=Parametres!$G$3),K312,E312)</f>
        <v>-121402.4</v>
      </c>
      <c r="Q312" s="150" t="str">
        <f t="shared" si="22"/>
        <v>6-Coût des ventes</v>
      </c>
      <c r="R312" s="149" t="str">
        <f t="shared" si="23"/>
        <v>617</v>
      </c>
      <c r="S312" s="150">
        <f t="shared" si="24"/>
        <v>0</v>
      </c>
      <c r="T312" s="152" t="str">
        <f>+VLOOKUP($L312,Data_Validation!$A:$D,1,0)</f>
        <v>617A</v>
      </c>
      <c r="U312" s="152" t="str">
        <f>+VLOOKUP($L312,Data_Validation!$A:$D,3,0)</f>
        <v>Véhicules neufs</v>
      </c>
      <c r="V312" s="152" t="str">
        <f>+VLOOKUP($L312,Data_Validation!$A:$D,4,0)</f>
        <v>holdbacks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1838</v>
      </c>
      <c r="B313" s="718" t="s">
        <v>655</v>
      </c>
      <c r="C313" s="719">
        <v>330572.31</v>
      </c>
      <c r="D313" s="719">
        <v>202585.18</v>
      </c>
      <c r="E313" s="719">
        <v>533157.49</v>
      </c>
      <c r="F313" s="718" t="s">
        <v>2016</v>
      </c>
      <c r="G313" s="718" t="s">
        <v>617</v>
      </c>
      <c r="H313" s="719"/>
      <c r="I313" s="720"/>
      <c r="J313" s="720"/>
      <c r="K313" s="720"/>
      <c r="L313" s="149" t="str">
        <f t="shared" si="20"/>
        <v>618</v>
      </c>
      <c r="M313" s="150" t="str">
        <f t="shared" si="21"/>
        <v>C/V - AUTRES MODELES BMW AUTO</v>
      </c>
      <c r="N313" s="151">
        <f>+IF(OR($Q313=Parametres!$G$2,$Q313=Parametres!$G$3),I313,C313)</f>
        <v>330572.31</v>
      </c>
      <c r="O313" s="151">
        <f>+IF(OR($Q313=Parametres!$G$2,$Q313=Parametres!$G$3),J313,D313)</f>
        <v>202585.18</v>
      </c>
      <c r="P313" s="151">
        <f>+IF(OR($Q313=Parametres!$G$2,$Q313=Parametres!$G$3),K313,E313)</f>
        <v>533157.49</v>
      </c>
      <c r="Q313" s="150" t="str">
        <f t="shared" si="22"/>
        <v>6-Coût des ventes</v>
      </c>
      <c r="R313" s="149" t="str">
        <f t="shared" si="23"/>
        <v>418</v>
      </c>
      <c r="S313" s="150">
        <f t="shared" si="24"/>
        <v>0</v>
      </c>
      <c r="T313" s="152" t="str">
        <f>+VLOOKUP($L313,Data_Validation!$A:$D,1,0)</f>
        <v>618</v>
      </c>
      <c r="U313" s="152" t="str">
        <f>+VLOOKUP($L313,Data_Validation!$A:$D,3,0)</f>
        <v>Véhicules neufs</v>
      </c>
      <c r="V313" s="152" t="str">
        <f>+VLOOKUP($L313,Data_Validation!$A:$D,4,0)</f>
        <v>Ex-Démos et courtoisies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1609</v>
      </c>
      <c r="B314" s="718" t="s">
        <v>981</v>
      </c>
      <c r="C314" s="720">
        <v>350093.26</v>
      </c>
      <c r="D314" s="720">
        <v>197959.69</v>
      </c>
      <c r="E314" s="720">
        <v>548052.94999999995</v>
      </c>
      <c r="F314" s="718" t="s">
        <v>2016</v>
      </c>
      <c r="G314" s="718" t="s">
        <v>617</v>
      </c>
      <c r="H314" s="673"/>
      <c r="I314" s="672"/>
      <c r="J314" s="672"/>
      <c r="K314" s="672"/>
      <c r="L314" s="149" t="str">
        <f t="shared" si="20"/>
        <v>618A</v>
      </c>
      <c r="M314" s="150" t="str">
        <f t="shared" si="21"/>
        <v>C/V - AUTRES MODELES BMW CAMION</v>
      </c>
      <c r="N314" s="151">
        <f>+IF(OR($Q314=Parametres!$G$2,$Q314=Parametres!$G$3),I314,C314)</f>
        <v>350093.26</v>
      </c>
      <c r="O314" s="151">
        <f>+IF(OR($Q314=Parametres!$G$2,$Q314=Parametres!$G$3),J314,D314)</f>
        <v>197959.69</v>
      </c>
      <c r="P314" s="151">
        <f>+IF(OR($Q314=Parametres!$G$2,$Q314=Parametres!$G$3),K314,E314)</f>
        <v>548052.94999999995</v>
      </c>
      <c r="Q314" s="150" t="str">
        <f t="shared" si="22"/>
        <v>6-Coût des ventes</v>
      </c>
      <c r="R314" s="149" t="str">
        <f t="shared" si="23"/>
        <v>418</v>
      </c>
      <c r="S314" s="150">
        <f t="shared" si="24"/>
        <v>0</v>
      </c>
      <c r="T314" s="152" t="str">
        <f>+VLOOKUP($L314,Data_Validation!$A:$D,1,0)</f>
        <v>618A</v>
      </c>
      <c r="U314" s="152" t="str">
        <f>+VLOOKUP($L314,Data_Validation!$A:$D,3,0)</f>
        <v>Véhicules neufs</v>
      </c>
      <c r="V314" s="152" t="str">
        <f>+VLOOKUP($L314,Data_Validation!$A:$D,4,0)</f>
        <v>Ex-Démos et courtoisies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1426</v>
      </c>
      <c r="B315" s="671" t="s">
        <v>972</v>
      </c>
      <c r="C315" s="672">
        <v>66500</v>
      </c>
      <c r="D315" s="672">
        <v>0</v>
      </c>
      <c r="E315" s="672">
        <v>66500</v>
      </c>
      <c r="F315" s="671" t="s">
        <v>2016</v>
      </c>
      <c r="G315" s="671" t="s">
        <v>424</v>
      </c>
      <c r="H315" s="666"/>
      <c r="I315" s="665"/>
      <c r="J315" s="665"/>
      <c r="K315" s="665"/>
      <c r="L315" s="149" t="str">
        <f t="shared" si="20"/>
        <v>619</v>
      </c>
      <c r="M315" s="150" t="str">
        <f t="shared" si="21"/>
        <v>C/V - FLEET VOITURE BMW</v>
      </c>
      <c r="N315" s="151">
        <f>+IF(OR($Q315=Parametres!$G$2,$Q315=Parametres!$G$3),I315,C315)</f>
        <v>66500</v>
      </c>
      <c r="O315" s="151">
        <f>+IF(OR($Q315=Parametres!$G$2,$Q315=Parametres!$G$3),J315,D315)</f>
        <v>0</v>
      </c>
      <c r="P315" s="151">
        <f>+IF(OR($Q315=Parametres!$G$2,$Q315=Parametres!$G$3),K315,E315)</f>
        <v>66500</v>
      </c>
      <c r="Q315" s="150" t="str">
        <f t="shared" si="22"/>
        <v>6-Coût des ventes</v>
      </c>
      <c r="R315" s="149" t="str">
        <f t="shared" si="23"/>
        <v>419</v>
      </c>
      <c r="S315" s="150">
        <f t="shared" si="24"/>
        <v>0</v>
      </c>
      <c r="T315" s="152" t="str">
        <f>+VLOOKUP($L315,Data_Validation!$A:$D,1,0)</f>
        <v>619</v>
      </c>
      <c r="U315" s="152" t="str">
        <f>+VLOOKUP($L315,Data_Validation!$A:$D,3,0)</f>
        <v>Véhicules neufs</v>
      </c>
      <c r="V315" s="152" t="str">
        <f>+VLOOKUP($L315,Data_Validation!$A:$D,4,0)</f>
        <v>Flottes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2562</v>
      </c>
      <c r="B316" s="671" t="s">
        <v>2563</v>
      </c>
      <c r="C316" s="672">
        <v>69.7</v>
      </c>
      <c r="D316" s="672">
        <v>0</v>
      </c>
      <c r="E316" s="672">
        <v>69.7</v>
      </c>
      <c r="F316" s="671" t="s">
        <v>2016</v>
      </c>
      <c r="G316" s="671" t="s">
        <v>2561</v>
      </c>
      <c r="H316" s="666"/>
      <c r="I316" s="665"/>
      <c r="J316" s="665"/>
      <c r="K316" s="665"/>
      <c r="L316" s="149" t="str">
        <f t="shared" si="20"/>
        <v>622C</v>
      </c>
      <c r="M316" s="150" t="str">
        <f t="shared" si="21"/>
        <v>C/V - X6 M60i</v>
      </c>
      <c r="N316" s="151">
        <f>+IF(OR($Q316=Parametres!$G$2,$Q316=Parametres!$G$3),I316,C316)</f>
        <v>69.7</v>
      </c>
      <c r="O316" s="151">
        <f>+IF(OR($Q316=Parametres!$G$2,$Q316=Parametres!$G$3),J316,D316)</f>
        <v>0</v>
      </c>
      <c r="P316" s="151">
        <f>+IF(OR($Q316=Parametres!$G$2,$Q316=Parametres!$G$3),K316,E316)</f>
        <v>69.7</v>
      </c>
      <c r="Q316" s="150" t="str">
        <f t="shared" si="22"/>
        <v>6-Coût des ventes</v>
      </c>
      <c r="R316" s="149" t="str">
        <f t="shared" si="23"/>
        <v>422C</v>
      </c>
      <c r="S316" s="150">
        <f t="shared" si="24"/>
        <v>0</v>
      </c>
      <c r="T316" s="152" t="str">
        <f>+VLOOKUP($L316,Data_Validation!$A:$D,1,0)</f>
        <v>622C</v>
      </c>
      <c r="U316" s="152" t="str">
        <f>+VLOOKUP($L316,Data_Validation!$A:$D,3,0)</f>
        <v>Véhicules neufs</v>
      </c>
      <c r="V316" s="152" t="str">
        <f>+VLOOKUP($L316,Data_Validation!$A:$D,4,0)</f>
        <v>Camions détail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2441</v>
      </c>
      <c r="B317" s="718" t="s">
        <v>984</v>
      </c>
      <c r="C317" s="719">
        <v>180862.39</v>
      </c>
      <c r="D317" s="719">
        <v>254283.68</v>
      </c>
      <c r="E317" s="719">
        <v>435146.07</v>
      </c>
      <c r="F317" s="718" t="s">
        <v>2016</v>
      </c>
      <c r="G317" s="718" t="s">
        <v>403</v>
      </c>
      <c r="H317" s="719"/>
      <c r="I317" s="720"/>
      <c r="J317" s="720"/>
      <c r="K317" s="720"/>
      <c r="L317" s="149" t="str">
        <f t="shared" si="20"/>
        <v>623B</v>
      </c>
      <c r="M317" s="150" t="str">
        <f t="shared" si="21"/>
        <v>C/V - X3 XDRIVE 30I</v>
      </c>
      <c r="N317" s="151">
        <f>+IF(OR($Q317=Parametres!$G$2,$Q317=Parametres!$G$3),I317,C317)</f>
        <v>180862.39</v>
      </c>
      <c r="O317" s="151">
        <f>+IF(OR($Q317=Parametres!$G$2,$Q317=Parametres!$G$3),J317,D317)</f>
        <v>254283.68</v>
      </c>
      <c r="P317" s="151">
        <f>+IF(OR($Q317=Parametres!$G$2,$Q317=Parametres!$G$3),K317,E317)</f>
        <v>435146.07</v>
      </c>
      <c r="Q317" s="150" t="str">
        <f t="shared" si="22"/>
        <v>6-Coût des ventes</v>
      </c>
      <c r="R317" s="149" t="str">
        <f t="shared" si="23"/>
        <v>423B</v>
      </c>
      <c r="S317" s="150">
        <f t="shared" si="24"/>
        <v>0</v>
      </c>
      <c r="T317" s="152" t="str">
        <f>+VLOOKUP($L317,Data_Validation!$A:$D,1,0)</f>
        <v>623B</v>
      </c>
      <c r="U317" s="152" t="str">
        <f>+VLOOKUP($L317,Data_Validation!$A:$D,3,0)</f>
        <v>Véhicules neufs</v>
      </c>
      <c r="V317" s="152" t="str">
        <f>+VLOOKUP($L317,Data_Validation!$A:$D,4,0)</f>
        <v>Camions détail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1429</v>
      </c>
      <c r="B318" s="718" t="s">
        <v>656</v>
      </c>
      <c r="C318" s="719">
        <v>157483.51999999999</v>
      </c>
      <c r="D318" s="719">
        <v>0</v>
      </c>
      <c r="E318" s="719">
        <v>157483.51999999999</v>
      </c>
      <c r="F318" s="718" t="s">
        <v>2016</v>
      </c>
      <c r="G318" s="718" t="s">
        <v>618</v>
      </c>
      <c r="H318" s="719"/>
      <c r="I318" s="720"/>
      <c r="J318" s="720"/>
      <c r="K318" s="720"/>
      <c r="L318" s="149" t="str">
        <f t="shared" si="20"/>
        <v>623C</v>
      </c>
      <c r="M318" s="150" t="str">
        <f t="shared" si="21"/>
        <v>C/V - X3 XDRIVE 30E</v>
      </c>
      <c r="N318" s="151">
        <f>+IF(OR($Q318=Parametres!$G$2,$Q318=Parametres!$G$3),I318,C318)</f>
        <v>157483.51999999999</v>
      </c>
      <c r="O318" s="151">
        <f>+IF(OR($Q318=Parametres!$G$2,$Q318=Parametres!$G$3),J318,D318)</f>
        <v>0</v>
      </c>
      <c r="P318" s="151">
        <f>+IF(OR($Q318=Parametres!$G$2,$Q318=Parametres!$G$3),K318,E318)</f>
        <v>157483.51999999999</v>
      </c>
      <c r="Q318" s="150" t="str">
        <f t="shared" si="22"/>
        <v>6-Coût des ventes</v>
      </c>
      <c r="R318" s="149" t="str">
        <f t="shared" si="23"/>
        <v>423C</v>
      </c>
      <c r="S318" s="150">
        <f t="shared" si="24"/>
        <v>0</v>
      </c>
      <c r="T318" s="152" t="str">
        <f>+VLOOKUP($L318,Data_Validation!$A:$D,1,0)</f>
        <v>623C</v>
      </c>
      <c r="U318" s="152" t="str">
        <f>+VLOOKUP($L318,Data_Validation!$A:$D,3,0)</f>
        <v>Véhicules neufs</v>
      </c>
      <c r="V318" s="152" t="str">
        <f>+VLOOKUP($L318,Data_Validation!$A:$D,4,0)</f>
        <v>Camions détail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1849</v>
      </c>
      <c r="B319" s="671" t="s">
        <v>657</v>
      </c>
      <c r="C319" s="672">
        <v>211931.44</v>
      </c>
      <c r="D319" s="672">
        <v>0</v>
      </c>
      <c r="E319" s="672">
        <v>211931.44</v>
      </c>
      <c r="F319" s="671" t="s">
        <v>2016</v>
      </c>
      <c r="G319" s="671" t="s">
        <v>619</v>
      </c>
      <c r="H319" s="666"/>
      <c r="I319" s="665"/>
      <c r="J319" s="665"/>
      <c r="K319" s="665"/>
      <c r="L319" s="149" t="str">
        <f t="shared" si="20"/>
        <v>623D</v>
      </c>
      <c r="M319" s="150" t="str">
        <f t="shared" si="21"/>
        <v>C/V - X5 XDRIVE 35I/ X5 XDRIVE 40I</v>
      </c>
      <c r="N319" s="151">
        <f>+IF(OR($Q319=Parametres!$G$2,$Q319=Parametres!$G$3),I319,C319)</f>
        <v>211931.44</v>
      </c>
      <c r="O319" s="151">
        <f>+IF(OR($Q319=Parametres!$G$2,$Q319=Parametres!$G$3),J319,D319)</f>
        <v>0</v>
      </c>
      <c r="P319" s="151">
        <f>+IF(OR($Q319=Parametres!$G$2,$Q319=Parametres!$G$3),K319,E319)</f>
        <v>211931.44</v>
      </c>
      <c r="Q319" s="150" t="str">
        <f t="shared" si="22"/>
        <v>6-Coût des ventes</v>
      </c>
      <c r="R319" s="149" t="str">
        <f t="shared" si="23"/>
        <v>423D</v>
      </c>
      <c r="S319" s="150">
        <f t="shared" si="24"/>
        <v>0</v>
      </c>
      <c r="T319" s="152" t="str">
        <f>+VLOOKUP($L319,Data_Validation!$A:$D,1,0)</f>
        <v>623D</v>
      </c>
      <c r="U319" s="152" t="str">
        <f>+VLOOKUP($L319,Data_Validation!$A:$D,3,0)</f>
        <v>Véhicules neufs</v>
      </c>
      <c r="V319" s="152" t="str">
        <f>+VLOOKUP($L319,Data_Validation!$A:$D,4,0)</f>
        <v>Camions détail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2496</v>
      </c>
      <c r="B320" s="718" t="s">
        <v>2497</v>
      </c>
      <c r="C320" s="719">
        <v>323093.84999999998</v>
      </c>
      <c r="D320" s="719">
        <v>182191.7</v>
      </c>
      <c r="E320" s="719">
        <v>505285.55</v>
      </c>
      <c r="F320" s="718" t="s">
        <v>2016</v>
      </c>
      <c r="G320" s="718" t="s">
        <v>2495</v>
      </c>
      <c r="H320" s="719"/>
      <c r="I320" s="720"/>
      <c r="J320" s="720"/>
      <c r="K320" s="720"/>
      <c r="L320" s="149" t="str">
        <f t="shared" si="20"/>
        <v>623F</v>
      </c>
      <c r="M320" s="150" t="str">
        <f t="shared" si="21"/>
        <v>C/V - X5 xDRIVE50e</v>
      </c>
      <c r="N320" s="151">
        <f>+IF(OR($Q320=Parametres!$G$2,$Q320=Parametres!$G$3),I320,C320)</f>
        <v>323093.84999999998</v>
      </c>
      <c r="O320" s="151">
        <f>+IF(OR($Q320=Parametres!$G$2,$Q320=Parametres!$G$3),J320,D320)</f>
        <v>182191.7</v>
      </c>
      <c r="P320" s="151">
        <f>+IF(OR($Q320=Parametres!$G$2,$Q320=Parametres!$G$3),K320,E320)</f>
        <v>505285.55</v>
      </c>
      <c r="Q320" s="150" t="str">
        <f t="shared" si="22"/>
        <v>6-Coût des ventes</v>
      </c>
      <c r="R320" s="149" t="str">
        <f t="shared" si="23"/>
        <v>423F</v>
      </c>
      <c r="S320" s="150">
        <f t="shared" si="24"/>
        <v>0</v>
      </c>
      <c r="T320" s="152" t="str">
        <f>+VLOOKUP($L320,Data_Validation!$A:$D,1,0)</f>
        <v>623F</v>
      </c>
      <c r="U320" s="152" t="str">
        <f>+VLOOKUP($L320,Data_Validation!$A:$D,3,0)</f>
        <v>Véhicules neufs</v>
      </c>
      <c r="V320" s="152" t="str">
        <f>+VLOOKUP($L320,Data_Validation!$A:$D,4,0)</f>
        <v>Camions détail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1430</v>
      </c>
      <c r="B321" s="718" t="s">
        <v>658</v>
      </c>
      <c r="C321" s="720">
        <v>84580.38</v>
      </c>
      <c r="D321" s="720">
        <v>0</v>
      </c>
      <c r="E321" s="720">
        <v>84580.38</v>
      </c>
      <c r="F321" s="718" t="s">
        <v>2016</v>
      </c>
      <c r="G321" s="718" t="s">
        <v>620</v>
      </c>
      <c r="H321" s="673"/>
      <c r="I321" s="672"/>
      <c r="J321" s="672"/>
      <c r="K321" s="672"/>
      <c r="L321" s="149" t="str">
        <f t="shared" si="20"/>
        <v>623G</v>
      </c>
      <c r="M321" s="150" t="str">
        <f t="shared" si="21"/>
        <v>C/V - X3 XDR M40I</v>
      </c>
      <c r="N321" s="151">
        <f>+IF(OR($Q321=Parametres!$G$2,$Q321=Parametres!$G$3),I321,C321)</f>
        <v>84580.38</v>
      </c>
      <c r="O321" s="151">
        <f>+IF(OR($Q321=Parametres!$G$2,$Q321=Parametres!$G$3),J321,D321)</f>
        <v>0</v>
      </c>
      <c r="P321" s="151">
        <f>+IF(OR($Q321=Parametres!$G$2,$Q321=Parametres!$G$3),K321,E321)</f>
        <v>84580.38</v>
      </c>
      <c r="Q321" s="150" t="str">
        <f t="shared" si="22"/>
        <v>6-Coût des ventes</v>
      </c>
      <c r="R321" s="149" t="str">
        <f t="shared" si="23"/>
        <v>423G</v>
      </c>
      <c r="S321" s="150">
        <f t="shared" si="24"/>
        <v>0</v>
      </c>
      <c r="T321" s="152" t="str">
        <f>+VLOOKUP($L321,Data_Validation!$A:$D,1,0)</f>
        <v>623G</v>
      </c>
      <c r="U321" s="152" t="str">
        <f>+VLOOKUP($L321,Data_Validation!$A:$D,3,0)</f>
        <v>Véhicules neufs</v>
      </c>
      <c r="V321" s="152" t="str">
        <f>+VLOOKUP($L321,Data_Validation!$A:$D,4,0)</f>
        <v>Camions détail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2543</v>
      </c>
      <c r="B322" s="718" t="s">
        <v>2544</v>
      </c>
      <c r="C322" s="720">
        <v>0</v>
      </c>
      <c r="D322" s="720">
        <v>106780.02</v>
      </c>
      <c r="E322" s="720">
        <v>106780.02</v>
      </c>
      <c r="F322" s="718" t="s">
        <v>2016</v>
      </c>
      <c r="G322" s="718" t="s">
        <v>2904</v>
      </c>
      <c r="H322" s="673"/>
      <c r="I322" s="672"/>
      <c r="J322" s="672"/>
      <c r="K322" s="672"/>
      <c r="L322" s="149" t="str">
        <f t="shared" ref="L322:L385" si="25">+B322</f>
        <v>624E</v>
      </c>
      <c r="M322" s="150" t="str">
        <f t="shared" ref="M322:M385" si="26">+A322</f>
        <v>C/V - i5 M60 xDRIVE</v>
      </c>
      <c r="N322" s="151">
        <f>+IF(OR($Q322=Parametres!$G$2,$Q322=Parametres!$G$3),I322,C322)</f>
        <v>0</v>
      </c>
      <c r="O322" s="151">
        <f>+IF(OR($Q322=Parametres!$G$2,$Q322=Parametres!$G$3),J322,D322)</f>
        <v>106780.02</v>
      </c>
      <c r="P322" s="151">
        <f>+IF(OR($Q322=Parametres!$G$2,$Q322=Parametres!$G$3),K322,E322)</f>
        <v>106780.02</v>
      </c>
      <c r="Q322" s="150" t="str">
        <f t="shared" ref="Q322:Q385" si="27">+F322</f>
        <v>6-Coût des ventes</v>
      </c>
      <c r="R322" s="149" t="str">
        <f t="shared" ref="R322:R385" si="28">+G322</f>
        <v>404E</v>
      </c>
      <c r="S322" s="150">
        <f t="shared" ref="S322:S385" si="29">+H322</f>
        <v>0</v>
      </c>
      <c r="T322" s="152" t="str">
        <f>+VLOOKUP($L322,Data_Validation!$A:$D,1,0)</f>
        <v>624E</v>
      </c>
      <c r="U322" s="152" t="str">
        <f>+VLOOKUP($L322,Data_Validation!$A:$D,3,0)</f>
        <v>Véhicules neufs</v>
      </c>
      <c r="V322" s="152" t="str">
        <f>+VLOOKUP($L322,Data_Validation!$A:$D,4,0)</f>
        <v>Autos détail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1708</v>
      </c>
      <c r="B323" s="718" t="s">
        <v>1709</v>
      </c>
      <c r="C323" s="719">
        <v>4574.7</v>
      </c>
      <c r="D323" s="719">
        <v>3498.9</v>
      </c>
      <c r="E323" s="719">
        <v>8073.6</v>
      </c>
      <c r="F323" s="718" t="s">
        <v>2016</v>
      </c>
      <c r="G323" s="718" t="s">
        <v>626</v>
      </c>
      <c r="H323" s="719"/>
      <c r="I323" s="720"/>
      <c r="J323" s="720"/>
      <c r="K323" s="720"/>
      <c r="L323" s="149" t="str">
        <f t="shared" si="25"/>
        <v>630A</v>
      </c>
      <c r="M323" s="150" t="str">
        <f t="shared" si="26"/>
        <v>C/V - MARQUAGE OTOPROTEC NEUF BMW AUTO</v>
      </c>
      <c r="N323" s="151">
        <f>+IF(OR($Q323=Parametres!$G$2,$Q323=Parametres!$G$3),I323,C323)</f>
        <v>4574.7</v>
      </c>
      <c r="O323" s="151">
        <f>+IF(OR($Q323=Parametres!$G$2,$Q323=Parametres!$G$3),J323,D323)</f>
        <v>3498.9</v>
      </c>
      <c r="P323" s="151">
        <f>+IF(OR($Q323=Parametres!$G$2,$Q323=Parametres!$G$3),K323,E323)</f>
        <v>8073.6</v>
      </c>
      <c r="Q323" s="150" t="str">
        <f t="shared" si="27"/>
        <v>6-Coût des ventes</v>
      </c>
      <c r="R323" s="149" t="str">
        <f t="shared" si="28"/>
        <v>430</v>
      </c>
      <c r="S323" s="150">
        <f t="shared" si="29"/>
        <v>0</v>
      </c>
      <c r="T323" s="152" t="str">
        <f>+VLOOKUP($L323,Data_Validation!$A:$D,1,0)</f>
        <v>630A</v>
      </c>
      <c r="U323" s="152" t="str">
        <f>+VLOOKUP($L323,Data_Validation!$A:$D,3,0)</f>
        <v>Véhicules neufs</v>
      </c>
      <c r="V323" s="152" t="str">
        <f>+VLOOKUP($L323,Data_Validation!$A:$D,4,0)</f>
        <v>Rev. Autres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1432</v>
      </c>
      <c r="B324" s="718" t="s">
        <v>1433</v>
      </c>
      <c r="C324" s="719">
        <v>4860</v>
      </c>
      <c r="D324" s="719">
        <v>2653</v>
      </c>
      <c r="E324" s="719">
        <v>7513</v>
      </c>
      <c r="F324" s="718" t="s">
        <v>2016</v>
      </c>
      <c r="G324" s="718" t="s">
        <v>626</v>
      </c>
      <c r="H324" s="719"/>
      <c r="I324" s="720"/>
      <c r="J324" s="720"/>
      <c r="K324" s="720"/>
      <c r="L324" s="149" t="str">
        <f t="shared" si="25"/>
        <v>630C</v>
      </c>
      <c r="M324" s="150" t="str">
        <f t="shared" si="26"/>
        <v>C/V - ACCESSOIRES NEUF BMW AUTO</v>
      </c>
      <c r="N324" s="151">
        <f>+IF(OR($Q324=Parametres!$G$2,$Q324=Parametres!$G$3),I324,C324)</f>
        <v>4860</v>
      </c>
      <c r="O324" s="151">
        <f>+IF(OR($Q324=Parametres!$G$2,$Q324=Parametres!$G$3),J324,D324)</f>
        <v>2653</v>
      </c>
      <c r="P324" s="151">
        <f>+IF(OR($Q324=Parametres!$G$2,$Q324=Parametres!$G$3),K324,E324)</f>
        <v>7513</v>
      </c>
      <c r="Q324" s="150" t="str">
        <f t="shared" si="27"/>
        <v>6-Coût des ventes</v>
      </c>
      <c r="R324" s="149" t="str">
        <f t="shared" si="28"/>
        <v>430</v>
      </c>
      <c r="S324" s="150">
        <f t="shared" si="29"/>
        <v>0</v>
      </c>
      <c r="T324" s="152" t="str">
        <f>+VLOOKUP($L324,Data_Validation!$A:$D,1,0)</f>
        <v>630C</v>
      </c>
      <c r="U324" s="152" t="str">
        <f>+VLOOKUP($L324,Data_Validation!$A:$D,3,0)</f>
        <v>Véhicules neufs</v>
      </c>
      <c r="V324" s="152" t="str">
        <f>+VLOOKUP($L324,Data_Validation!$A:$D,4,0)</f>
        <v>Rev. Autres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1715</v>
      </c>
      <c r="B325" s="671" t="s">
        <v>1716</v>
      </c>
      <c r="C325" s="672">
        <v>21873.68</v>
      </c>
      <c r="D325" s="672">
        <v>11910</v>
      </c>
      <c r="E325" s="672">
        <v>33783.68</v>
      </c>
      <c r="F325" s="671" t="s">
        <v>2016</v>
      </c>
      <c r="G325" s="671" t="s">
        <v>626</v>
      </c>
      <c r="H325" s="666"/>
      <c r="I325" s="665"/>
      <c r="J325" s="665"/>
      <c r="K325" s="665"/>
      <c r="L325" s="149" t="str">
        <f t="shared" si="25"/>
        <v>630E</v>
      </c>
      <c r="M325" s="150" t="str">
        <f t="shared" si="26"/>
        <v>C/V - PROTEC ESTHETIQUE NAUF BMW AUTO</v>
      </c>
      <c r="N325" s="151">
        <f>+IF(OR($Q325=Parametres!$G$2,$Q325=Parametres!$G$3),I325,C325)</f>
        <v>21873.68</v>
      </c>
      <c r="O325" s="151">
        <f>+IF(OR($Q325=Parametres!$G$2,$Q325=Parametres!$G$3),J325,D325)</f>
        <v>11910</v>
      </c>
      <c r="P325" s="151">
        <f>+IF(OR($Q325=Parametres!$G$2,$Q325=Parametres!$G$3),K325,E325)</f>
        <v>33783.68</v>
      </c>
      <c r="Q325" s="150" t="str">
        <f t="shared" si="27"/>
        <v>6-Coût des ventes</v>
      </c>
      <c r="R325" s="149" t="str">
        <f t="shared" si="28"/>
        <v>430</v>
      </c>
      <c r="S325" s="150">
        <f t="shared" si="29"/>
        <v>0</v>
      </c>
      <c r="T325" s="152" t="str">
        <f>+VLOOKUP($L325,Data_Validation!$A:$D,1,0)</f>
        <v>630E</v>
      </c>
      <c r="U325" s="152" t="str">
        <f>+VLOOKUP($L325,Data_Validation!$A:$D,3,0)</f>
        <v>Véhicules neufs</v>
      </c>
      <c r="V325" s="152" t="str">
        <f>+VLOOKUP($L325,Data_Validation!$A:$D,4,0)</f>
        <v>Rev. Protections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1434</v>
      </c>
      <c r="B326" s="718" t="s">
        <v>1065</v>
      </c>
      <c r="C326" s="720">
        <v>960</v>
      </c>
      <c r="D326" s="720">
        <v>1525</v>
      </c>
      <c r="E326" s="720">
        <v>2485</v>
      </c>
      <c r="F326" s="718" t="s">
        <v>2016</v>
      </c>
      <c r="G326" s="718" t="s">
        <v>626</v>
      </c>
      <c r="H326" s="673"/>
      <c r="I326" s="672"/>
      <c r="J326" s="672"/>
      <c r="K326" s="672"/>
      <c r="L326" s="149" t="str">
        <f t="shared" si="25"/>
        <v>630P</v>
      </c>
      <c r="M326" s="150" t="str">
        <f t="shared" si="26"/>
        <v>C/V - PROTEC PNEUS/JANTES NEUF BMW AUTO</v>
      </c>
      <c r="N326" s="151">
        <f>+IF(OR($Q326=Parametres!$G$2,$Q326=Parametres!$G$3),I326,C326)</f>
        <v>960</v>
      </c>
      <c r="O326" s="151">
        <f>+IF(OR($Q326=Parametres!$G$2,$Q326=Parametres!$G$3),J326,D326)</f>
        <v>1525</v>
      </c>
      <c r="P326" s="151">
        <f>+IF(OR($Q326=Parametres!$G$2,$Q326=Parametres!$G$3),K326,E326)</f>
        <v>2485</v>
      </c>
      <c r="Q326" s="150" t="str">
        <f t="shared" si="27"/>
        <v>6-Coût des ventes</v>
      </c>
      <c r="R326" s="149" t="str">
        <f t="shared" si="28"/>
        <v>430</v>
      </c>
      <c r="S326" s="150">
        <f t="shared" si="29"/>
        <v>0</v>
      </c>
      <c r="T326" s="152" t="str">
        <f>+VLOOKUP($L326,Data_Validation!$A:$D,1,0)</f>
        <v>630P</v>
      </c>
      <c r="U326" s="152" t="str">
        <f>+VLOOKUP($L326,Data_Validation!$A:$D,3,0)</f>
        <v>Véhicules neufs</v>
      </c>
      <c r="V326" s="152" t="str">
        <f>+VLOOKUP($L326,Data_Validation!$A:$D,4,0)</f>
        <v>Rev. Protections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1949</v>
      </c>
      <c r="B327" s="718" t="s">
        <v>1950</v>
      </c>
      <c r="C327" s="719">
        <v>0</v>
      </c>
      <c r="D327" s="719">
        <v>2310.6999999999998</v>
      </c>
      <c r="E327" s="719">
        <v>2310.6999999999998</v>
      </c>
      <c r="F327" s="718" t="s">
        <v>2016</v>
      </c>
      <c r="G327" s="718" t="s">
        <v>626</v>
      </c>
      <c r="H327" s="719"/>
      <c r="I327" s="720"/>
      <c r="J327" s="720"/>
      <c r="K327" s="720"/>
      <c r="L327" s="149" t="str">
        <f t="shared" si="25"/>
        <v>630R</v>
      </c>
      <c r="M327" s="150" t="str">
        <f t="shared" si="26"/>
        <v>C/V - ASS. REMP. NEUF BMW AUTO</v>
      </c>
      <c r="N327" s="151">
        <f>+IF(OR($Q327=Parametres!$G$2,$Q327=Parametres!$G$3),I327,C327)</f>
        <v>0</v>
      </c>
      <c r="O327" s="151">
        <f>+IF(OR($Q327=Parametres!$G$2,$Q327=Parametres!$G$3),J327,D327)</f>
        <v>2310.6999999999998</v>
      </c>
      <c r="P327" s="151">
        <f>+IF(OR($Q327=Parametres!$G$2,$Q327=Parametres!$G$3),K327,E327)</f>
        <v>2310.6999999999998</v>
      </c>
      <c r="Q327" s="150" t="str">
        <f t="shared" si="27"/>
        <v>6-Coût des ventes</v>
      </c>
      <c r="R327" s="149" t="str">
        <f t="shared" si="28"/>
        <v>430</v>
      </c>
      <c r="S327" s="150">
        <f t="shared" si="29"/>
        <v>0</v>
      </c>
      <c r="T327" s="152" t="str">
        <f>+VLOOKUP($L327,Data_Validation!$A:$D,1,0)</f>
        <v>630R</v>
      </c>
      <c r="U327" s="152" t="str">
        <f>+VLOOKUP($L327,Data_Validation!$A:$D,3,0)</f>
        <v>Véhicules neufs</v>
      </c>
      <c r="V327" s="152" t="str">
        <f>+VLOOKUP($L327,Data_Validation!$A:$D,4,0)</f>
        <v>Rev. Protections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1643</v>
      </c>
      <c r="B328" s="718" t="s">
        <v>1644</v>
      </c>
      <c r="C328" s="720">
        <v>1680.4</v>
      </c>
      <c r="D328" s="720">
        <v>0</v>
      </c>
      <c r="E328" s="720">
        <v>1680.4</v>
      </c>
      <c r="F328" s="718" t="s">
        <v>2016</v>
      </c>
      <c r="G328" s="718" t="s">
        <v>626</v>
      </c>
      <c r="H328" s="673"/>
      <c r="I328" s="672"/>
      <c r="J328" s="672"/>
      <c r="K328" s="672"/>
      <c r="L328" s="149" t="str">
        <f t="shared" si="25"/>
        <v>630T</v>
      </c>
      <c r="M328" s="150" t="str">
        <f t="shared" si="26"/>
        <v>C/V - TRAITEMENT OTOPROTEC NEUF BMW AUTO</v>
      </c>
      <c r="N328" s="151">
        <f>+IF(OR($Q328=Parametres!$G$2,$Q328=Parametres!$G$3),I328,C328)</f>
        <v>1680.4</v>
      </c>
      <c r="O328" s="151">
        <f>+IF(OR($Q328=Parametres!$G$2,$Q328=Parametres!$G$3),J328,D328)</f>
        <v>0</v>
      </c>
      <c r="P328" s="151">
        <f>+IF(OR($Q328=Parametres!$G$2,$Q328=Parametres!$G$3),K328,E328)</f>
        <v>1680.4</v>
      </c>
      <c r="Q328" s="150" t="str">
        <f t="shared" si="27"/>
        <v>6-Coût des ventes</v>
      </c>
      <c r="R328" s="149" t="str">
        <f t="shared" si="28"/>
        <v>430</v>
      </c>
      <c r="S328" s="150">
        <f t="shared" si="29"/>
        <v>0</v>
      </c>
      <c r="T328" s="152" t="str">
        <f>+VLOOKUP($L328,Data_Validation!$A:$D,1,0)</f>
        <v>630T</v>
      </c>
      <c r="U328" s="152" t="str">
        <f>+VLOOKUP($L328,Data_Validation!$A:$D,3,0)</f>
        <v>Véhicules neufs</v>
      </c>
      <c r="V328" s="152" t="str">
        <f>+VLOOKUP($L328,Data_Validation!$A:$D,4,0)</f>
        <v>Rev. Autres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1810</v>
      </c>
      <c r="B329" s="718" t="s">
        <v>1811</v>
      </c>
      <c r="C329" s="720">
        <v>15228</v>
      </c>
      <c r="D329" s="720">
        <v>6325</v>
      </c>
      <c r="E329" s="720">
        <v>21553</v>
      </c>
      <c r="F329" s="718" t="s">
        <v>2016</v>
      </c>
      <c r="G329" s="718" t="s">
        <v>626</v>
      </c>
      <c r="H329" s="673"/>
      <c r="I329" s="672"/>
      <c r="J329" s="672"/>
      <c r="K329" s="672"/>
      <c r="L329" s="149" t="str">
        <f t="shared" si="25"/>
        <v>630U</v>
      </c>
      <c r="M329" s="150" t="str">
        <f t="shared" si="26"/>
        <v>C/V - ASSIST USURE NEUF BMW AUTO</v>
      </c>
      <c r="N329" s="151">
        <f>+IF(OR($Q329=Parametres!$G$2,$Q329=Parametres!$G$3),I329,C329)</f>
        <v>15228</v>
      </c>
      <c r="O329" s="151">
        <f>+IF(OR($Q329=Parametres!$G$2,$Q329=Parametres!$G$3),J329,D329)</f>
        <v>6325</v>
      </c>
      <c r="P329" s="151">
        <f>+IF(OR($Q329=Parametres!$G$2,$Q329=Parametres!$G$3),K329,E329)</f>
        <v>21553</v>
      </c>
      <c r="Q329" s="150" t="str">
        <f t="shared" si="27"/>
        <v>6-Coût des ventes</v>
      </c>
      <c r="R329" s="149" t="str">
        <f t="shared" si="28"/>
        <v>430</v>
      </c>
      <c r="S329" s="150">
        <f t="shared" si="29"/>
        <v>0</v>
      </c>
      <c r="T329" s="152" t="str">
        <f>+VLOOKUP($L329,Data_Validation!$A:$D,1,0)</f>
        <v>630U</v>
      </c>
      <c r="U329" s="152" t="str">
        <f>+VLOOKUP($L329,Data_Validation!$A:$D,3,0)</f>
        <v>Véhicules neufs</v>
      </c>
      <c r="V329" s="152" t="str">
        <f>+VLOOKUP($L329,Data_Validation!$A:$D,4,0)</f>
        <v>Rev. Protections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1802</v>
      </c>
      <c r="B330" s="718" t="s">
        <v>665</v>
      </c>
      <c r="C330" s="719">
        <v>7199</v>
      </c>
      <c r="D330" s="719">
        <v>27921</v>
      </c>
      <c r="E330" s="719">
        <v>35120</v>
      </c>
      <c r="F330" s="718" t="s">
        <v>2016</v>
      </c>
      <c r="G330" s="718" t="s">
        <v>2013</v>
      </c>
      <c r="H330" s="719"/>
      <c r="I330" s="720"/>
      <c r="J330" s="720"/>
      <c r="K330" s="720"/>
      <c r="L330" s="149" t="str">
        <f t="shared" si="25"/>
        <v>632A</v>
      </c>
      <c r="M330" s="150" t="str">
        <f t="shared" si="26"/>
        <v>C/V - GAR PROL NEUF BMW AUTO</v>
      </c>
      <c r="N330" s="151">
        <f>+IF(OR($Q330=Parametres!$G$2,$Q330=Parametres!$G$3),I330,C330)</f>
        <v>7199</v>
      </c>
      <c r="O330" s="151">
        <f>+IF(OR($Q330=Parametres!$G$2,$Q330=Parametres!$G$3),J330,D330)</f>
        <v>27921</v>
      </c>
      <c r="P330" s="151">
        <f>+IF(OR($Q330=Parametres!$G$2,$Q330=Parametres!$G$3),K330,E330)</f>
        <v>35120</v>
      </c>
      <c r="Q330" s="150" t="str">
        <f t="shared" si="27"/>
        <v>6-Coût des ventes</v>
      </c>
      <c r="R330" s="149" t="str">
        <f t="shared" si="28"/>
        <v>432</v>
      </c>
      <c r="S330" s="150">
        <f t="shared" si="29"/>
        <v>0</v>
      </c>
      <c r="T330" s="152" t="str">
        <f>+VLOOKUP($L330,Data_Validation!$A:$D,1,0)</f>
        <v>632A</v>
      </c>
      <c r="U330" s="152" t="str">
        <f>+VLOOKUP($L330,Data_Validation!$A:$D,3,0)</f>
        <v>Véhicules neufs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2104</v>
      </c>
      <c r="B331" s="718" t="s">
        <v>2103</v>
      </c>
      <c r="C331" s="720">
        <v>5376</v>
      </c>
      <c r="D331" s="720">
        <v>3823</v>
      </c>
      <c r="E331" s="720">
        <v>9199</v>
      </c>
      <c r="F331" s="718" t="s">
        <v>2016</v>
      </c>
      <c r="G331" s="718" t="s">
        <v>2368</v>
      </c>
      <c r="H331" s="673"/>
      <c r="I331" s="672"/>
      <c r="J331" s="672"/>
      <c r="K331" s="672"/>
      <c r="L331" s="149" t="str">
        <f t="shared" si="25"/>
        <v>634A</v>
      </c>
      <c r="M331" s="150" t="str">
        <f t="shared" si="26"/>
        <v>C/V - CONT ENTRET NEUF BMW AUTO</v>
      </c>
      <c r="N331" s="151">
        <f>+IF(OR($Q331=Parametres!$G$2,$Q331=Parametres!$G$3),I331,C331)</f>
        <v>5376</v>
      </c>
      <c r="O331" s="151">
        <f>+IF(OR($Q331=Parametres!$G$2,$Q331=Parametres!$G$3),J331,D331)</f>
        <v>3823</v>
      </c>
      <c r="P331" s="151">
        <f>+IF(OR($Q331=Parametres!$G$2,$Q331=Parametres!$G$3),K331,E331)</f>
        <v>9199</v>
      </c>
      <c r="Q331" s="150" t="str">
        <f t="shared" si="27"/>
        <v>6-Coût des ventes</v>
      </c>
      <c r="R331" s="149" t="str">
        <f t="shared" si="28"/>
        <v>434</v>
      </c>
      <c r="S331" s="150">
        <f t="shared" si="29"/>
        <v>0</v>
      </c>
      <c r="T331" s="152" t="str">
        <f>+VLOOKUP($L331,Data_Validation!$A:$D,1,0)</f>
        <v>634A</v>
      </c>
      <c r="U331" s="152" t="str">
        <f>+VLOOKUP($L331,Data_Validation!$A:$D,3,0)</f>
        <v>Véhicules neufs</v>
      </c>
      <c r="V331" s="152" t="str">
        <f>+VLOOKUP($L331,Data_Validation!$A:$D,4,0)</f>
        <v>Rev. Protections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1829</v>
      </c>
      <c r="B332" s="671" t="s">
        <v>974</v>
      </c>
      <c r="C332" s="672">
        <v>557844.80000000005</v>
      </c>
      <c r="D332" s="672">
        <v>265668.44</v>
      </c>
      <c r="E332" s="672">
        <v>823513.24</v>
      </c>
      <c r="F332" s="671" t="s">
        <v>2016</v>
      </c>
      <c r="G332" s="671" t="s">
        <v>421</v>
      </c>
      <c r="H332" s="666"/>
      <c r="I332" s="665"/>
      <c r="J332" s="665"/>
      <c r="K332" s="665"/>
      <c r="L332" s="149" t="str">
        <f t="shared" si="25"/>
        <v>640A</v>
      </c>
      <c r="M332" s="150" t="str">
        <f t="shared" si="26"/>
        <v>C/V - USAGE BMW AUTO CERT</v>
      </c>
      <c r="N332" s="151">
        <f>+IF(OR($Q332=Parametres!$G$2,$Q332=Parametres!$G$3),I332,C332)</f>
        <v>557844.80000000005</v>
      </c>
      <c r="O332" s="151">
        <f>+IF(OR($Q332=Parametres!$G$2,$Q332=Parametres!$G$3),J332,D332)</f>
        <v>265668.44</v>
      </c>
      <c r="P332" s="151">
        <f>+IF(OR($Q332=Parametres!$G$2,$Q332=Parametres!$G$3),K332,E332)</f>
        <v>823513.24</v>
      </c>
      <c r="Q332" s="150" t="str">
        <f t="shared" si="27"/>
        <v>6-Coût des ventes</v>
      </c>
      <c r="R332" s="149" t="str">
        <f t="shared" si="28"/>
        <v>440A</v>
      </c>
      <c r="S332" s="150">
        <f t="shared" si="29"/>
        <v>0</v>
      </c>
      <c r="T332" s="152" t="str">
        <f>+VLOOKUP($L332,Data_Validation!$A:$D,1,0)</f>
        <v>640A</v>
      </c>
      <c r="U332" s="152" t="str">
        <f>+VLOOKUP($L332,Data_Validation!$A:$D,3,0)</f>
        <v>Véhicules usagés</v>
      </c>
      <c r="V332" s="152" t="str">
        <f>+VLOOKUP($L332,Data_Validation!$A:$D,4,0)</f>
        <v>Certifié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1436</v>
      </c>
      <c r="B333" s="718" t="s">
        <v>976</v>
      </c>
      <c r="C333" s="720">
        <v>169070.1</v>
      </c>
      <c r="D333" s="720">
        <v>136150.26</v>
      </c>
      <c r="E333" s="720">
        <v>305220.36</v>
      </c>
      <c r="F333" s="718" t="s">
        <v>2016</v>
      </c>
      <c r="G333" s="718" t="s">
        <v>417</v>
      </c>
      <c r="H333" s="673"/>
      <c r="I333" s="672"/>
      <c r="J333" s="672"/>
      <c r="K333" s="672"/>
      <c r="L333" s="149" t="str">
        <f t="shared" si="25"/>
        <v>640B</v>
      </c>
      <c r="M333" s="150" t="str">
        <f t="shared" si="26"/>
        <v>C/V - USAGE BMW AUTO NON-CERT</v>
      </c>
      <c r="N333" s="151">
        <f>+IF(OR($Q333=Parametres!$G$2,$Q333=Parametres!$G$3),I333,C333)</f>
        <v>169070.1</v>
      </c>
      <c r="O333" s="151">
        <f>+IF(OR($Q333=Parametres!$G$2,$Q333=Parametres!$G$3),J333,D333)</f>
        <v>136150.26</v>
      </c>
      <c r="P333" s="151">
        <f>+IF(OR($Q333=Parametres!$G$2,$Q333=Parametres!$G$3),K333,E333)</f>
        <v>305220.36</v>
      </c>
      <c r="Q333" s="150" t="str">
        <f t="shared" si="27"/>
        <v>6-Coût des ventes</v>
      </c>
      <c r="R333" s="149" t="str">
        <f t="shared" si="28"/>
        <v>440B</v>
      </c>
      <c r="S333" s="150">
        <f t="shared" si="29"/>
        <v>0</v>
      </c>
      <c r="T333" s="152" t="str">
        <f>+VLOOKUP($L333,Data_Validation!$A:$D,1,0)</f>
        <v>640B</v>
      </c>
      <c r="U333" s="152" t="str">
        <f>+VLOOKUP($L333,Data_Validation!$A:$D,3,0)</f>
        <v>Véhicules usagés</v>
      </c>
      <c r="V333" s="152" t="str">
        <f>+VLOOKUP($L333,Data_Validation!$A:$D,4,0)</f>
        <v>Non Certifié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1757</v>
      </c>
      <c r="B334" s="671" t="s">
        <v>947</v>
      </c>
      <c r="C334" s="672">
        <v>7145.46</v>
      </c>
      <c r="D334" s="672">
        <v>3658.55</v>
      </c>
      <c r="E334" s="672">
        <v>10804.01</v>
      </c>
      <c r="F334" s="671" t="s">
        <v>2016</v>
      </c>
      <c r="G334" s="671" t="s">
        <v>421</v>
      </c>
      <c r="H334" s="666"/>
      <c r="I334" s="665"/>
      <c r="J334" s="665"/>
      <c r="K334" s="665"/>
      <c r="L334" s="149" t="str">
        <f t="shared" si="25"/>
        <v>641A</v>
      </c>
      <c r="M334" s="150" t="str">
        <f t="shared" si="26"/>
        <v>C/V - RECOND. BMW AUTO CERT</v>
      </c>
      <c r="N334" s="151">
        <f>+IF(OR($Q334=Parametres!$G$2,$Q334=Parametres!$G$3),I334,C334)</f>
        <v>7145.46</v>
      </c>
      <c r="O334" s="151">
        <f>+IF(OR($Q334=Parametres!$G$2,$Q334=Parametres!$G$3),J334,D334)</f>
        <v>3658.55</v>
      </c>
      <c r="P334" s="151">
        <f>+IF(OR($Q334=Parametres!$G$2,$Q334=Parametres!$G$3),K334,E334)</f>
        <v>10804.01</v>
      </c>
      <c r="Q334" s="150" t="str">
        <f t="shared" si="27"/>
        <v>6-Coût des ventes</v>
      </c>
      <c r="R334" s="149" t="str">
        <f t="shared" si="28"/>
        <v>440A</v>
      </c>
      <c r="S334" s="150">
        <f t="shared" si="29"/>
        <v>0</v>
      </c>
      <c r="T334" s="152" t="str">
        <f>+VLOOKUP($L334,Data_Validation!$A:$D,1,0)</f>
        <v>641A</v>
      </c>
      <c r="U334" s="152" t="str">
        <f>+VLOOKUP($L334,Data_Validation!$A:$D,3,0)</f>
        <v>Véhicules usagés</v>
      </c>
      <c r="V334" s="152" t="str">
        <f>+VLOOKUP($L334,Data_Validation!$A:$D,4,0)</f>
        <v>Certifié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1437</v>
      </c>
      <c r="B335" s="671" t="s">
        <v>936</v>
      </c>
      <c r="C335" s="672">
        <v>7248.22</v>
      </c>
      <c r="D335" s="672">
        <v>4971.75</v>
      </c>
      <c r="E335" s="672">
        <v>12219.97</v>
      </c>
      <c r="F335" s="671" t="s">
        <v>2016</v>
      </c>
      <c r="G335" s="671" t="s">
        <v>417</v>
      </c>
      <c r="H335" s="666"/>
      <c r="I335" s="665"/>
      <c r="J335" s="665"/>
      <c r="K335" s="665"/>
      <c r="L335" s="149" t="str">
        <f t="shared" si="25"/>
        <v>641B</v>
      </c>
      <c r="M335" s="150" t="str">
        <f t="shared" si="26"/>
        <v>C/V - RECOND. BMW AUTO NON-CERT</v>
      </c>
      <c r="N335" s="151">
        <f>+IF(OR($Q335=Parametres!$G$2,$Q335=Parametres!$G$3),I335,C335)</f>
        <v>7248.22</v>
      </c>
      <c r="O335" s="151">
        <f>+IF(OR($Q335=Parametres!$G$2,$Q335=Parametres!$G$3),J335,D335)</f>
        <v>4971.75</v>
      </c>
      <c r="P335" s="151">
        <f>+IF(OR($Q335=Parametres!$G$2,$Q335=Parametres!$G$3),K335,E335)</f>
        <v>12219.97</v>
      </c>
      <c r="Q335" s="150" t="str">
        <f t="shared" si="27"/>
        <v>6-Coût des ventes</v>
      </c>
      <c r="R335" s="149" t="str">
        <f t="shared" si="28"/>
        <v>440B</v>
      </c>
      <c r="S335" s="150">
        <f t="shared" si="29"/>
        <v>0</v>
      </c>
      <c r="T335" s="152" t="str">
        <f>+VLOOKUP($L335,Data_Validation!$A:$D,1,0)</f>
        <v>641B</v>
      </c>
      <c r="U335" s="152" t="str">
        <f>+VLOOKUP($L335,Data_Validation!$A:$D,3,0)</f>
        <v>Véhicules usagés</v>
      </c>
      <c r="V335" s="152" t="str">
        <f>+VLOOKUP($L335,Data_Validation!$A:$D,4,0)</f>
        <v>Non Certifié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1842</v>
      </c>
      <c r="B336" s="718" t="s">
        <v>666</v>
      </c>
      <c r="C336" s="720">
        <v>246431.07</v>
      </c>
      <c r="D336" s="720">
        <v>442478.04</v>
      </c>
      <c r="E336" s="720">
        <v>688909.11</v>
      </c>
      <c r="F336" s="718" t="s">
        <v>2016</v>
      </c>
      <c r="G336" s="718" t="s">
        <v>385</v>
      </c>
      <c r="H336" s="666"/>
      <c r="I336" s="665"/>
      <c r="J336" s="665"/>
      <c r="K336" s="665"/>
      <c r="L336" s="149" t="str">
        <f t="shared" si="25"/>
        <v>642</v>
      </c>
      <c r="M336" s="150" t="str">
        <f t="shared" si="26"/>
        <v>C/V - USAGE AUTRES</v>
      </c>
      <c r="N336" s="151">
        <f>+IF(OR($Q336=Parametres!$G$2,$Q336=Parametres!$G$3),I336,C336)</f>
        <v>246431.07</v>
      </c>
      <c r="O336" s="151">
        <f>+IF(OR($Q336=Parametres!$G$2,$Q336=Parametres!$G$3),J336,D336)</f>
        <v>442478.04</v>
      </c>
      <c r="P336" s="151">
        <f>+IF(OR($Q336=Parametres!$G$2,$Q336=Parametres!$G$3),K336,E336)</f>
        <v>688909.11</v>
      </c>
      <c r="Q336" s="150" t="str">
        <f t="shared" si="27"/>
        <v>6-Coût des ventes</v>
      </c>
      <c r="R336" s="149" t="str">
        <f t="shared" si="28"/>
        <v>442</v>
      </c>
      <c r="S336" s="150">
        <f t="shared" si="29"/>
        <v>0</v>
      </c>
      <c r="T336" s="152" t="str">
        <f>+VLOOKUP($L336,Data_Validation!$A:$D,1,0)</f>
        <v>642</v>
      </c>
      <c r="U336" s="152" t="str">
        <f>+VLOOKUP($L336,Data_Validation!$A:$D,3,0)</f>
        <v>Véhicules usagés</v>
      </c>
      <c r="V336" s="152" t="str">
        <f>+VLOOKUP($L336,Data_Validation!$A:$D,4,0)</f>
        <v>Autres marques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1739</v>
      </c>
      <c r="B337" s="671" t="s">
        <v>667</v>
      </c>
      <c r="C337" s="672">
        <v>4492.3</v>
      </c>
      <c r="D337" s="672">
        <v>9799.2999999999993</v>
      </c>
      <c r="E337" s="672">
        <v>14291.6</v>
      </c>
      <c r="F337" s="671" t="s">
        <v>2016</v>
      </c>
      <c r="G337" s="671" t="s">
        <v>385</v>
      </c>
      <c r="H337" s="666"/>
      <c r="I337" s="665"/>
      <c r="J337" s="665"/>
      <c r="K337" s="665"/>
      <c r="L337" s="149" t="str">
        <f t="shared" si="25"/>
        <v>643</v>
      </c>
      <c r="M337" s="150" t="str">
        <f t="shared" si="26"/>
        <v>C/V - RECOND. AUTRES</v>
      </c>
      <c r="N337" s="151">
        <f>+IF(OR($Q337=Parametres!$G$2,$Q337=Parametres!$G$3),I337,C337)</f>
        <v>4492.3</v>
      </c>
      <c r="O337" s="151">
        <f>+IF(OR($Q337=Parametres!$G$2,$Q337=Parametres!$G$3),J337,D337)</f>
        <v>9799.2999999999993</v>
      </c>
      <c r="P337" s="151">
        <f>+IF(OR($Q337=Parametres!$G$2,$Q337=Parametres!$G$3),K337,E337)</f>
        <v>14291.6</v>
      </c>
      <c r="Q337" s="150" t="str">
        <f t="shared" si="27"/>
        <v>6-Coût des ventes</v>
      </c>
      <c r="R337" s="149" t="str">
        <f t="shared" si="28"/>
        <v>442</v>
      </c>
      <c r="S337" s="150">
        <f t="shared" si="29"/>
        <v>0</v>
      </c>
      <c r="T337" s="152" t="str">
        <f>+VLOOKUP($L337,Data_Validation!$A:$D,1,0)</f>
        <v>643</v>
      </c>
      <c r="U337" s="152" t="str">
        <f>+VLOOKUP($L337,Data_Validation!$A:$D,3,0)</f>
        <v>Véhicules usagés</v>
      </c>
      <c r="V337" s="152" t="str">
        <f>+VLOOKUP($L337,Data_Validation!$A:$D,4,0)</f>
        <v>Autres marques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1853</v>
      </c>
      <c r="B338" s="718" t="s">
        <v>1854</v>
      </c>
      <c r="C338" s="720">
        <v>264035.11</v>
      </c>
      <c r="D338" s="720">
        <v>18060</v>
      </c>
      <c r="E338" s="720">
        <v>282095.11</v>
      </c>
      <c r="F338" s="718" t="s">
        <v>2016</v>
      </c>
      <c r="G338" s="718" t="s">
        <v>1073</v>
      </c>
      <c r="H338" s="673"/>
      <c r="I338" s="672"/>
      <c r="J338" s="672"/>
      <c r="K338" s="672"/>
      <c r="L338" s="149" t="str">
        <f t="shared" si="25"/>
        <v>644A</v>
      </c>
      <c r="M338" s="150" t="str">
        <f t="shared" si="26"/>
        <v>C/V - GROS BMW AUTO</v>
      </c>
      <c r="N338" s="151">
        <f>+IF(OR($Q338=Parametres!$G$2,$Q338=Parametres!$G$3),I338,C338)</f>
        <v>264035.11</v>
      </c>
      <c r="O338" s="151">
        <f>+IF(OR($Q338=Parametres!$G$2,$Q338=Parametres!$G$3),J338,D338)</f>
        <v>18060</v>
      </c>
      <c r="P338" s="151">
        <f>+IF(OR($Q338=Parametres!$G$2,$Q338=Parametres!$G$3),K338,E338)</f>
        <v>282095.11</v>
      </c>
      <c r="Q338" s="150" t="str">
        <f t="shared" si="27"/>
        <v>6-Coût des ventes</v>
      </c>
      <c r="R338" s="149" t="str">
        <f t="shared" si="28"/>
        <v>444A</v>
      </c>
      <c r="S338" s="150">
        <f t="shared" si="29"/>
        <v>0</v>
      </c>
      <c r="T338" s="152" t="str">
        <f>+VLOOKUP($L338,Data_Validation!$A:$D,1,0)</f>
        <v>644A</v>
      </c>
      <c r="U338" s="152" t="str">
        <f>+VLOOKUP($L338,Data_Validation!$A:$D,3,0)</f>
        <v>Véhicules usagés</v>
      </c>
      <c r="V338" s="152" t="str">
        <f>+VLOOKUP($L338,Data_Validation!$A:$D,4,0)</f>
        <v>Ventes au Gros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1855</v>
      </c>
      <c r="B339" s="718" t="s">
        <v>988</v>
      </c>
      <c r="C339" s="720">
        <v>101059.95</v>
      </c>
      <c r="D339" s="720">
        <v>113668.9</v>
      </c>
      <c r="E339" s="720">
        <v>214728.85</v>
      </c>
      <c r="F339" s="718" t="s">
        <v>2016</v>
      </c>
      <c r="G339" s="718" t="s">
        <v>399</v>
      </c>
      <c r="H339" s="673"/>
      <c r="I339" s="672"/>
      <c r="J339" s="672"/>
      <c r="K339" s="672"/>
      <c r="L339" s="149" t="str">
        <f t="shared" si="25"/>
        <v>644B</v>
      </c>
      <c r="M339" s="150" t="str">
        <f t="shared" si="26"/>
        <v>C/V - GROS BMW CAMION</v>
      </c>
      <c r="N339" s="151">
        <f>+IF(OR($Q339=Parametres!$G$2,$Q339=Parametres!$G$3),I339,C339)</f>
        <v>101059.95</v>
      </c>
      <c r="O339" s="151">
        <f>+IF(OR($Q339=Parametres!$G$2,$Q339=Parametres!$G$3),J339,D339)</f>
        <v>113668.9</v>
      </c>
      <c r="P339" s="151">
        <f>+IF(OR($Q339=Parametres!$G$2,$Q339=Parametres!$G$3),K339,E339)</f>
        <v>214728.85</v>
      </c>
      <c r="Q339" s="150" t="str">
        <f t="shared" si="27"/>
        <v>6-Coût des ventes</v>
      </c>
      <c r="R339" s="149" t="str">
        <f t="shared" si="28"/>
        <v>444B</v>
      </c>
      <c r="S339" s="150">
        <f t="shared" si="29"/>
        <v>0</v>
      </c>
      <c r="T339" s="152" t="str">
        <f>+VLOOKUP($L339,Data_Validation!$A:$D,1,0)</f>
        <v>644B</v>
      </c>
      <c r="U339" s="152" t="str">
        <f>+VLOOKUP($L339,Data_Validation!$A:$D,3,0)</f>
        <v>Véhicules usagés</v>
      </c>
      <c r="V339" s="152" t="str">
        <f>+VLOOKUP($L339,Data_Validation!$A:$D,4,0)</f>
        <v>Ventes au Gros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1848</v>
      </c>
      <c r="B340" s="671" t="s">
        <v>986</v>
      </c>
      <c r="C340" s="672">
        <v>749771.01</v>
      </c>
      <c r="D340" s="672">
        <v>322076</v>
      </c>
      <c r="E340" s="672">
        <v>1071847.01</v>
      </c>
      <c r="F340" s="671" t="s">
        <v>2016</v>
      </c>
      <c r="G340" s="671" t="s">
        <v>402</v>
      </c>
      <c r="H340" s="666"/>
      <c r="I340" s="665"/>
      <c r="J340" s="665"/>
      <c r="K340" s="665"/>
      <c r="L340" s="149" t="str">
        <f t="shared" si="25"/>
        <v>644C</v>
      </c>
      <c r="M340" s="150" t="str">
        <f t="shared" si="26"/>
        <v>C/V - GROS AUTRES</v>
      </c>
      <c r="N340" s="151">
        <f>+IF(OR($Q340=Parametres!$G$2,$Q340=Parametres!$G$3),I340,C340)</f>
        <v>749771.01</v>
      </c>
      <c r="O340" s="151">
        <f>+IF(OR($Q340=Parametres!$G$2,$Q340=Parametres!$G$3),J340,D340)</f>
        <v>322076</v>
      </c>
      <c r="P340" s="151">
        <f>+IF(OR($Q340=Parametres!$G$2,$Q340=Parametres!$G$3),K340,E340)</f>
        <v>1071847.01</v>
      </c>
      <c r="Q340" s="150" t="str">
        <f t="shared" si="27"/>
        <v>6-Coût des ventes</v>
      </c>
      <c r="R340" s="149" t="str">
        <f t="shared" si="28"/>
        <v>444C</v>
      </c>
      <c r="S340" s="150">
        <f t="shared" si="29"/>
        <v>0</v>
      </c>
      <c r="T340" s="152" t="str">
        <f>+VLOOKUP($L340,Data_Validation!$A:$D,1,0)</f>
        <v>644C</v>
      </c>
      <c r="U340" s="152" t="str">
        <f>+VLOOKUP($L340,Data_Validation!$A:$D,3,0)</f>
        <v>Véhicules usagés</v>
      </c>
      <c r="V340" s="152" t="str">
        <f>+VLOOKUP($L340,Data_Validation!$A:$D,4,0)</f>
        <v>Ventes au Gros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1839</v>
      </c>
      <c r="B341" s="671" t="s">
        <v>975</v>
      </c>
      <c r="C341" s="672">
        <v>393715.67</v>
      </c>
      <c r="D341" s="672">
        <v>223853.42</v>
      </c>
      <c r="E341" s="672">
        <v>617569.09</v>
      </c>
      <c r="F341" s="671" t="s">
        <v>2016</v>
      </c>
      <c r="G341" s="671" t="s">
        <v>419</v>
      </c>
      <c r="H341" s="666"/>
      <c r="I341" s="665"/>
      <c r="J341" s="665"/>
      <c r="K341" s="665"/>
      <c r="L341" s="149" t="str">
        <f t="shared" si="25"/>
        <v>646A</v>
      </c>
      <c r="M341" s="150" t="str">
        <f t="shared" si="26"/>
        <v>C/V - USAGE BMW CAMION CERT</v>
      </c>
      <c r="N341" s="151">
        <f>+IF(OR($Q341=Parametres!$G$2,$Q341=Parametres!$G$3),I341,C341)</f>
        <v>393715.67</v>
      </c>
      <c r="O341" s="151">
        <f>+IF(OR($Q341=Parametres!$G$2,$Q341=Parametres!$G$3),J341,D341)</f>
        <v>223853.42</v>
      </c>
      <c r="P341" s="151">
        <f>+IF(OR($Q341=Parametres!$G$2,$Q341=Parametres!$G$3),K341,E341)</f>
        <v>617569.09</v>
      </c>
      <c r="Q341" s="150" t="str">
        <f t="shared" si="27"/>
        <v>6-Coût des ventes</v>
      </c>
      <c r="R341" s="149" t="str">
        <f t="shared" si="28"/>
        <v>446A</v>
      </c>
      <c r="S341" s="150">
        <f t="shared" si="29"/>
        <v>0</v>
      </c>
      <c r="T341" s="152" t="str">
        <f>+VLOOKUP($L341,Data_Validation!$A:$D,1,0)</f>
        <v>646A</v>
      </c>
      <c r="U341" s="152" t="str">
        <f>+VLOOKUP($L341,Data_Validation!$A:$D,3,0)</f>
        <v>Véhicules usagés</v>
      </c>
      <c r="V341" s="152" t="str">
        <f>+VLOOKUP($L341,Data_Validation!$A:$D,4,0)</f>
        <v>Certifié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1837</v>
      </c>
      <c r="B342" s="718" t="s">
        <v>983</v>
      </c>
      <c r="C342" s="720">
        <v>299844.27</v>
      </c>
      <c r="D342" s="720">
        <v>165018.48000000001</v>
      </c>
      <c r="E342" s="720">
        <v>464862.75</v>
      </c>
      <c r="F342" s="718" t="s">
        <v>2016</v>
      </c>
      <c r="G342" s="718" t="s">
        <v>405</v>
      </c>
      <c r="H342" s="673"/>
      <c r="I342" s="673"/>
      <c r="J342" s="673"/>
      <c r="K342" s="673"/>
      <c r="L342" s="149" t="str">
        <f t="shared" si="25"/>
        <v>646B</v>
      </c>
      <c r="M342" s="150" t="str">
        <f t="shared" si="26"/>
        <v>C/V - USAGE BMW CAMION NON-CERT</v>
      </c>
      <c r="N342" s="151">
        <f>+IF(OR($Q342=Parametres!$G$2,$Q342=Parametres!$G$3),I342,C342)</f>
        <v>299844.27</v>
      </c>
      <c r="O342" s="151">
        <f>+IF(OR($Q342=Parametres!$G$2,$Q342=Parametres!$G$3),J342,D342)</f>
        <v>165018.48000000001</v>
      </c>
      <c r="P342" s="151">
        <f>+IF(OR($Q342=Parametres!$G$2,$Q342=Parametres!$G$3),K342,E342)</f>
        <v>464862.75</v>
      </c>
      <c r="Q342" s="150" t="str">
        <f t="shared" si="27"/>
        <v>6-Coût des ventes</v>
      </c>
      <c r="R342" s="149" t="str">
        <f t="shared" si="28"/>
        <v>446B</v>
      </c>
      <c r="S342" s="150">
        <f t="shared" si="29"/>
        <v>0</v>
      </c>
      <c r="T342" s="152" t="str">
        <f>+VLOOKUP($L342,Data_Validation!$A:$D,1,0)</f>
        <v>646B</v>
      </c>
      <c r="U342" s="152" t="str">
        <f>+VLOOKUP($L342,Data_Validation!$A:$D,3,0)</f>
        <v>Véhicules usagés</v>
      </c>
      <c r="V342" s="152" t="str">
        <f>+VLOOKUP($L342,Data_Validation!$A:$D,4,0)</f>
        <v>Non Certifié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668</v>
      </c>
      <c r="B343" s="718" t="s">
        <v>669</v>
      </c>
      <c r="C343" s="720">
        <v>0</v>
      </c>
      <c r="D343" s="720">
        <v>145006.09</v>
      </c>
      <c r="E343" s="720">
        <v>145006.09</v>
      </c>
      <c r="F343" s="718" t="s">
        <v>2016</v>
      </c>
      <c r="G343" s="718" t="s">
        <v>630</v>
      </c>
      <c r="H343" s="673"/>
      <c r="I343" s="672"/>
      <c r="J343" s="672"/>
      <c r="K343" s="672"/>
      <c r="L343" s="149" t="str">
        <f t="shared" si="25"/>
        <v>647</v>
      </c>
      <c r="M343" s="150" t="str">
        <f t="shared" si="26"/>
        <v>C/V - X5 M</v>
      </c>
      <c r="N343" s="151">
        <f>+IF(OR($Q343=Parametres!$G$2,$Q343=Parametres!$G$3),I343,C343)</f>
        <v>0</v>
      </c>
      <c r="O343" s="151">
        <f>+IF(OR($Q343=Parametres!$G$2,$Q343=Parametres!$G$3),J343,D343)</f>
        <v>145006.09</v>
      </c>
      <c r="P343" s="151">
        <f>+IF(OR($Q343=Parametres!$G$2,$Q343=Parametres!$G$3),K343,E343)</f>
        <v>145006.09</v>
      </c>
      <c r="Q343" s="150" t="str">
        <f t="shared" si="27"/>
        <v>6-Coût des ventes</v>
      </c>
      <c r="R343" s="149" t="str">
        <f t="shared" si="28"/>
        <v>447</v>
      </c>
      <c r="S343" s="150">
        <f t="shared" si="29"/>
        <v>0</v>
      </c>
      <c r="T343" s="152" t="str">
        <f>+VLOOKUP($L343,Data_Validation!$A:$D,1,0)</f>
        <v>647</v>
      </c>
      <c r="U343" s="152" t="str">
        <f>+VLOOKUP($L343,Data_Validation!$A:$D,3,0)</f>
        <v>Véhicules neufs</v>
      </c>
      <c r="V343" s="152" t="str">
        <f>+VLOOKUP($L343,Data_Validation!$A:$D,4,0)</f>
        <v>Camions détail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1438</v>
      </c>
      <c r="B344" s="718" t="s">
        <v>987</v>
      </c>
      <c r="C344" s="720">
        <v>223217.48</v>
      </c>
      <c r="D344" s="720">
        <v>73207.3</v>
      </c>
      <c r="E344" s="720">
        <v>296424.78000000003</v>
      </c>
      <c r="F344" s="718" t="s">
        <v>2016</v>
      </c>
      <c r="G344" s="718" t="s">
        <v>401</v>
      </c>
      <c r="H344" s="666"/>
      <c r="I344" s="665"/>
      <c r="J344" s="665"/>
      <c r="K344" s="665"/>
      <c r="L344" s="149" t="str">
        <f t="shared" si="25"/>
        <v>648</v>
      </c>
      <c r="M344" s="150" t="str">
        <f t="shared" si="26"/>
        <v>C/V - RACHAT LOCATION BMW</v>
      </c>
      <c r="N344" s="151">
        <f>+IF(OR($Q344=Parametres!$G$2,$Q344=Parametres!$G$3),I344,C344)</f>
        <v>223217.48</v>
      </c>
      <c r="O344" s="151">
        <f>+IF(OR($Q344=Parametres!$G$2,$Q344=Parametres!$G$3),J344,D344)</f>
        <v>73207.3</v>
      </c>
      <c r="P344" s="151">
        <f>+IF(OR($Q344=Parametres!$G$2,$Q344=Parametres!$G$3),K344,E344)</f>
        <v>296424.78000000003</v>
      </c>
      <c r="Q344" s="150" t="str">
        <f t="shared" si="27"/>
        <v>6-Coût des ventes</v>
      </c>
      <c r="R344" s="149" t="str">
        <f t="shared" si="28"/>
        <v>448</v>
      </c>
      <c r="S344" s="150">
        <f t="shared" si="29"/>
        <v>0</v>
      </c>
      <c r="T344" s="152" t="str">
        <f>+VLOOKUP($L344,Data_Validation!$A:$D,1,0)</f>
        <v>648</v>
      </c>
      <c r="U344" s="152" t="str">
        <f>+VLOOKUP($L344,Data_Validation!$A:$D,3,0)</f>
        <v>Véhicules neufs</v>
      </c>
      <c r="V344" s="152" t="str">
        <f>+VLOOKUP($L344,Data_Validation!$A:$D,4,0)</f>
        <v>Rachat bail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1673</v>
      </c>
      <c r="B345" s="671" t="s">
        <v>912</v>
      </c>
      <c r="C345" s="672">
        <v>2460.1799999999998</v>
      </c>
      <c r="D345" s="672">
        <v>2920.55</v>
      </c>
      <c r="E345" s="672">
        <v>5380.73</v>
      </c>
      <c r="F345" s="671" t="s">
        <v>2016</v>
      </c>
      <c r="G345" s="671" t="s">
        <v>419</v>
      </c>
      <c r="H345" s="666"/>
      <c r="I345" s="665"/>
      <c r="J345" s="665"/>
      <c r="K345" s="665"/>
      <c r="L345" s="149" t="str">
        <f t="shared" si="25"/>
        <v>648A</v>
      </c>
      <c r="M345" s="150" t="str">
        <f t="shared" si="26"/>
        <v>C/V - RECOND. BMW CAMION CERT</v>
      </c>
      <c r="N345" s="151">
        <f>+IF(OR($Q345=Parametres!$G$2,$Q345=Parametres!$G$3),I345,C345)</f>
        <v>2460.1799999999998</v>
      </c>
      <c r="O345" s="151">
        <f>+IF(OR($Q345=Parametres!$G$2,$Q345=Parametres!$G$3),J345,D345)</f>
        <v>2920.55</v>
      </c>
      <c r="P345" s="151">
        <f>+IF(OR($Q345=Parametres!$G$2,$Q345=Parametres!$G$3),K345,E345)</f>
        <v>5380.73</v>
      </c>
      <c r="Q345" s="150" t="str">
        <f t="shared" si="27"/>
        <v>6-Coût des ventes</v>
      </c>
      <c r="R345" s="149" t="str">
        <f t="shared" si="28"/>
        <v>446A</v>
      </c>
      <c r="S345" s="150">
        <f t="shared" si="29"/>
        <v>0</v>
      </c>
      <c r="T345" s="152" t="str">
        <f>+VLOOKUP($L345,Data_Validation!$A:$D,1,0)</f>
        <v>648A</v>
      </c>
      <c r="U345" s="152" t="str">
        <f>+VLOOKUP($L345,Data_Validation!$A:$D,3,0)</f>
        <v>Véhicules usagés</v>
      </c>
      <c r="V345" s="152" t="str">
        <f>+VLOOKUP($L345,Data_Validation!$A:$D,4,0)</f>
        <v>Certifié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1734</v>
      </c>
      <c r="B346" s="718" t="s">
        <v>918</v>
      </c>
      <c r="C346" s="720">
        <v>12860.36</v>
      </c>
      <c r="D346" s="720">
        <v>9024.44</v>
      </c>
      <c r="E346" s="720">
        <v>21884.799999999999</v>
      </c>
      <c r="F346" s="718" t="s">
        <v>2016</v>
      </c>
      <c r="G346" s="718" t="s">
        <v>405</v>
      </c>
      <c r="H346" s="673"/>
      <c r="I346" s="672"/>
      <c r="J346" s="672"/>
      <c r="K346" s="672"/>
      <c r="L346" s="149" t="str">
        <f t="shared" si="25"/>
        <v>648B</v>
      </c>
      <c r="M346" s="150" t="str">
        <f t="shared" si="26"/>
        <v>C/V - RECOND. BMW CAMION NON-CERT</v>
      </c>
      <c r="N346" s="151">
        <f>+IF(OR($Q346=Parametres!$G$2,$Q346=Parametres!$G$3),I346,C346)</f>
        <v>12860.36</v>
      </c>
      <c r="O346" s="151">
        <f>+IF(OR($Q346=Parametres!$G$2,$Q346=Parametres!$G$3),J346,D346)</f>
        <v>9024.44</v>
      </c>
      <c r="P346" s="151">
        <f>+IF(OR($Q346=Parametres!$G$2,$Q346=Parametres!$G$3),K346,E346)</f>
        <v>21884.799999999999</v>
      </c>
      <c r="Q346" s="150" t="str">
        <f t="shared" si="27"/>
        <v>6-Coût des ventes</v>
      </c>
      <c r="R346" s="149" t="str">
        <f t="shared" si="28"/>
        <v>446B</v>
      </c>
      <c r="S346" s="150">
        <f t="shared" si="29"/>
        <v>0</v>
      </c>
      <c r="T346" s="152" t="str">
        <f>+VLOOKUP($L346,Data_Validation!$A:$D,1,0)</f>
        <v>648B</v>
      </c>
      <c r="U346" s="152" t="str">
        <f>+VLOOKUP($L346,Data_Validation!$A:$D,3,0)</f>
        <v>Véhicules usagés</v>
      </c>
      <c r="V346" s="152" t="str">
        <f>+VLOOKUP($L346,Data_Validation!$A:$D,4,0)</f>
        <v>Non Certifié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1647</v>
      </c>
      <c r="B347" s="718" t="s">
        <v>1648</v>
      </c>
      <c r="C347" s="720">
        <v>910</v>
      </c>
      <c r="D347" s="720">
        <v>350</v>
      </c>
      <c r="E347" s="720">
        <v>1260</v>
      </c>
      <c r="F347" s="718" t="s">
        <v>2016</v>
      </c>
      <c r="G347" s="718" t="s">
        <v>1013</v>
      </c>
      <c r="H347" s="673"/>
      <c r="I347" s="673"/>
      <c r="J347" s="673"/>
      <c r="K347" s="673"/>
      <c r="L347" s="149" t="str">
        <f t="shared" si="25"/>
        <v>650</v>
      </c>
      <c r="M347" s="150" t="str">
        <f t="shared" si="26"/>
        <v>C/V - MARQUAGE OTOPROTEC USAGE BMW CERT</v>
      </c>
      <c r="N347" s="151">
        <f>+IF(OR($Q347=Parametres!$G$2,$Q347=Parametres!$G$3),I347,C347)</f>
        <v>910</v>
      </c>
      <c r="O347" s="151">
        <f>+IF(OR($Q347=Parametres!$G$2,$Q347=Parametres!$G$3),J347,D347)</f>
        <v>350</v>
      </c>
      <c r="P347" s="151">
        <f>+IF(OR($Q347=Parametres!$G$2,$Q347=Parametres!$G$3),K347,E347)</f>
        <v>1260</v>
      </c>
      <c r="Q347" s="150" t="str">
        <f t="shared" si="27"/>
        <v>6-Coût des ventes</v>
      </c>
      <c r="R347" s="149" t="str">
        <f t="shared" si="28"/>
        <v>450</v>
      </c>
      <c r="S347" s="150">
        <f t="shared" si="29"/>
        <v>0</v>
      </c>
      <c r="T347" s="152" t="str">
        <f>+VLOOKUP($L347,Data_Validation!$A:$D,1,0)</f>
        <v>650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1440</v>
      </c>
      <c r="B348" s="718" t="s">
        <v>670</v>
      </c>
      <c r="C348" s="720">
        <v>0</v>
      </c>
      <c r="D348" s="720">
        <v>1357</v>
      </c>
      <c r="E348" s="720">
        <v>1357</v>
      </c>
      <c r="F348" s="718" t="s">
        <v>2016</v>
      </c>
      <c r="G348" s="718" t="s">
        <v>1013</v>
      </c>
      <c r="H348" s="673"/>
      <c r="I348" s="672"/>
      <c r="J348" s="672"/>
      <c r="K348" s="672"/>
      <c r="L348" s="149" t="str">
        <f t="shared" si="25"/>
        <v>650C</v>
      </c>
      <c r="M348" s="150" t="str">
        <f t="shared" si="26"/>
        <v>C/V - ACCESSOIRES USAGE BMW CERT</v>
      </c>
      <c r="N348" s="151">
        <f>+IF(OR($Q348=Parametres!$G$2,$Q348=Parametres!$G$3),I348,C348)</f>
        <v>0</v>
      </c>
      <c r="O348" s="151">
        <f>+IF(OR($Q348=Parametres!$G$2,$Q348=Parametres!$G$3),J348,D348)</f>
        <v>1357</v>
      </c>
      <c r="P348" s="151">
        <f>+IF(OR($Q348=Parametres!$G$2,$Q348=Parametres!$G$3),K348,E348)</f>
        <v>1357</v>
      </c>
      <c r="Q348" s="150" t="str">
        <f t="shared" si="27"/>
        <v>6-Coût des ventes</v>
      </c>
      <c r="R348" s="149" t="str">
        <f t="shared" si="28"/>
        <v>450</v>
      </c>
      <c r="S348" s="150">
        <f t="shared" si="29"/>
        <v>0</v>
      </c>
      <c r="T348" s="152" t="str">
        <f>+VLOOKUP($L348,Data_Validation!$A:$D,1,0)</f>
        <v>650C</v>
      </c>
      <c r="U348" s="152" t="str">
        <f>+VLOOKUP($L348,Data_Validation!$A:$D,3,0)</f>
        <v>Véhicules usagés</v>
      </c>
      <c r="V348" s="152" t="str">
        <f>+VLOOKUP($L348,Data_Validation!$A:$D,4,0)</f>
        <v>Rev. Autres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1688</v>
      </c>
      <c r="B349" s="718" t="s">
        <v>1033</v>
      </c>
      <c r="C349" s="719">
        <v>5155</v>
      </c>
      <c r="D349" s="719">
        <v>0</v>
      </c>
      <c r="E349" s="719">
        <v>5155</v>
      </c>
      <c r="F349" s="718" t="s">
        <v>2016</v>
      </c>
      <c r="G349" s="718" t="s">
        <v>1013</v>
      </c>
      <c r="H349" s="719"/>
      <c r="I349" s="720"/>
      <c r="J349" s="720"/>
      <c r="K349" s="720"/>
      <c r="L349" s="149" t="str">
        <f t="shared" si="25"/>
        <v>650E</v>
      </c>
      <c r="M349" s="150" t="str">
        <f t="shared" si="26"/>
        <v>C/V - PROTEC ESTHETIQUE USAGE BMW CERT</v>
      </c>
      <c r="N349" s="151">
        <f>+IF(OR($Q349=Parametres!$G$2,$Q349=Parametres!$G$3),I349,C349)</f>
        <v>5155</v>
      </c>
      <c r="O349" s="151">
        <f>+IF(OR($Q349=Parametres!$G$2,$Q349=Parametres!$G$3),J349,D349)</f>
        <v>0</v>
      </c>
      <c r="P349" s="151">
        <f>+IF(OR($Q349=Parametres!$G$2,$Q349=Parametres!$G$3),K349,E349)</f>
        <v>5155</v>
      </c>
      <c r="Q349" s="150" t="str">
        <f t="shared" si="27"/>
        <v>6-Coût des ventes</v>
      </c>
      <c r="R349" s="149" t="str">
        <f t="shared" si="28"/>
        <v>450</v>
      </c>
      <c r="S349" s="150">
        <f t="shared" si="29"/>
        <v>0</v>
      </c>
      <c r="T349" s="152" t="str">
        <f>+VLOOKUP($L349,Data_Validation!$A:$D,1,0)</f>
        <v>650E</v>
      </c>
      <c r="U349" s="152" t="str">
        <f>+VLOOKUP($L349,Data_Validation!$A:$D,3,0)</f>
        <v>Véhicules usagés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1844</v>
      </c>
      <c r="B350" s="718" t="s">
        <v>1845</v>
      </c>
      <c r="C350" s="719">
        <v>115038.03</v>
      </c>
      <c r="D350" s="719">
        <v>0</v>
      </c>
      <c r="E350" s="719">
        <v>115038.03</v>
      </c>
      <c r="F350" s="718" t="s">
        <v>2016</v>
      </c>
      <c r="G350" s="718" t="s">
        <v>1648</v>
      </c>
      <c r="H350" s="719"/>
      <c r="I350" s="720"/>
      <c r="J350" s="720"/>
      <c r="K350" s="720"/>
      <c r="L350" s="149" t="str">
        <f t="shared" si="25"/>
        <v>650H</v>
      </c>
      <c r="M350" s="150" t="str">
        <f t="shared" si="26"/>
        <v>C/V - VTE - M850I XDR GRAN COUPE</v>
      </c>
      <c r="N350" s="151">
        <f>+IF(OR($Q350=Parametres!$G$2,$Q350=Parametres!$G$3),I350,C350)</f>
        <v>115038.03</v>
      </c>
      <c r="O350" s="151">
        <f>+IF(OR($Q350=Parametres!$G$2,$Q350=Parametres!$G$3),J350,D350)</f>
        <v>0</v>
      </c>
      <c r="P350" s="151">
        <f>+IF(OR($Q350=Parametres!$G$2,$Q350=Parametres!$G$3),K350,E350)</f>
        <v>115038.03</v>
      </c>
      <c r="Q350" s="150" t="str">
        <f t="shared" si="27"/>
        <v>6-Coût des ventes</v>
      </c>
      <c r="R350" s="149" t="str">
        <f t="shared" si="28"/>
        <v>650</v>
      </c>
      <c r="S350" s="150">
        <f t="shared" si="29"/>
        <v>0</v>
      </c>
      <c r="T350" s="152" t="str">
        <f>+VLOOKUP($L350,Data_Validation!$A:$D,1,0)</f>
        <v>650H</v>
      </c>
      <c r="U350" s="152" t="str">
        <f>+VLOOKUP($L350,Data_Validation!$A:$D,3,0)</f>
        <v>Véhicules neufs</v>
      </c>
      <c r="V350" s="152" t="str">
        <f>+VLOOKUP($L350,Data_Validation!$A:$D,4,0)</f>
        <v>Autos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1441</v>
      </c>
      <c r="B351" s="718" t="s">
        <v>1442</v>
      </c>
      <c r="C351" s="720">
        <v>375</v>
      </c>
      <c r="D351" s="720">
        <v>0</v>
      </c>
      <c r="E351" s="720">
        <v>375</v>
      </c>
      <c r="F351" s="718" t="s">
        <v>2016</v>
      </c>
      <c r="G351" s="718" t="s">
        <v>1013</v>
      </c>
      <c r="H351" s="673"/>
      <c r="I351" s="672"/>
      <c r="J351" s="672"/>
      <c r="K351" s="672"/>
      <c r="L351" s="149" t="str">
        <f t="shared" si="25"/>
        <v>650P</v>
      </c>
      <c r="M351" s="150" t="str">
        <f t="shared" si="26"/>
        <v>C/V - PROTEC PNEUS/JANTES USAGE BMW CERT</v>
      </c>
      <c r="N351" s="151">
        <f>+IF(OR($Q351=Parametres!$G$2,$Q351=Parametres!$G$3),I351,C351)</f>
        <v>375</v>
      </c>
      <c r="O351" s="151">
        <f>+IF(OR($Q351=Parametres!$G$2,$Q351=Parametres!$G$3),J351,D351)</f>
        <v>0</v>
      </c>
      <c r="P351" s="151">
        <f>+IF(OR($Q351=Parametres!$G$2,$Q351=Parametres!$G$3),K351,E351)</f>
        <v>375</v>
      </c>
      <c r="Q351" s="150" t="str">
        <f t="shared" si="27"/>
        <v>6-Coût des ventes</v>
      </c>
      <c r="R351" s="149" t="str">
        <f t="shared" si="28"/>
        <v>450</v>
      </c>
      <c r="S351" s="150">
        <f t="shared" si="29"/>
        <v>0</v>
      </c>
      <c r="T351" s="152" t="str">
        <f>+VLOOKUP($L351,Data_Validation!$A:$D,1,0)</f>
        <v>650P</v>
      </c>
      <c r="U351" s="152" t="str">
        <f>+VLOOKUP($L351,Data_Validation!$A:$D,3,0)</f>
        <v>Véhicules usagés</v>
      </c>
      <c r="V351" s="152" t="str">
        <f>+VLOOKUP($L351,Data_Validation!$A:$D,4,0)</f>
        <v>Rev. Protections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2021</v>
      </c>
      <c r="B352" s="671" t="s">
        <v>2022</v>
      </c>
      <c r="C352" s="672">
        <v>1068.2</v>
      </c>
      <c r="D352" s="672">
        <v>0</v>
      </c>
      <c r="E352" s="672">
        <v>1068.2</v>
      </c>
      <c r="F352" s="671" t="s">
        <v>2016</v>
      </c>
      <c r="G352" s="671" t="s">
        <v>1013</v>
      </c>
      <c r="H352" s="666"/>
      <c r="I352" s="665"/>
      <c r="J352" s="665"/>
      <c r="K352" s="665"/>
      <c r="L352" s="149" t="str">
        <f t="shared" si="25"/>
        <v>650R</v>
      </c>
      <c r="M352" s="150" t="str">
        <f t="shared" si="26"/>
        <v>C/V - ASS. REMP. USAGE BMW CERT</v>
      </c>
      <c r="N352" s="151">
        <f>+IF(OR($Q352=Parametres!$G$2,$Q352=Parametres!$G$3),I352,C352)</f>
        <v>1068.2</v>
      </c>
      <c r="O352" s="151">
        <f>+IF(OR($Q352=Parametres!$G$2,$Q352=Parametres!$G$3),J352,D352)</f>
        <v>0</v>
      </c>
      <c r="P352" s="151">
        <f>+IF(OR($Q352=Parametres!$G$2,$Q352=Parametres!$G$3),K352,E352)</f>
        <v>1068.2</v>
      </c>
      <c r="Q352" s="150" t="str">
        <f t="shared" si="27"/>
        <v>6-Coût des ventes</v>
      </c>
      <c r="R352" s="149" t="str">
        <f t="shared" si="28"/>
        <v>450</v>
      </c>
      <c r="S352" s="150">
        <f t="shared" si="29"/>
        <v>0</v>
      </c>
      <c r="T352" s="152" t="str">
        <f>+VLOOKUP($L352,Data_Validation!$A:$D,1,0)</f>
        <v>650R</v>
      </c>
      <c r="U352" s="152" t="str">
        <f>+VLOOKUP($L352,Data_Validation!$A:$D,3,0)</f>
        <v>Véhicules usagés</v>
      </c>
      <c r="V352" s="152" t="str">
        <f>+VLOOKUP($L352,Data_Validation!$A:$D,4,0)</f>
        <v>Rev. Protections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1447</v>
      </c>
      <c r="B353" s="718" t="s">
        <v>1448</v>
      </c>
      <c r="C353" s="720">
        <v>954.9</v>
      </c>
      <c r="D353" s="720">
        <v>420</v>
      </c>
      <c r="E353" s="720">
        <v>1374.9</v>
      </c>
      <c r="F353" s="718" t="s">
        <v>2016</v>
      </c>
      <c r="G353" s="718" t="s">
        <v>375</v>
      </c>
      <c r="H353" s="673"/>
      <c r="I353" s="672"/>
      <c r="J353" s="672"/>
      <c r="K353" s="672"/>
      <c r="L353" s="149" t="str">
        <f t="shared" si="25"/>
        <v>651</v>
      </c>
      <c r="M353" s="150" t="str">
        <f t="shared" si="26"/>
        <v>C/V - MARQUAGE OTOPROTEC USAGE AUTRE</v>
      </c>
      <c r="N353" s="151">
        <f>+IF(OR($Q353=Parametres!$G$2,$Q353=Parametres!$G$3),I353,C353)</f>
        <v>954.9</v>
      </c>
      <c r="O353" s="151">
        <f>+IF(OR($Q353=Parametres!$G$2,$Q353=Parametres!$G$3),J353,D353)</f>
        <v>420</v>
      </c>
      <c r="P353" s="151">
        <f>+IF(OR($Q353=Parametres!$G$2,$Q353=Parametres!$G$3),K353,E353)</f>
        <v>1374.9</v>
      </c>
      <c r="Q353" s="150" t="str">
        <f t="shared" si="27"/>
        <v>6-Coût des ventes</v>
      </c>
      <c r="R353" s="149" t="str">
        <f t="shared" si="28"/>
        <v>451</v>
      </c>
      <c r="S353" s="150">
        <f t="shared" si="29"/>
        <v>0</v>
      </c>
      <c r="T353" s="152" t="str">
        <f>+VLOOKUP($L353,Data_Validation!$A:$D,1,0)</f>
        <v>651</v>
      </c>
      <c r="U353" s="152" t="str">
        <f>+VLOOKUP($L353,Data_Validation!$A:$D,3,0)</f>
        <v>Véhicules usagés</v>
      </c>
      <c r="V353" s="152" t="str">
        <f>+VLOOKUP($L353,Data_Validation!$A:$D,4,0)</f>
        <v>Rev. Autres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1816</v>
      </c>
      <c r="B354" s="671" t="s">
        <v>965</v>
      </c>
      <c r="C354" s="672">
        <v>33128</v>
      </c>
      <c r="D354" s="672">
        <v>5159</v>
      </c>
      <c r="E354" s="672">
        <v>38287</v>
      </c>
      <c r="F354" s="671" t="s">
        <v>2016</v>
      </c>
      <c r="G354" s="671" t="s">
        <v>369</v>
      </c>
      <c r="H354" s="666"/>
      <c r="I354" s="665"/>
      <c r="J354" s="665"/>
      <c r="K354" s="665"/>
      <c r="L354" s="149" t="str">
        <f t="shared" si="25"/>
        <v>652</v>
      </c>
      <c r="M354" s="150" t="str">
        <f t="shared" si="26"/>
        <v>C/V - GAR PROL USAGE BMW CERT</v>
      </c>
      <c r="N354" s="151">
        <f>+IF(OR($Q354=Parametres!$G$2,$Q354=Parametres!$G$3),I354,C354)</f>
        <v>33128</v>
      </c>
      <c r="O354" s="151">
        <f>+IF(OR($Q354=Parametres!$G$2,$Q354=Parametres!$G$3),J354,D354)</f>
        <v>5159</v>
      </c>
      <c r="P354" s="151">
        <f>+IF(OR($Q354=Parametres!$G$2,$Q354=Parametres!$G$3),K354,E354)</f>
        <v>38287</v>
      </c>
      <c r="Q354" s="150" t="str">
        <f t="shared" si="27"/>
        <v>6-Coût des ventes</v>
      </c>
      <c r="R354" s="149" t="str">
        <f t="shared" si="28"/>
        <v>452</v>
      </c>
      <c r="S354" s="150">
        <f t="shared" si="29"/>
        <v>0</v>
      </c>
      <c r="T354" s="152" t="str">
        <f>+VLOOKUP($L354,Data_Validation!$A:$D,1,0)</f>
        <v>652</v>
      </c>
      <c r="U354" s="152" t="str">
        <f>+VLOOKUP($L354,Data_Validation!$A:$D,3,0)</f>
        <v>Véhicules usagés</v>
      </c>
      <c r="V354" s="152" t="str">
        <f>+VLOOKUP($L354,Data_Validation!$A:$D,4,0)</f>
        <v>Rev. Protections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672</v>
      </c>
      <c r="B355" s="718" t="s">
        <v>673</v>
      </c>
      <c r="C355" s="720">
        <v>85935</v>
      </c>
      <c r="D355" s="720">
        <v>90656.65</v>
      </c>
      <c r="E355" s="720">
        <v>176591.65</v>
      </c>
      <c r="F355" s="718" t="s">
        <v>2016</v>
      </c>
      <c r="G355" s="718" t="s">
        <v>634</v>
      </c>
      <c r="H355" s="666"/>
      <c r="I355" s="665"/>
      <c r="J355" s="665"/>
      <c r="K355" s="665"/>
      <c r="L355" s="149" t="str">
        <f t="shared" si="25"/>
        <v>652B</v>
      </c>
      <c r="M355" s="150" t="str">
        <f t="shared" si="26"/>
        <v>C/V - Z4 M40I</v>
      </c>
      <c r="N355" s="151">
        <f>+IF(OR($Q355=Parametres!$G$2,$Q355=Parametres!$G$3),I355,C355)</f>
        <v>85935</v>
      </c>
      <c r="O355" s="151">
        <f>+IF(OR($Q355=Parametres!$G$2,$Q355=Parametres!$G$3),J355,D355)</f>
        <v>90656.65</v>
      </c>
      <c r="P355" s="151">
        <f>+IF(OR($Q355=Parametres!$G$2,$Q355=Parametres!$G$3),K355,E355)</f>
        <v>176591.65</v>
      </c>
      <c r="Q355" s="150" t="str">
        <f t="shared" si="27"/>
        <v>6-Coût des ventes</v>
      </c>
      <c r="R355" s="149" t="str">
        <f t="shared" si="28"/>
        <v>452B</v>
      </c>
      <c r="S355" s="150">
        <f t="shared" si="29"/>
        <v>0</v>
      </c>
      <c r="T355" s="152" t="str">
        <f>+VLOOKUP($L355,Data_Validation!$A:$D,1,0)</f>
        <v>652B</v>
      </c>
      <c r="U355" s="152" t="str">
        <f>+VLOOKUP($L355,Data_Validation!$A:$D,3,0)</f>
        <v>Véhicules neufs</v>
      </c>
      <c r="V355" s="152" t="str">
        <f>+VLOOKUP($L355,Data_Validation!$A:$D,4,0)</f>
        <v>Autos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1990</v>
      </c>
      <c r="B356" s="718" t="s">
        <v>1991</v>
      </c>
      <c r="C356" s="720">
        <v>16894</v>
      </c>
      <c r="D356" s="720">
        <v>19004</v>
      </c>
      <c r="E356" s="720">
        <v>35898</v>
      </c>
      <c r="F356" s="718" t="s">
        <v>2016</v>
      </c>
      <c r="G356" s="718" t="s">
        <v>369</v>
      </c>
      <c r="H356" s="673"/>
      <c r="I356" s="672"/>
      <c r="J356" s="672"/>
      <c r="K356" s="672"/>
      <c r="L356" s="149" t="str">
        <f t="shared" si="25"/>
        <v>652C</v>
      </c>
      <c r="M356" s="150" t="str">
        <f t="shared" si="26"/>
        <v>C/V - GAR PROL USAGE BMW NON-CERT</v>
      </c>
      <c r="N356" s="151">
        <f>+IF(OR($Q356=Parametres!$G$2,$Q356=Parametres!$G$3),I356,C356)</f>
        <v>16894</v>
      </c>
      <c r="O356" s="151">
        <f>+IF(OR($Q356=Parametres!$G$2,$Q356=Parametres!$G$3),J356,D356)</f>
        <v>19004</v>
      </c>
      <c r="P356" s="151">
        <f>+IF(OR($Q356=Parametres!$G$2,$Q356=Parametres!$G$3),K356,E356)</f>
        <v>35898</v>
      </c>
      <c r="Q356" s="150" t="str">
        <f t="shared" si="27"/>
        <v>6-Coût des ventes</v>
      </c>
      <c r="R356" s="149" t="str">
        <f t="shared" si="28"/>
        <v>452</v>
      </c>
      <c r="S356" s="150">
        <f t="shared" si="29"/>
        <v>0</v>
      </c>
      <c r="T356" s="152" t="str">
        <f>+VLOOKUP($L356,Data_Validation!$A:$D,1,0)</f>
        <v>652C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2151</v>
      </c>
      <c r="B357" s="718" t="s">
        <v>2152</v>
      </c>
      <c r="C357" s="719">
        <v>3670</v>
      </c>
      <c r="D357" s="719">
        <v>1264</v>
      </c>
      <c r="E357" s="719">
        <v>4934</v>
      </c>
      <c r="F357" s="718" t="s">
        <v>2016</v>
      </c>
      <c r="G357" s="718" t="s">
        <v>1013</v>
      </c>
      <c r="H357" s="719"/>
      <c r="I357" s="720"/>
      <c r="J357" s="720"/>
      <c r="K357" s="720"/>
      <c r="L357" s="149" t="str">
        <f t="shared" si="25"/>
        <v>654A</v>
      </c>
      <c r="M357" s="150" t="str">
        <f t="shared" si="26"/>
        <v>C/V - CONT ENTRET USAGE BMW NON-CERT</v>
      </c>
      <c r="N357" s="151">
        <f>+IF(OR($Q357=Parametres!$G$2,$Q357=Parametres!$G$3),I357,C357)</f>
        <v>3670</v>
      </c>
      <c r="O357" s="151">
        <f>+IF(OR($Q357=Parametres!$G$2,$Q357=Parametres!$G$3),J357,D357)</f>
        <v>1264</v>
      </c>
      <c r="P357" s="151">
        <f>+IF(OR($Q357=Parametres!$G$2,$Q357=Parametres!$G$3),K357,E357)</f>
        <v>4934</v>
      </c>
      <c r="Q357" s="150" t="str">
        <f t="shared" si="27"/>
        <v>6-Coût des ventes</v>
      </c>
      <c r="R357" s="149" t="str">
        <f t="shared" si="28"/>
        <v>450</v>
      </c>
      <c r="S357" s="150">
        <f t="shared" si="29"/>
        <v>0</v>
      </c>
      <c r="T357" s="152" t="str">
        <f>+VLOOKUP($L357,Data_Validation!$A:$D,1,0)</f>
        <v>654A</v>
      </c>
      <c r="U357" s="152" t="str">
        <f>+VLOOKUP($L357,Data_Validation!$A:$D,3,0)</f>
        <v>Véhicules usagés</v>
      </c>
      <c r="V357" s="152" t="str">
        <f>+VLOOKUP($L357,Data_Validation!$A:$D,4,0)</f>
        <v>Rev. Protections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2072</v>
      </c>
      <c r="B358" s="671" t="s">
        <v>2073</v>
      </c>
      <c r="C358" s="672">
        <v>1090</v>
      </c>
      <c r="D358" s="672">
        <v>0</v>
      </c>
      <c r="E358" s="672">
        <v>1090</v>
      </c>
      <c r="F358" s="671" t="s">
        <v>2016</v>
      </c>
      <c r="G358" s="671" t="s">
        <v>1013</v>
      </c>
      <c r="H358" s="666"/>
      <c r="I358" s="665"/>
      <c r="J358" s="665"/>
      <c r="K358" s="665"/>
      <c r="L358" s="149" t="str">
        <f t="shared" si="25"/>
        <v>654E</v>
      </c>
      <c r="M358" s="150" t="str">
        <f t="shared" si="26"/>
        <v>C/V - PROTEC ESTHETIQUE USAGE BMW NON-CERT</v>
      </c>
      <c r="N358" s="151">
        <f>+IF(OR($Q358=Parametres!$G$2,$Q358=Parametres!$G$3),I358,C358)</f>
        <v>1090</v>
      </c>
      <c r="O358" s="151">
        <f>+IF(OR($Q358=Parametres!$G$2,$Q358=Parametres!$G$3),J358,D358)</f>
        <v>0</v>
      </c>
      <c r="P358" s="151">
        <f>+IF(OR($Q358=Parametres!$G$2,$Q358=Parametres!$G$3),K358,E358)</f>
        <v>1090</v>
      </c>
      <c r="Q358" s="150" t="str">
        <f t="shared" si="27"/>
        <v>6-Coût des ventes</v>
      </c>
      <c r="R358" s="149" t="str">
        <f t="shared" si="28"/>
        <v>450</v>
      </c>
      <c r="S358" s="150">
        <f t="shared" si="29"/>
        <v>0</v>
      </c>
      <c r="T358" s="152" t="str">
        <f>+VLOOKUP($L358,Data_Validation!$A:$D,1,0)</f>
        <v>654E</v>
      </c>
      <c r="U358" s="152" t="str">
        <f>+VLOOKUP($L358,Data_Validation!$A:$D,3,0)</f>
        <v>Véhicules usagés</v>
      </c>
      <c r="V358" s="152" t="str">
        <f>+VLOOKUP($L358,Data_Validation!$A:$D,4,0)</f>
        <v>Rev. Protections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1957</v>
      </c>
      <c r="B359" s="718" t="s">
        <v>1958</v>
      </c>
      <c r="C359" s="720">
        <v>700</v>
      </c>
      <c r="D359" s="720">
        <v>560</v>
      </c>
      <c r="E359" s="720">
        <v>1260</v>
      </c>
      <c r="F359" s="718" t="s">
        <v>2016</v>
      </c>
      <c r="G359" s="718" t="s">
        <v>1013</v>
      </c>
      <c r="H359" s="673"/>
      <c r="I359" s="672"/>
      <c r="J359" s="672"/>
      <c r="K359" s="672"/>
      <c r="L359" s="149" t="str">
        <f t="shared" si="25"/>
        <v>654M</v>
      </c>
      <c r="M359" s="150" t="str">
        <f t="shared" si="26"/>
        <v>C/V - MARQUAGE OTOPROTEC USAGE BMW NON-CERT</v>
      </c>
      <c r="N359" s="151">
        <f>+IF(OR($Q359=Parametres!$G$2,$Q359=Parametres!$G$3),I359,C359)</f>
        <v>700</v>
      </c>
      <c r="O359" s="151">
        <f>+IF(OR($Q359=Parametres!$G$2,$Q359=Parametres!$G$3),J359,D359)</f>
        <v>560</v>
      </c>
      <c r="P359" s="151">
        <f>+IF(OR($Q359=Parametres!$G$2,$Q359=Parametres!$G$3),K359,E359)</f>
        <v>1260</v>
      </c>
      <c r="Q359" s="150" t="str">
        <f t="shared" si="27"/>
        <v>6-Coût des ventes</v>
      </c>
      <c r="R359" s="149" t="str">
        <f t="shared" si="28"/>
        <v>450</v>
      </c>
      <c r="S359" s="150">
        <f t="shared" si="29"/>
        <v>0</v>
      </c>
      <c r="T359" s="152" t="str">
        <f>+VLOOKUP($L359,Data_Validation!$A:$D,1,0)</f>
        <v>654M</v>
      </c>
      <c r="U359" s="152" t="str">
        <f>+VLOOKUP($L359,Data_Validation!$A:$D,3,0)</f>
        <v>Véhicules usagés</v>
      </c>
      <c r="V359" s="152" t="str">
        <f>+VLOOKUP($L359,Data_Validation!$A:$D,4,0)</f>
        <v>Rev. Protections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2865</v>
      </c>
      <c r="B360" s="718" t="s">
        <v>2866</v>
      </c>
      <c r="C360" s="719">
        <v>115.05</v>
      </c>
      <c r="D360" s="719">
        <v>0</v>
      </c>
      <c r="E360" s="719">
        <v>115.05</v>
      </c>
      <c r="F360" s="718" t="s">
        <v>2016</v>
      </c>
      <c r="G360" s="718" t="s">
        <v>1013</v>
      </c>
      <c r="H360" s="719"/>
      <c r="I360" s="720"/>
      <c r="J360" s="720"/>
      <c r="K360" s="720"/>
      <c r="L360" s="149" t="str">
        <f t="shared" si="25"/>
        <v>654T</v>
      </c>
      <c r="M360" s="150" t="str">
        <f t="shared" si="26"/>
        <v>C/V - TRAITEMENT OTOPROTEC USAGE BMW NON-CERT</v>
      </c>
      <c r="N360" s="151">
        <f>+IF(OR($Q360=Parametres!$G$2,$Q360=Parametres!$G$3),I360,C360)</f>
        <v>115.05</v>
      </c>
      <c r="O360" s="151">
        <f>+IF(OR($Q360=Parametres!$G$2,$Q360=Parametres!$G$3),J360,D360)</f>
        <v>0</v>
      </c>
      <c r="P360" s="151">
        <f>+IF(OR($Q360=Parametres!$G$2,$Q360=Parametres!$G$3),K360,E360)</f>
        <v>115.05</v>
      </c>
      <c r="Q360" s="150" t="str">
        <f t="shared" si="27"/>
        <v>6-Coût des ventes</v>
      </c>
      <c r="R360" s="149" t="str">
        <f t="shared" si="28"/>
        <v>450</v>
      </c>
      <c r="S360" s="150">
        <f t="shared" si="29"/>
        <v>0</v>
      </c>
      <c r="T360" s="152" t="str">
        <f>+VLOOKUP($L360,Data_Validation!$A:$D,1,0)</f>
        <v>654T</v>
      </c>
      <c r="U360" s="152" t="str">
        <f>+VLOOKUP($L360,Data_Validation!$A:$D,3,0)</f>
        <v>Véhicules usagés</v>
      </c>
      <c r="V360" s="152" t="str">
        <f>+VLOOKUP($L360,Data_Validation!$A:$D,4,0)</f>
        <v>Rev. Autres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1453</v>
      </c>
      <c r="B361" s="718" t="s">
        <v>674</v>
      </c>
      <c r="C361" s="720">
        <v>0</v>
      </c>
      <c r="D361" s="720">
        <v>9951</v>
      </c>
      <c r="E361" s="720">
        <v>9951</v>
      </c>
      <c r="F361" s="718" t="s">
        <v>2016</v>
      </c>
      <c r="G361" s="718" t="s">
        <v>367</v>
      </c>
      <c r="H361" s="673"/>
      <c r="I361" s="672"/>
      <c r="J361" s="672"/>
      <c r="K361" s="672"/>
      <c r="L361" s="149" t="str">
        <f t="shared" si="25"/>
        <v>655</v>
      </c>
      <c r="M361" s="150" t="str">
        <f t="shared" si="26"/>
        <v>C/V - GAR PROL USAGE AUTRE</v>
      </c>
      <c r="N361" s="151">
        <f>+IF(OR($Q361=Parametres!$G$2,$Q361=Parametres!$G$3),I361,C361)</f>
        <v>0</v>
      </c>
      <c r="O361" s="151">
        <f>+IF(OR($Q361=Parametres!$G$2,$Q361=Parametres!$G$3),J361,D361)</f>
        <v>9951</v>
      </c>
      <c r="P361" s="151">
        <f>+IF(OR($Q361=Parametres!$G$2,$Q361=Parametres!$G$3),K361,E361)</f>
        <v>9951</v>
      </c>
      <c r="Q361" s="150" t="str">
        <f t="shared" si="27"/>
        <v>6-Coût des ventes</v>
      </c>
      <c r="R361" s="149" t="str">
        <f t="shared" si="28"/>
        <v>455</v>
      </c>
      <c r="S361" s="150">
        <f t="shared" si="29"/>
        <v>0</v>
      </c>
      <c r="T361" s="152" t="str">
        <f>+VLOOKUP($L361,Data_Validation!$A:$D,1,0)</f>
        <v>655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1697</v>
      </c>
      <c r="B362" s="718" t="s">
        <v>845</v>
      </c>
      <c r="C362" s="719">
        <v>0</v>
      </c>
      <c r="D362" s="719">
        <v>0.16</v>
      </c>
      <c r="E362" s="719">
        <v>0.16</v>
      </c>
      <c r="F362" s="718" t="s">
        <v>2016</v>
      </c>
      <c r="G362" s="718" t="s">
        <v>451</v>
      </c>
      <c r="H362" s="719"/>
      <c r="I362" s="720"/>
      <c r="J362" s="720"/>
      <c r="K362" s="720"/>
      <c r="L362" s="149" t="str">
        <f t="shared" si="25"/>
        <v>659A</v>
      </c>
      <c r="M362" s="150" t="str">
        <f t="shared" si="26"/>
        <v>C/V - BMW SPA PROGRAMME</v>
      </c>
      <c r="N362" s="151">
        <f>+IF(OR($Q362=Parametres!$G$2,$Q362=Parametres!$G$3),I362,C362)</f>
        <v>0</v>
      </c>
      <c r="O362" s="151">
        <f>+IF(OR($Q362=Parametres!$G$2,$Q362=Parametres!$G$3),J362,D362)</f>
        <v>0.16</v>
      </c>
      <c r="P362" s="151">
        <f>+IF(OR($Q362=Parametres!$G$2,$Q362=Parametres!$G$3),K362,E362)</f>
        <v>0.16</v>
      </c>
      <c r="Q362" s="150" t="str">
        <f t="shared" si="27"/>
        <v>6-Coût des ventes</v>
      </c>
      <c r="R362" s="149" t="str">
        <f t="shared" si="28"/>
        <v>459A</v>
      </c>
      <c r="S362" s="150">
        <f t="shared" si="29"/>
        <v>0</v>
      </c>
      <c r="T362" s="152" t="str">
        <f>+VLOOKUP($L362,Data_Validation!$A:$D,1,0)</f>
        <v>659A</v>
      </c>
      <c r="U362" s="152" t="str">
        <f>+VLOOKUP($L362,Data_Validation!$A:$D,3,0)</f>
        <v>service</v>
      </c>
      <c r="V362" s="152" t="str">
        <f>+VLOOKUP($L362,Data_Validation!$A:$D,4,0)</f>
        <v>M/O Esthétique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2194</v>
      </c>
      <c r="B363" s="671" t="s">
        <v>2195</v>
      </c>
      <c r="C363" s="672">
        <v>11989.1</v>
      </c>
      <c r="D363" s="672">
        <v>16700.25</v>
      </c>
      <c r="E363" s="672">
        <v>28689.35</v>
      </c>
      <c r="F363" s="671" t="s">
        <v>2016</v>
      </c>
      <c r="G363" s="671" t="s">
        <v>451</v>
      </c>
      <c r="H363" s="666"/>
      <c r="I363" s="665"/>
      <c r="J363" s="665"/>
      <c r="K363" s="665"/>
      <c r="L363" s="149" t="str">
        <f t="shared" si="25"/>
        <v>659B</v>
      </c>
      <c r="M363" s="150" t="str">
        <f t="shared" si="26"/>
        <v>C/V - SUBLET ESTHETIQUE</v>
      </c>
      <c r="N363" s="151">
        <f>+IF(OR($Q363=Parametres!$G$2,$Q363=Parametres!$G$3),I363,C363)</f>
        <v>11989.1</v>
      </c>
      <c r="O363" s="151">
        <f>+IF(OR($Q363=Parametres!$G$2,$Q363=Parametres!$G$3),J363,D363)</f>
        <v>16700.25</v>
      </c>
      <c r="P363" s="151">
        <f>+IF(OR($Q363=Parametres!$G$2,$Q363=Parametres!$G$3),K363,E363)</f>
        <v>28689.35</v>
      </c>
      <c r="Q363" s="150" t="str">
        <f t="shared" si="27"/>
        <v>6-Coût des ventes</v>
      </c>
      <c r="R363" s="149" t="str">
        <f t="shared" si="28"/>
        <v>459A</v>
      </c>
      <c r="S363" s="150">
        <f t="shared" si="29"/>
        <v>0</v>
      </c>
      <c r="T363" s="152" t="str">
        <f>+VLOOKUP($L363,Data_Validation!$A:$D,1,0)</f>
        <v>659B</v>
      </c>
      <c r="U363" s="152" t="str">
        <f>+VLOOKUP($L363,Data_Validation!$A:$D,3,0)</f>
        <v>Service</v>
      </c>
      <c r="V363" s="152" t="str">
        <f>+VLOOKUP($L363,Data_Validation!$A:$D,4,0)</f>
        <v>M/O Esthétique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1747</v>
      </c>
      <c r="B364" s="718" t="s">
        <v>1748</v>
      </c>
      <c r="C364" s="720">
        <v>7858.04</v>
      </c>
      <c r="D364" s="720">
        <v>8011.34</v>
      </c>
      <c r="E364" s="720">
        <v>15869.38</v>
      </c>
      <c r="F364" s="718" t="s">
        <v>2016</v>
      </c>
      <c r="G364" s="718" t="s">
        <v>1117</v>
      </c>
      <c r="H364" s="673"/>
      <c r="I364" s="672"/>
      <c r="J364" s="672"/>
      <c r="K364" s="672"/>
      <c r="L364" s="149" t="str">
        <f t="shared" si="25"/>
        <v>660A</v>
      </c>
      <c r="M364" s="150" t="str">
        <f t="shared" si="26"/>
        <v>C/V - M/O CLIENT BMW AUTO</v>
      </c>
      <c r="N364" s="151">
        <f>+IF(OR($Q364=Parametres!$G$2,$Q364=Parametres!$G$3),I364,C364)</f>
        <v>7858.04</v>
      </c>
      <c r="O364" s="151">
        <f>+IF(OR($Q364=Parametres!$G$2,$Q364=Parametres!$G$3),J364,D364)</f>
        <v>8011.34</v>
      </c>
      <c r="P364" s="151">
        <f>+IF(OR($Q364=Parametres!$G$2,$Q364=Parametres!$G$3),K364,E364)</f>
        <v>15869.38</v>
      </c>
      <c r="Q364" s="150" t="str">
        <f t="shared" si="27"/>
        <v>6-Coût des ventes</v>
      </c>
      <c r="R364" s="149" t="str">
        <f t="shared" si="28"/>
        <v>460A</v>
      </c>
      <c r="S364" s="150">
        <f t="shared" si="29"/>
        <v>0</v>
      </c>
      <c r="T364" s="152" t="str">
        <f>+VLOOKUP($L364,Data_Validation!$A:$D,1,0)</f>
        <v>660A</v>
      </c>
      <c r="U364" s="152" t="str">
        <f>+VLOOKUP($L364,Data_Validation!$A:$D,3,0)</f>
        <v>service</v>
      </c>
      <c r="V364" s="152" t="str">
        <f>+VLOOKUP($L364,Data_Validation!$A:$D,4,0)</f>
        <v>M/O Client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1736</v>
      </c>
      <c r="B365" s="718" t="s">
        <v>968</v>
      </c>
      <c r="C365" s="720">
        <v>13859.47</v>
      </c>
      <c r="D365" s="720">
        <v>8586.0300000000007</v>
      </c>
      <c r="E365" s="720">
        <v>22445.5</v>
      </c>
      <c r="F365" s="718" t="s">
        <v>2016</v>
      </c>
      <c r="G365" s="718" t="s">
        <v>1117</v>
      </c>
      <c r="H365" s="673"/>
      <c r="I365" s="672"/>
      <c r="J365" s="672"/>
      <c r="K365" s="672"/>
      <c r="L365" s="149" t="str">
        <f t="shared" si="25"/>
        <v>660B</v>
      </c>
      <c r="M365" s="150" t="str">
        <f t="shared" si="26"/>
        <v>C/V - M/O CLIENT BMW CAMION</v>
      </c>
      <c r="N365" s="151">
        <f>+IF(OR($Q365=Parametres!$G$2,$Q365=Parametres!$G$3),I365,C365)</f>
        <v>13859.47</v>
      </c>
      <c r="O365" s="151">
        <f>+IF(OR($Q365=Parametres!$G$2,$Q365=Parametres!$G$3),J365,D365)</f>
        <v>8586.0300000000007</v>
      </c>
      <c r="P365" s="151">
        <f>+IF(OR($Q365=Parametres!$G$2,$Q365=Parametres!$G$3),K365,E365)</f>
        <v>22445.5</v>
      </c>
      <c r="Q365" s="150" t="str">
        <f t="shared" si="27"/>
        <v>6-Coût des ventes</v>
      </c>
      <c r="R365" s="149" t="str">
        <f t="shared" si="28"/>
        <v>460A</v>
      </c>
      <c r="S365" s="150">
        <f t="shared" si="29"/>
        <v>0</v>
      </c>
      <c r="T365" s="152" t="str">
        <f>+VLOOKUP($L365,Data_Validation!$A:$D,1,0)</f>
        <v>660B</v>
      </c>
      <c r="U365" s="152" t="str">
        <f>+VLOOKUP($L365,Data_Validation!$A:$D,3,0)</f>
        <v>service</v>
      </c>
      <c r="V365" s="152" t="str">
        <f>+VLOOKUP($L365,Data_Validation!$A:$D,4,0)</f>
        <v>M/O Client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1059</v>
      </c>
      <c r="B366" s="718" t="s">
        <v>838</v>
      </c>
      <c r="C366" s="720">
        <v>1093.98</v>
      </c>
      <c r="D366" s="720">
        <v>1402.7</v>
      </c>
      <c r="E366" s="720">
        <v>2496.6799999999998</v>
      </c>
      <c r="F366" s="718" t="s">
        <v>2016</v>
      </c>
      <c r="G366" s="718" t="s">
        <v>1117</v>
      </c>
      <c r="H366" s="673"/>
      <c r="I366" s="672"/>
      <c r="J366" s="672"/>
      <c r="K366" s="672"/>
      <c r="L366" s="149" t="str">
        <f t="shared" si="25"/>
        <v>660D</v>
      </c>
      <c r="M366" s="150" t="str">
        <f t="shared" si="26"/>
        <v>C/V - M/O CLIENT BMW I</v>
      </c>
      <c r="N366" s="151">
        <f>+IF(OR($Q366=Parametres!$G$2,$Q366=Parametres!$G$3),I366,C366)</f>
        <v>1093.98</v>
      </c>
      <c r="O366" s="151">
        <f>+IF(OR($Q366=Parametres!$G$2,$Q366=Parametres!$G$3),J366,D366)</f>
        <v>1402.7</v>
      </c>
      <c r="P366" s="151">
        <f>+IF(OR($Q366=Parametres!$G$2,$Q366=Parametres!$G$3),K366,E366)</f>
        <v>2496.6799999999998</v>
      </c>
      <c r="Q366" s="150" t="str">
        <f t="shared" si="27"/>
        <v>6-Coût des ventes</v>
      </c>
      <c r="R366" s="149" t="str">
        <f t="shared" si="28"/>
        <v>460A</v>
      </c>
      <c r="S366" s="150">
        <f t="shared" si="29"/>
        <v>0</v>
      </c>
      <c r="T366" s="152" t="str">
        <f>+VLOOKUP($L366,Data_Validation!$A:$D,1,0)</f>
        <v>660D</v>
      </c>
      <c r="U366" s="152" t="str">
        <f>+VLOOKUP($L366,Data_Validation!$A:$D,3,0)</f>
        <v>service</v>
      </c>
      <c r="V366" s="152" t="str">
        <f>+VLOOKUP($L366,Data_Validation!$A:$D,4,0)</f>
        <v>M/O Client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1769</v>
      </c>
      <c r="B367" s="671" t="s">
        <v>1770</v>
      </c>
      <c r="C367" s="672">
        <v>4119.29</v>
      </c>
      <c r="D367" s="672">
        <v>924.32</v>
      </c>
      <c r="E367" s="672">
        <v>5043.6099999999997</v>
      </c>
      <c r="F367" s="671" t="s">
        <v>2016</v>
      </c>
      <c r="G367" s="671" t="s">
        <v>1111</v>
      </c>
      <c r="H367" s="666"/>
      <c r="I367" s="665"/>
      <c r="J367" s="665"/>
      <c r="K367" s="665"/>
      <c r="L367" s="149" t="str">
        <f t="shared" si="25"/>
        <v>661A</v>
      </c>
      <c r="M367" s="150" t="str">
        <f t="shared" si="26"/>
        <v>C/V - M/O GARANTIE BMW AUTO</v>
      </c>
      <c r="N367" s="151">
        <f>+IF(OR($Q367=Parametres!$G$2,$Q367=Parametres!$G$3),I367,C367)</f>
        <v>4119.29</v>
      </c>
      <c r="O367" s="151">
        <f>+IF(OR($Q367=Parametres!$G$2,$Q367=Parametres!$G$3),J367,D367)</f>
        <v>924.32</v>
      </c>
      <c r="P367" s="151">
        <f>+IF(OR($Q367=Parametres!$G$2,$Q367=Parametres!$G$3),K367,E367)</f>
        <v>5043.6099999999997</v>
      </c>
      <c r="Q367" s="150" t="str">
        <f t="shared" si="27"/>
        <v>6-Coût des ventes</v>
      </c>
      <c r="R367" s="149" t="str">
        <f t="shared" si="28"/>
        <v>461A</v>
      </c>
      <c r="S367" s="150">
        <f t="shared" si="29"/>
        <v>0</v>
      </c>
      <c r="T367" s="152" t="str">
        <f>+VLOOKUP($L367,Data_Validation!$A:$D,1,0)</f>
        <v>661A</v>
      </c>
      <c r="U367" s="152" t="str">
        <f>+VLOOKUP($L367,Data_Validation!$A:$D,3,0)</f>
        <v>service</v>
      </c>
      <c r="V367" s="152" t="str">
        <f>+VLOOKUP($L367,Data_Validation!$A:$D,4,0)</f>
        <v>M/O Garantie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1786</v>
      </c>
      <c r="B368" s="718" t="s">
        <v>913</v>
      </c>
      <c r="C368" s="720">
        <v>7549.03</v>
      </c>
      <c r="D368" s="720">
        <v>3401.83</v>
      </c>
      <c r="E368" s="720">
        <v>10950.86</v>
      </c>
      <c r="F368" s="718" t="s">
        <v>2016</v>
      </c>
      <c r="G368" s="718" t="s">
        <v>1111</v>
      </c>
      <c r="H368" s="673"/>
      <c r="I368" s="672"/>
      <c r="J368" s="672"/>
      <c r="K368" s="672"/>
      <c r="L368" s="149" t="str">
        <f t="shared" si="25"/>
        <v>661B</v>
      </c>
      <c r="M368" s="150" t="str">
        <f t="shared" si="26"/>
        <v>C/V - M/O GARANTIE BMW CAMION</v>
      </c>
      <c r="N368" s="151">
        <f>+IF(OR($Q368=Parametres!$G$2,$Q368=Parametres!$G$3),I368,C368)</f>
        <v>7549.03</v>
      </c>
      <c r="O368" s="151">
        <f>+IF(OR($Q368=Parametres!$G$2,$Q368=Parametres!$G$3),J368,D368)</f>
        <v>3401.83</v>
      </c>
      <c r="P368" s="151">
        <f>+IF(OR($Q368=Parametres!$G$2,$Q368=Parametres!$G$3),K368,E368)</f>
        <v>10950.86</v>
      </c>
      <c r="Q368" s="150" t="str">
        <f t="shared" si="27"/>
        <v>6-Coût des ventes</v>
      </c>
      <c r="R368" s="149" t="str">
        <f t="shared" si="28"/>
        <v>461A</v>
      </c>
      <c r="S368" s="150">
        <f t="shared" si="29"/>
        <v>0</v>
      </c>
      <c r="T368" s="152" t="str">
        <f>+VLOOKUP($L368,Data_Validation!$A:$D,1,0)</f>
        <v>661B</v>
      </c>
      <c r="U368" s="152" t="str">
        <f>+VLOOKUP($L368,Data_Validation!$A:$D,3,0)</f>
        <v>service</v>
      </c>
      <c r="V368" s="152" t="str">
        <f>+VLOOKUP($L368,Data_Validation!$A:$D,4,0)</f>
        <v>M/O Garantie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1684</v>
      </c>
      <c r="B369" s="671" t="s">
        <v>887</v>
      </c>
      <c r="C369" s="672">
        <v>2105.98</v>
      </c>
      <c r="D369" s="672">
        <v>651.48</v>
      </c>
      <c r="E369" s="672">
        <v>2757.46</v>
      </c>
      <c r="F369" s="671" t="s">
        <v>2016</v>
      </c>
      <c r="G369" s="671" t="s">
        <v>442</v>
      </c>
      <c r="H369" s="666"/>
      <c r="I369" s="665"/>
      <c r="J369" s="665"/>
      <c r="K369" s="665"/>
      <c r="L369" s="149" t="str">
        <f t="shared" si="25"/>
        <v>661D</v>
      </c>
      <c r="M369" s="150" t="str">
        <f t="shared" si="26"/>
        <v>C/V - M/O ENTRETIEN BMW AUTO</v>
      </c>
      <c r="N369" s="151">
        <f>+IF(OR($Q369=Parametres!$G$2,$Q369=Parametres!$G$3),I369,C369)</f>
        <v>2105.98</v>
      </c>
      <c r="O369" s="151">
        <f>+IF(OR($Q369=Parametres!$G$2,$Q369=Parametres!$G$3),J369,D369)</f>
        <v>651.48</v>
      </c>
      <c r="P369" s="151">
        <f>+IF(OR($Q369=Parametres!$G$2,$Q369=Parametres!$G$3),K369,E369)</f>
        <v>2757.46</v>
      </c>
      <c r="Q369" s="150" t="str">
        <f t="shared" si="27"/>
        <v>6-Coût des ventes</v>
      </c>
      <c r="R369" s="149" t="str">
        <f t="shared" si="28"/>
        <v>461D</v>
      </c>
      <c r="S369" s="150">
        <f t="shared" si="29"/>
        <v>0</v>
      </c>
      <c r="T369" s="152" t="str">
        <f>+VLOOKUP($L369,Data_Validation!$A:$D,1,0)</f>
        <v>661D</v>
      </c>
      <c r="U369" s="152" t="str">
        <f>+VLOOKUP($L369,Data_Validation!$A:$D,3,0)</f>
        <v>service</v>
      </c>
      <c r="V369" s="152" t="str">
        <f>+VLOOKUP($L369,Data_Validation!$A:$D,4,0)</f>
        <v>M/O Garantie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1714</v>
      </c>
      <c r="B370" s="718" t="s">
        <v>906</v>
      </c>
      <c r="C370" s="720">
        <v>5174.95</v>
      </c>
      <c r="D370" s="720">
        <v>1507.45</v>
      </c>
      <c r="E370" s="720">
        <v>6682.4</v>
      </c>
      <c r="F370" s="718" t="s">
        <v>2016</v>
      </c>
      <c r="G370" s="718" t="s">
        <v>442</v>
      </c>
      <c r="H370" s="673"/>
      <c r="I370" s="672"/>
      <c r="J370" s="672"/>
      <c r="K370" s="672"/>
      <c r="L370" s="149" t="str">
        <f t="shared" si="25"/>
        <v>661E</v>
      </c>
      <c r="M370" s="150" t="str">
        <f t="shared" si="26"/>
        <v>C/V - M/O ENTRETIEN BMW CAMION</v>
      </c>
      <c r="N370" s="151">
        <f>+IF(OR($Q370=Parametres!$G$2,$Q370=Parametres!$G$3),I370,C370)</f>
        <v>5174.95</v>
      </c>
      <c r="O370" s="151">
        <f>+IF(OR($Q370=Parametres!$G$2,$Q370=Parametres!$G$3),J370,D370)</f>
        <v>1507.45</v>
      </c>
      <c r="P370" s="151">
        <f>+IF(OR($Q370=Parametres!$G$2,$Q370=Parametres!$G$3),K370,E370)</f>
        <v>6682.4</v>
      </c>
      <c r="Q370" s="150" t="str">
        <f t="shared" si="27"/>
        <v>6-Coût des ventes</v>
      </c>
      <c r="R370" s="149" t="str">
        <f t="shared" si="28"/>
        <v>461D</v>
      </c>
      <c r="S370" s="150">
        <f t="shared" si="29"/>
        <v>0</v>
      </c>
      <c r="T370" s="152" t="str">
        <f>+VLOOKUP($L370,Data_Validation!$A:$D,1,0)</f>
        <v>661E</v>
      </c>
      <c r="U370" s="152" t="str">
        <f>+VLOOKUP($L370,Data_Validation!$A:$D,3,0)</f>
        <v>service</v>
      </c>
      <c r="V370" s="152" t="str">
        <f>+VLOOKUP($L370,Data_Validation!$A:$D,4,0)</f>
        <v>M/O Garantie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1621</v>
      </c>
      <c r="B371" s="718" t="s">
        <v>823</v>
      </c>
      <c r="C371" s="720">
        <v>75.430000000000007</v>
      </c>
      <c r="D371" s="720">
        <v>269.68</v>
      </c>
      <c r="E371" s="720">
        <v>345.11</v>
      </c>
      <c r="F371" s="718" t="s">
        <v>2016</v>
      </c>
      <c r="G371" s="718" t="s">
        <v>442</v>
      </c>
      <c r="H371" s="673"/>
      <c r="I371" s="672"/>
      <c r="J371" s="672"/>
      <c r="K371" s="672"/>
      <c r="L371" s="149" t="str">
        <f t="shared" si="25"/>
        <v>661G</v>
      </c>
      <c r="M371" s="150" t="str">
        <f t="shared" si="26"/>
        <v>C/V - M/O ENTRETIEN BMW I</v>
      </c>
      <c r="N371" s="151">
        <f>+IF(OR($Q371=Parametres!$G$2,$Q371=Parametres!$G$3),I371,C371)</f>
        <v>75.430000000000007</v>
      </c>
      <c r="O371" s="151">
        <f>+IF(OR($Q371=Parametres!$G$2,$Q371=Parametres!$G$3),J371,D371)</f>
        <v>269.68</v>
      </c>
      <c r="P371" s="151">
        <f>+IF(OR($Q371=Parametres!$G$2,$Q371=Parametres!$G$3),K371,E371)</f>
        <v>345.11</v>
      </c>
      <c r="Q371" s="150" t="str">
        <f t="shared" si="27"/>
        <v>6-Coût des ventes</v>
      </c>
      <c r="R371" s="149" t="str">
        <f t="shared" si="28"/>
        <v>461D</v>
      </c>
      <c r="S371" s="150">
        <f t="shared" si="29"/>
        <v>0</v>
      </c>
      <c r="T371" s="152" t="str">
        <f>+VLOOKUP($L371,Data_Validation!$A:$D,1,0)</f>
        <v>661G</v>
      </c>
      <c r="U371" s="152" t="str">
        <f>+VLOOKUP($L371,Data_Validation!$A:$D,3,0)</f>
        <v>service</v>
      </c>
      <c r="V371" s="152" t="str">
        <f>+VLOOKUP($L371,Data_Validation!$A:$D,4,0)</f>
        <v>M/O Garantie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1034</v>
      </c>
      <c r="B372" s="718" t="s">
        <v>778</v>
      </c>
      <c r="C372" s="720">
        <v>2151.0700000000002</v>
      </c>
      <c r="D372" s="720">
        <v>252.84</v>
      </c>
      <c r="E372" s="720">
        <v>2403.91</v>
      </c>
      <c r="F372" s="718" t="s">
        <v>2016</v>
      </c>
      <c r="G372" s="718" t="s">
        <v>1111</v>
      </c>
      <c r="H372" s="673"/>
      <c r="I372" s="673"/>
      <c r="J372" s="673"/>
      <c r="K372" s="673"/>
      <c r="L372" s="149" t="str">
        <f t="shared" si="25"/>
        <v>661H</v>
      </c>
      <c r="M372" s="150" t="str">
        <f t="shared" si="26"/>
        <v>C/V - M/O GARANTIE BMW I</v>
      </c>
      <c r="N372" s="151">
        <f>+IF(OR($Q372=Parametres!$G$2,$Q372=Parametres!$G$3),I372,C372)</f>
        <v>2151.0700000000002</v>
      </c>
      <c r="O372" s="151">
        <f>+IF(OR($Q372=Parametres!$G$2,$Q372=Parametres!$G$3),J372,D372)</f>
        <v>252.84</v>
      </c>
      <c r="P372" s="151">
        <f>+IF(OR($Q372=Parametres!$G$2,$Q372=Parametres!$G$3),K372,E372)</f>
        <v>2403.91</v>
      </c>
      <c r="Q372" s="150" t="str">
        <f t="shared" si="27"/>
        <v>6-Coût des ventes</v>
      </c>
      <c r="R372" s="149" t="str">
        <f t="shared" si="28"/>
        <v>461A</v>
      </c>
      <c r="S372" s="150">
        <f t="shared" si="29"/>
        <v>0</v>
      </c>
      <c r="T372" s="152" t="str">
        <f>+VLOOKUP($L372,Data_Validation!$A:$D,1,0)</f>
        <v>661H</v>
      </c>
      <c r="U372" s="152" t="str">
        <f>+VLOOKUP($L372,Data_Validation!$A:$D,3,0)</f>
        <v>service</v>
      </c>
      <c r="V372" s="152" t="str">
        <f>+VLOOKUP($L372,Data_Validation!$A:$D,4,0)</f>
        <v>M/O Garantie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1722</v>
      </c>
      <c r="B373" s="671" t="s">
        <v>1723</v>
      </c>
      <c r="C373" s="672">
        <v>4868.8999999999996</v>
      </c>
      <c r="D373" s="672">
        <v>1974.87</v>
      </c>
      <c r="E373" s="672">
        <v>6843.77</v>
      </c>
      <c r="F373" s="671" t="s">
        <v>2016</v>
      </c>
      <c r="G373" s="671" t="s">
        <v>1140</v>
      </c>
      <c r="H373" s="666"/>
      <c r="I373" s="665"/>
      <c r="J373" s="665"/>
      <c r="K373" s="665"/>
      <c r="L373" s="149" t="str">
        <f t="shared" si="25"/>
        <v>662A</v>
      </c>
      <c r="M373" s="150" t="str">
        <f t="shared" si="26"/>
        <v>C/V - M/O INTERNE BMW AUTO</v>
      </c>
      <c r="N373" s="151">
        <f>+IF(OR($Q373=Parametres!$G$2,$Q373=Parametres!$G$3),I373,C373)</f>
        <v>4868.8999999999996</v>
      </c>
      <c r="O373" s="151">
        <f>+IF(OR($Q373=Parametres!$G$2,$Q373=Parametres!$G$3),J373,D373)</f>
        <v>1974.87</v>
      </c>
      <c r="P373" s="151">
        <f>+IF(OR($Q373=Parametres!$G$2,$Q373=Parametres!$G$3),K373,E373)</f>
        <v>6843.77</v>
      </c>
      <c r="Q373" s="150" t="str">
        <f t="shared" si="27"/>
        <v>6-Coût des ventes</v>
      </c>
      <c r="R373" s="149" t="str">
        <f t="shared" si="28"/>
        <v>462A</v>
      </c>
      <c r="S373" s="150">
        <f t="shared" si="29"/>
        <v>0</v>
      </c>
      <c r="T373" s="152" t="str">
        <f>+VLOOKUP($L373,Data_Validation!$A:$D,1,0)</f>
        <v>662A</v>
      </c>
      <c r="U373" s="152" t="str">
        <f>+VLOOKUP($L373,Data_Validation!$A:$D,3,0)</f>
        <v>service</v>
      </c>
      <c r="V373" s="152" t="str">
        <f>+VLOOKUP($L373,Data_Validation!$A:$D,4,0)</f>
        <v>M/O Interne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1726</v>
      </c>
      <c r="B374" s="718" t="s">
        <v>924</v>
      </c>
      <c r="C374" s="719">
        <v>6509.52</v>
      </c>
      <c r="D374" s="719">
        <v>2614.17</v>
      </c>
      <c r="E374" s="719">
        <v>9123.69</v>
      </c>
      <c r="F374" s="718" t="s">
        <v>2016</v>
      </c>
      <c r="G374" s="718" t="s">
        <v>1140</v>
      </c>
      <c r="H374" s="719"/>
      <c r="I374" s="720"/>
      <c r="J374" s="720"/>
      <c r="K374" s="720"/>
      <c r="L374" s="149" t="str">
        <f t="shared" si="25"/>
        <v>662B</v>
      </c>
      <c r="M374" s="150" t="str">
        <f t="shared" si="26"/>
        <v>C/V - M/O INTERNE BMW CAMION</v>
      </c>
      <c r="N374" s="151">
        <f>+IF(OR($Q374=Parametres!$G$2,$Q374=Parametres!$G$3),I374,C374)</f>
        <v>6509.52</v>
      </c>
      <c r="O374" s="151">
        <f>+IF(OR($Q374=Parametres!$G$2,$Q374=Parametres!$G$3),J374,D374)</f>
        <v>2614.17</v>
      </c>
      <c r="P374" s="151">
        <f>+IF(OR($Q374=Parametres!$G$2,$Q374=Parametres!$G$3),K374,E374)</f>
        <v>9123.69</v>
      </c>
      <c r="Q374" s="150" t="str">
        <f t="shared" si="27"/>
        <v>6-Coût des ventes</v>
      </c>
      <c r="R374" s="149" t="str">
        <f t="shared" si="28"/>
        <v>462A</v>
      </c>
      <c r="S374" s="150">
        <f t="shared" si="29"/>
        <v>0</v>
      </c>
      <c r="T374" s="152" t="str">
        <f>+VLOOKUP($L374,Data_Validation!$A:$D,1,0)</f>
        <v>662B</v>
      </c>
      <c r="U374" s="152" t="str">
        <f>+VLOOKUP($L374,Data_Validation!$A:$D,3,0)</f>
        <v>service</v>
      </c>
      <c r="V374" s="152" t="str">
        <f>+VLOOKUP($L374,Data_Validation!$A:$D,4,0)</f>
        <v>M/O Interne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1058</v>
      </c>
      <c r="B375" s="718" t="s">
        <v>781</v>
      </c>
      <c r="C375" s="720">
        <v>2004.57</v>
      </c>
      <c r="D375" s="720">
        <v>295.18</v>
      </c>
      <c r="E375" s="720">
        <v>2299.75</v>
      </c>
      <c r="F375" s="718" t="s">
        <v>2016</v>
      </c>
      <c r="G375" s="718" t="s">
        <v>1140</v>
      </c>
      <c r="H375" s="666"/>
      <c r="I375" s="665"/>
      <c r="J375" s="665"/>
      <c r="K375" s="665"/>
      <c r="L375" s="149" t="str">
        <f t="shared" si="25"/>
        <v>662D</v>
      </c>
      <c r="M375" s="150" t="str">
        <f t="shared" si="26"/>
        <v>C/V - M/O INTERNE BMW I</v>
      </c>
      <c r="N375" s="151">
        <f>+IF(OR($Q375=Parametres!$G$2,$Q375=Parametres!$G$3),I375,C375)</f>
        <v>2004.57</v>
      </c>
      <c r="O375" s="151">
        <f>+IF(OR($Q375=Parametres!$G$2,$Q375=Parametres!$G$3),J375,D375)</f>
        <v>295.18</v>
      </c>
      <c r="P375" s="151">
        <f>+IF(OR($Q375=Parametres!$G$2,$Q375=Parametres!$G$3),K375,E375)</f>
        <v>2299.75</v>
      </c>
      <c r="Q375" s="150" t="str">
        <f t="shared" si="27"/>
        <v>6-Coût des ventes</v>
      </c>
      <c r="R375" s="149" t="str">
        <f t="shared" si="28"/>
        <v>462A</v>
      </c>
      <c r="S375" s="150">
        <f t="shared" si="29"/>
        <v>0</v>
      </c>
      <c r="T375" s="152" t="str">
        <f>+VLOOKUP($L375,Data_Validation!$A:$D,1,0)</f>
        <v>662D</v>
      </c>
      <c r="U375" s="152" t="str">
        <f>+VLOOKUP($L375,Data_Validation!$A:$D,3,0)</f>
        <v>service</v>
      </c>
      <c r="V375" s="152" t="str">
        <f>+VLOOKUP($L375,Data_Validation!$A:$D,4,0)</f>
        <v>M/O Interne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2180</v>
      </c>
      <c r="B376" s="671" t="s">
        <v>2181</v>
      </c>
      <c r="C376" s="672">
        <v>10517.5</v>
      </c>
      <c r="D376" s="672">
        <v>4974.3</v>
      </c>
      <c r="E376" s="672">
        <v>15491.8</v>
      </c>
      <c r="F376" s="671" t="s">
        <v>2016</v>
      </c>
      <c r="G376" s="671" t="s">
        <v>1140</v>
      </c>
      <c r="H376" s="666"/>
      <c r="I376" s="665"/>
      <c r="J376" s="665"/>
      <c r="K376" s="665"/>
      <c r="L376" s="149" t="str">
        <f t="shared" si="25"/>
        <v>662L</v>
      </c>
      <c r="M376" s="150" t="str">
        <f t="shared" si="26"/>
        <v>C/V - SUBLET INTERNE AUTO</v>
      </c>
      <c r="N376" s="151">
        <f>+IF(OR($Q376=Parametres!$G$2,$Q376=Parametres!$G$3),I376,C376)</f>
        <v>10517.5</v>
      </c>
      <c r="O376" s="151">
        <f>+IF(OR($Q376=Parametres!$G$2,$Q376=Parametres!$G$3),J376,D376)</f>
        <v>4974.3</v>
      </c>
      <c r="P376" s="151">
        <f>+IF(OR($Q376=Parametres!$G$2,$Q376=Parametres!$G$3),K376,E376)</f>
        <v>15491.8</v>
      </c>
      <c r="Q376" s="150" t="str">
        <f t="shared" si="27"/>
        <v>6-Coût des ventes</v>
      </c>
      <c r="R376" s="149" t="str">
        <f t="shared" si="28"/>
        <v>462A</v>
      </c>
      <c r="S376" s="150">
        <f t="shared" si="29"/>
        <v>0</v>
      </c>
      <c r="T376" s="152" t="str">
        <f>+VLOOKUP($L376,Data_Validation!$A:$D,1,0)</f>
        <v>662L</v>
      </c>
      <c r="U376" s="152" t="str">
        <f>+VLOOKUP($L376,Data_Validation!$A:$D,3,0)</f>
        <v>Service</v>
      </c>
      <c r="V376" s="152" t="str">
        <f>+VLOOKUP($L376,Data_Validation!$A:$D,4,0)</f>
        <v>M/O Interne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2182</v>
      </c>
      <c r="B377" s="718" t="s">
        <v>2183</v>
      </c>
      <c r="C377" s="720">
        <v>8639</v>
      </c>
      <c r="D377" s="720">
        <v>5304.5</v>
      </c>
      <c r="E377" s="720">
        <v>13943.5</v>
      </c>
      <c r="F377" s="718" t="s">
        <v>2016</v>
      </c>
      <c r="G377" s="718" t="s">
        <v>1140</v>
      </c>
      <c r="H377" s="673"/>
      <c r="I377" s="672"/>
      <c r="J377" s="672"/>
      <c r="K377" s="672"/>
      <c r="L377" s="149" t="str">
        <f t="shared" si="25"/>
        <v>662M</v>
      </c>
      <c r="M377" s="150" t="str">
        <f t="shared" si="26"/>
        <v>C/V - SUBLET INTERNE CAMION</v>
      </c>
      <c r="N377" s="151">
        <f>+IF(OR($Q377=Parametres!$G$2,$Q377=Parametres!$G$3),I377,C377)</f>
        <v>8639</v>
      </c>
      <c r="O377" s="151">
        <f>+IF(OR($Q377=Parametres!$G$2,$Q377=Parametres!$G$3),J377,D377)</f>
        <v>5304.5</v>
      </c>
      <c r="P377" s="151">
        <f>+IF(OR($Q377=Parametres!$G$2,$Q377=Parametres!$G$3),K377,E377)</f>
        <v>13943.5</v>
      </c>
      <c r="Q377" s="150" t="str">
        <f t="shared" si="27"/>
        <v>6-Coût des ventes</v>
      </c>
      <c r="R377" s="149" t="str">
        <f t="shared" si="28"/>
        <v>462A</v>
      </c>
      <c r="S377" s="150">
        <f t="shared" si="29"/>
        <v>0</v>
      </c>
      <c r="T377" s="152" t="str">
        <f>+VLOOKUP($L377,Data_Validation!$A:$D,1,0)</f>
        <v>662M</v>
      </c>
      <c r="U377" s="152" t="str">
        <f>+VLOOKUP($L377,Data_Validation!$A:$D,3,0)</f>
        <v>Service</v>
      </c>
      <c r="V377" s="152" t="str">
        <f>+VLOOKUP($L377,Data_Validation!$A:$D,4,0)</f>
        <v>M/O Interne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2243</v>
      </c>
      <c r="B378" s="718" t="s">
        <v>2242</v>
      </c>
      <c r="C378" s="720">
        <v>1326</v>
      </c>
      <c r="D378" s="720">
        <v>2693</v>
      </c>
      <c r="E378" s="720">
        <v>4019</v>
      </c>
      <c r="F378" s="718" t="s">
        <v>2016</v>
      </c>
      <c r="G378" s="718" t="s">
        <v>1140</v>
      </c>
      <c r="H378" s="609"/>
      <c r="I378" s="608"/>
      <c r="J378" s="608"/>
      <c r="K378" s="608"/>
      <c r="L378" s="149" t="str">
        <f t="shared" si="25"/>
        <v>662N</v>
      </c>
      <c r="M378" s="150" t="str">
        <f t="shared" si="26"/>
        <v>C/V - SUBLET INTERNE ELECTRIQUE</v>
      </c>
      <c r="N378" s="151">
        <f>+IF(OR($Q378=Parametres!$G$2,$Q378=Parametres!$G$3),I378,C378)</f>
        <v>1326</v>
      </c>
      <c r="O378" s="151">
        <f>+IF(OR($Q378=Parametres!$G$2,$Q378=Parametres!$G$3),J378,D378)</f>
        <v>2693</v>
      </c>
      <c r="P378" s="151">
        <f>+IF(OR($Q378=Parametres!$G$2,$Q378=Parametres!$G$3),K378,E378)</f>
        <v>4019</v>
      </c>
      <c r="Q378" s="150" t="str">
        <f t="shared" si="27"/>
        <v>6-Coût des ventes</v>
      </c>
      <c r="R378" s="149" t="str">
        <f t="shared" si="28"/>
        <v>462A</v>
      </c>
      <c r="S378" s="150">
        <f t="shared" si="29"/>
        <v>0</v>
      </c>
      <c r="T378" s="152" t="str">
        <f>+VLOOKUP($L378,Data_Validation!$A:$D,1,0)</f>
        <v>662N</v>
      </c>
      <c r="U378" s="152" t="str">
        <f>+VLOOKUP($L378,Data_Validation!$A:$D,3,0)</f>
        <v>Service</v>
      </c>
      <c r="V378" s="152" t="str">
        <f>+VLOOKUP($L378,Data_Validation!$A:$D,4,0)</f>
        <v>M/O Interne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1765</v>
      </c>
      <c r="B379" s="718" t="s">
        <v>1766</v>
      </c>
      <c r="C379" s="719">
        <v>7016.15</v>
      </c>
      <c r="D379" s="719">
        <v>390</v>
      </c>
      <c r="E379" s="719">
        <v>7406.15</v>
      </c>
      <c r="F379" s="718" t="s">
        <v>2016</v>
      </c>
      <c r="G379" s="718" t="s">
        <v>1144</v>
      </c>
      <c r="H379" s="719"/>
      <c r="I379" s="720"/>
      <c r="J379" s="720"/>
      <c r="K379" s="720"/>
      <c r="L379" s="149" t="str">
        <f t="shared" si="25"/>
        <v>663A</v>
      </c>
      <c r="M379" s="150" t="str">
        <f t="shared" si="26"/>
        <v>C/V - SOUS-TRAITANCE BMW AUTO</v>
      </c>
      <c r="N379" s="151">
        <f>+IF(OR($Q379=Parametres!$G$2,$Q379=Parametres!$G$3),I379,C379)</f>
        <v>7016.15</v>
      </c>
      <c r="O379" s="151">
        <f>+IF(OR($Q379=Parametres!$G$2,$Q379=Parametres!$G$3),J379,D379)</f>
        <v>390</v>
      </c>
      <c r="P379" s="151">
        <f>+IF(OR($Q379=Parametres!$G$2,$Q379=Parametres!$G$3),K379,E379)</f>
        <v>7406.15</v>
      </c>
      <c r="Q379" s="150" t="str">
        <f t="shared" si="27"/>
        <v>6-Coût des ventes</v>
      </c>
      <c r="R379" s="149" t="str">
        <f t="shared" si="28"/>
        <v>463A</v>
      </c>
      <c r="S379" s="150">
        <f t="shared" si="29"/>
        <v>0</v>
      </c>
      <c r="T379" s="152" t="str">
        <f>+VLOOKUP($L379,Data_Validation!$A:$D,1,0)</f>
        <v>663A</v>
      </c>
      <c r="U379" s="152" t="str">
        <f>+VLOOKUP($L379,Data_Validation!$A:$D,3,0)</f>
        <v>service</v>
      </c>
      <c r="V379" s="152" t="str">
        <f>+VLOOKUP($L379,Data_Validation!$A:$D,4,0)</f>
        <v>Sous-traitement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1776</v>
      </c>
      <c r="B380" s="718" t="s">
        <v>899</v>
      </c>
      <c r="C380" s="720">
        <v>12236.11</v>
      </c>
      <c r="D380" s="720">
        <v>1629.21</v>
      </c>
      <c r="E380" s="720">
        <v>13865.32</v>
      </c>
      <c r="F380" s="718" t="s">
        <v>2016</v>
      </c>
      <c r="G380" s="718" t="s">
        <v>1144</v>
      </c>
      <c r="H380" s="673"/>
      <c r="I380" s="672"/>
      <c r="J380" s="672"/>
      <c r="K380" s="672"/>
      <c r="L380" s="149" t="str">
        <f t="shared" si="25"/>
        <v>663B</v>
      </c>
      <c r="M380" s="150" t="str">
        <f t="shared" si="26"/>
        <v>C/V - SOUS-TRAITANCE BMW CAMION</v>
      </c>
      <c r="N380" s="151">
        <f>+IF(OR($Q380=Parametres!$G$2,$Q380=Parametres!$G$3),I380,C380)</f>
        <v>12236.11</v>
      </c>
      <c r="O380" s="151">
        <f>+IF(OR($Q380=Parametres!$G$2,$Q380=Parametres!$G$3),J380,D380)</f>
        <v>1629.21</v>
      </c>
      <c r="P380" s="151">
        <f>+IF(OR($Q380=Parametres!$G$2,$Q380=Parametres!$G$3),K380,E380)</f>
        <v>13865.32</v>
      </c>
      <c r="Q380" s="150" t="str">
        <f t="shared" si="27"/>
        <v>6-Coût des ventes</v>
      </c>
      <c r="R380" s="149" t="str">
        <f t="shared" si="28"/>
        <v>463A</v>
      </c>
      <c r="S380" s="150">
        <f t="shared" si="29"/>
        <v>0</v>
      </c>
      <c r="T380" s="152" t="str">
        <f>+VLOOKUP($L380,Data_Validation!$A:$D,1,0)</f>
        <v>663B</v>
      </c>
      <c r="U380" s="152" t="str">
        <f>+VLOOKUP($L380,Data_Validation!$A:$D,3,0)</f>
        <v>service</v>
      </c>
      <c r="V380" s="152" t="str">
        <f>+VLOOKUP($L380,Data_Validation!$A:$D,4,0)</f>
        <v>Sous-traitement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675</v>
      </c>
      <c r="B381" s="718" t="s">
        <v>676</v>
      </c>
      <c r="C381" s="720">
        <v>4085</v>
      </c>
      <c r="D381" s="720">
        <v>0</v>
      </c>
      <c r="E381" s="720">
        <v>4085</v>
      </c>
      <c r="F381" s="718" t="s">
        <v>2016</v>
      </c>
      <c r="G381" s="718" t="s">
        <v>1144</v>
      </c>
      <c r="H381" s="666"/>
      <c r="I381" s="665"/>
      <c r="J381" s="665"/>
      <c r="K381" s="665"/>
      <c r="L381" s="149" t="str">
        <f t="shared" si="25"/>
        <v>663D</v>
      </c>
      <c r="M381" s="150" t="str">
        <f t="shared" si="26"/>
        <v>C/V - SOUS-TRAITANCE BMW I</v>
      </c>
      <c r="N381" s="151">
        <f>+IF(OR($Q381=Parametres!$G$2,$Q381=Parametres!$G$3),I381,C381)</f>
        <v>4085</v>
      </c>
      <c r="O381" s="151">
        <f>+IF(OR($Q381=Parametres!$G$2,$Q381=Parametres!$G$3),J381,D381)</f>
        <v>0</v>
      </c>
      <c r="P381" s="151">
        <f>+IF(OR($Q381=Parametres!$G$2,$Q381=Parametres!$G$3),K381,E381)</f>
        <v>4085</v>
      </c>
      <c r="Q381" s="150" t="str">
        <f t="shared" si="27"/>
        <v>6-Coût des ventes</v>
      </c>
      <c r="R381" s="149" t="str">
        <f t="shared" si="28"/>
        <v>463A</v>
      </c>
      <c r="S381" s="150">
        <f t="shared" si="29"/>
        <v>0</v>
      </c>
      <c r="T381" s="152" t="str">
        <f>+VLOOKUP($L381,Data_Validation!$A:$D,1,0)</f>
        <v>663D</v>
      </c>
      <c r="U381" s="152" t="str">
        <f>+VLOOKUP($L381,Data_Validation!$A:$D,3,0)</f>
        <v>service</v>
      </c>
      <c r="V381" s="152" t="str">
        <f>+VLOOKUP($L381,Data_Validation!$A:$D,4,0)</f>
        <v>Sous-traitement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1653</v>
      </c>
      <c r="B382" s="718" t="s">
        <v>1654</v>
      </c>
      <c r="C382" s="719">
        <v>2769.76</v>
      </c>
      <c r="D382" s="719">
        <v>2955.77</v>
      </c>
      <c r="E382" s="719">
        <v>5725.53</v>
      </c>
      <c r="F382" s="718" t="s">
        <v>2016</v>
      </c>
      <c r="G382" s="718" t="s">
        <v>2256</v>
      </c>
      <c r="H382" s="719"/>
      <c r="I382" s="720"/>
      <c r="J382" s="720"/>
      <c r="K382" s="720"/>
      <c r="L382" s="149" t="str">
        <f t="shared" si="25"/>
        <v>664A</v>
      </c>
      <c r="M382" s="150" t="str">
        <f t="shared" si="26"/>
        <v>C/V - AJUST. M/O BMW AUTO</v>
      </c>
      <c r="N382" s="151">
        <f>+IF(OR($Q382=Parametres!$G$2,$Q382=Parametres!$G$3),I382,C382)</f>
        <v>2769.76</v>
      </c>
      <c r="O382" s="151">
        <f>+IF(OR($Q382=Parametres!$G$2,$Q382=Parametres!$G$3),J382,D382)</f>
        <v>2955.77</v>
      </c>
      <c r="P382" s="151">
        <f>+IF(OR($Q382=Parametres!$G$2,$Q382=Parametres!$G$3),K382,E382)</f>
        <v>5725.53</v>
      </c>
      <c r="Q382" s="150" t="str">
        <f t="shared" si="27"/>
        <v>6-Coût des ventes</v>
      </c>
      <c r="R382" s="149" t="str">
        <f t="shared" si="28"/>
        <v>464</v>
      </c>
      <c r="S382" s="150">
        <f t="shared" si="29"/>
        <v>0</v>
      </c>
      <c r="T382" s="152" t="str">
        <f>+VLOOKUP($L382,Data_Validation!$A:$D,1,0)</f>
        <v>664A</v>
      </c>
      <c r="U382" s="152" t="str">
        <f>+VLOOKUP($L382,Data_Validation!$A:$D,3,0)</f>
        <v>service</v>
      </c>
      <c r="V382" s="152" t="str">
        <f>+VLOOKUP($L382,Data_Validation!$A:$D,4,0)</f>
        <v>Ajustement M/O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1636</v>
      </c>
      <c r="B383" s="718" t="s">
        <v>1637</v>
      </c>
      <c r="C383" s="719">
        <v>1846.5</v>
      </c>
      <c r="D383" s="719">
        <v>1970.51</v>
      </c>
      <c r="E383" s="719">
        <v>3817.01</v>
      </c>
      <c r="F383" s="718" t="s">
        <v>2016</v>
      </c>
      <c r="G383" s="718" t="s">
        <v>2256</v>
      </c>
      <c r="H383" s="719"/>
      <c r="I383" s="720"/>
      <c r="J383" s="720"/>
      <c r="K383" s="720"/>
      <c r="L383" s="149" t="str">
        <f t="shared" si="25"/>
        <v>664B</v>
      </c>
      <c r="M383" s="150" t="str">
        <f t="shared" si="26"/>
        <v>C/V - AJUST. M/O BMW CAMION</v>
      </c>
      <c r="N383" s="151">
        <f>+IF(OR($Q383=Parametres!$G$2,$Q383=Parametres!$G$3),I383,C383)</f>
        <v>1846.5</v>
      </c>
      <c r="O383" s="151">
        <f>+IF(OR($Q383=Parametres!$G$2,$Q383=Parametres!$G$3),J383,D383)</f>
        <v>1970.51</v>
      </c>
      <c r="P383" s="151">
        <f>+IF(OR($Q383=Parametres!$G$2,$Q383=Parametres!$G$3),K383,E383)</f>
        <v>3817.01</v>
      </c>
      <c r="Q383" s="150" t="str">
        <f t="shared" si="27"/>
        <v>6-Coût des ventes</v>
      </c>
      <c r="R383" s="149" t="str">
        <f t="shared" si="28"/>
        <v>464</v>
      </c>
      <c r="S383" s="150">
        <f t="shared" si="29"/>
        <v>0</v>
      </c>
      <c r="T383" s="152" t="str">
        <f>+VLOOKUP($L383,Data_Validation!$A:$D,1,0)</f>
        <v>664B</v>
      </c>
      <c r="U383" s="152" t="str">
        <f>+VLOOKUP($L383,Data_Validation!$A:$D,3,0)</f>
        <v>service</v>
      </c>
      <c r="V383" s="152" t="str">
        <f>+VLOOKUP($L383,Data_Validation!$A:$D,4,0)</f>
        <v>Ajustement M/O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1804</v>
      </c>
      <c r="B384" s="718" t="s">
        <v>1805</v>
      </c>
      <c r="C384" s="720">
        <v>26088.01</v>
      </c>
      <c r="D384" s="720">
        <v>11789.45</v>
      </c>
      <c r="E384" s="720">
        <v>37877.46</v>
      </c>
      <c r="F384" s="718" t="s">
        <v>2016</v>
      </c>
      <c r="G384" s="718" t="s">
        <v>1121</v>
      </c>
      <c r="H384" s="607"/>
      <c r="I384" s="153"/>
      <c r="J384" s="153"/>
      <c r="K384" s="153"/>
      <c r="L384" s="149" t="str">
        <f t="shared" si="25"/>
        <v>670A</v>
      </c>
      <c r="M384" s="150" t="str">
        <f t="shared" si="26"/>
        <v>C/V - PIECES BT CLIENT BMW AUTO</v>
      </c>
      <c r="N384" s="151">
        <f>+IF(OR($Q384=Parametres!$G$2,$Q384=Parametres!$G$3),I384,C384)</f>
        <v>26088.01</v>
      </c>
      <c r="O384" s="151">
        <f>+IF(OR($Q384=Parametres!$G$2,$Q384=Parametres!$G$3),J384,D384)</f>
        <v>11789.45</v>
      </c>
      <c r="P384" s="151">
        <f>+IF(OR($Q384=Parametres!$G$2,$Q384=Parametres!$G$3),K384,E384)</f>
        <v>37877.46</v>
      </c>
      <c r="Q384" s="150" t="str">
        <f t="shared" si="27"/>
        <v>6-Coût des ventes</v>
      </c>
      <c r="R384" s="149" t="str">
        <f t="shared" si="28"/>
        <v>470A</v>
      </c>
      <c r="S384" s="150">
        <f t="shared" si="29"/>
        <v>0</v>
      </c>
      <c r="T384" s="152" t="str">
        <f>+VLOOKUP($L384,Data_Validation!$A:$D,1,0)</f>
        <v>670A</v>
      </c>
      <c r="U384" s="152" t="str">
        <f>+VLOOKUP($L384,Data_Validation!$A:$D,3,0)</f>
        <v>Pièces</v>
      </c>
      <c r="V384" s="152" t="str">
        <f>+VLOOKUP($L384,Data_Validation!$A:$D,4,0)</f>
        <v>Pièces Ro Clients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1785</v>
      </c>
      <c r="B385" s="671" t="s">
        <v>961</v>
      </c>
      <c r="C385" s="672">
        <v>53591.5</v>
      </c>
      <c r="D385" s="672">
        <v>16518.259999999998</v>
      </c>
      <c r="E385" s="672">
        <v>70109.759999999995</v>
      </c>
      <c r="F385" s="671" t="s">
        <v>2016</v>
      </c>
      <c r="G385" s="671" t="s">
        <v>1121</v>
      </c>
      <c r="H385" s="666"/>
      <c r="I385" s="665"/>
      <c r="J385" s="665"/>
      <c r="K385" s="665"/>
      <c r="L385" s="149" t="str">
        <f t="shared" si="25"/>
        <v>670B</v>
      </c>
      <c r="M385" s="150" t="str">
        <f t="shared" si="26"/>
        <v>C/V - PIECES BT CLIENT BMW CAMION</v>
      </c>
      <c r="N385" s="151">
        <f>+IF(OR($Q385=Parametres!$G$2,$Q385=Parametres!$G$3),I385,C385)</f>
        <v>53591.5</v>
      </c>
      <c r="O385" s="151">
        <f>+IF(OR($Q385=Parametres!$G$2,$Q385=Parametres!$G$3),J385,D385)</f>
        <v>16518.259999999998</v>
      </c>
      <c r="P385" s="151">
        <f>+IF(OR($Q385=Parametres!$G$2,$Q385=Parametres!$G$3),K385,E385)</f>
        <v>70109.759999999995</v>
      </c>
      <c r="Q385" s="150" t="str">
        <f t="shared" si="27"/>
        <v>6-Coût des ventes</v>
      </c>
      <c r="R385" s="149" t="str">
        <f t="shared" si="28"/>
        <v>470A</v>
      </c>
      <c r="S385" s="150">
        <f t="shared" si="29"/>
        <v>0</v>
      </c>
      <c r="T385" s="152" t="str">
        <f>+VLOOKUP($L385,Data_Validation!$A:$D,1,0)</f>
        <v>670B</v>
      </c>
      <c r="U385" s="152" t="str">
        <f>+VLOOKUP($L385,Data_Validation!$A:$D,3,0)</f>
        <v>Pièces</v>
      </c>
      <c r="V385" s="152" t="str">
        <f>+VLOOKUP($L385,Data_Validation!$A:$D,4,0)</f>
        <v>Pièces Ro Clients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1607</v>
      </c>
      <c r="B386" s="718" t="s">
        <v>881</v>
      </c>
      <c r="C386" s="720">
        <v>1914.43</v>
      </c>
      <c r="D386" s="720">
        <v>2391.56</v>
      </c>
      <c r="E386" s="720">
        <v>4305.99</v>
      </c>
      <c r="F386" s="718" t="s">
        <v>2016</v>
      </c>
      <c r="G386" s="718" t="s">
        <v>1121</v>
      </c>
      <c r="H386" s="666"/>
      <c r="I386" s="665"/>
      <c r="J386" s="665"/>
      <c r="K386" s="665"/>
      <c r="L386" s="149" t="str">
        <f t="shared" ref="L386:L449" si="30">+B386</f>
        <v>670D</v>
      </c>
      <c r="M386" s="150" t="str">
        <f t="shared" ref="M386:M449" si="31">+A386</f>
        <v>C/V - PIECES BT CLIENT BMW I</v>
      </c>
      <c r="N386" s="151">
        <f>+IF(OR($Q386=Parametres!$G$2,$Q386=Parametres!$G$3),I386,C386)</f>
        <v>1914.43</v>
      </c>
      <c r="O386" s="504">
        <f>+IF(OR($Q386=Parametres!$G$2,$Q386=Parametres!$G$3),J386,D386)</f>
        <v>2391.56</v>
      </c>
      <c r="P386" s="151">
        <f>+IF(OR($Q386=Parametres!$G$2,$Q386=Parametres!$G$3),K386,E386)</f>
        <v>4305.99</v>
      </c>
      <c r="Q386" s="150" t="str">
        <f t="shared" ref="Q386:Q449" si="32">+F386</f>
        <v>6-Coût des ventes</v>
      </c>
      <c r="R386" s="149" t="str">
        <f t="shared" ref="R386:R449" si="33">+G386</f>
        <v>470A</v>
      </c>
      <c r="S386" s="150">
        <f t="shared" ref="S386:S449" si="34">+H386</f>
        <v>0</v>
      </c>
      <c r="T386" s="152" t="str">
        <f>+VLOOKUP($L386,Data_Validation!$A:$D,1,0)</f>
        <v>670D</v>
      </c>
      <c r="U386" s="152" t="str">
        <f>+VLOOKUP($L386,Data_Validation!$A:$D,3,0)</f>
        <v>Pièces</v>
      </c>
      <c r="V386" s="152" t="str">
        <f>+VLOOKUP($L386,Data_Validation!$A:$D,4,0)</f>
        <v>Pièces Ro Clients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2087</v>
      </c>
      <c r="B387" s="718" t="s">
        <v>2088</v>
      </c>
      <c r="C387" s="720">
        <v>242.14</v>
      </c>
      <c r="D387" s="720">
        <v>0</v>
      </c>
      <c r="E387" s="720">
        <v>242.14</v>
      </c>
      <c r="F387" s="718" t="s">
        <v>2016</v>
      </c>
      <c r="G387" s="718" t="s">
        <v>2084</v>
      </c>
      <c r="H387" s="673"/>
      <c r="I387" s="672"/>
      <c r="J387" s="672"/>
      <c r="K387" s="672"/>
      <c r="L387" s="149" t="str">
        <f t="shared" si="30"/>
        <v>671A</v>
      </c>
      <c r="M387" s="150" t="str">
        <f t="shared" si="31"/>
        <v>C/V - PIECES BT CARROSS. BMW AUTO</v>
      </c>
      <c r="N387" s="151">
        <f>+IF(OR($Q387=Parametres!$G$2,$Q387=Parametres!$G$3),I387,C387)</f>
        <v>242.14</v>
      </c>
      <c r="O387" s="151">
        <f>+IF(OR($Q387=Parametres!$G$2,$Q387=Parametres!$G$3),J387,D387)</f>
        <v>0</v>
      </c>
      <c r="P387" s="151">
        <f>+IF(OR($Q387=Parametres!$G$2,$Q387=Parametres!$G$3),K387,E387)</f>
        <v>242.14</v>
      </c>
      <c r="Q387" s="150" t="str">
        <f t="shared" si="32"/>
        <v>6-Coût des ventes</v>
      </c>
      <c r="R387" s="149" t="str">
        <f t="shared" si="33"/>
        <v>471A</v>
      </c>
      <c r="S387" s="150">
        <f t="shared" si="34"/>
        <v>0</v>
      </c>
      <c r="T387" s="152" t="str">
        <f>+VLOOKUP($L387,Data_Validation!$A:$D,1,0)</f>
        <v>671A</v>
      </c>
      <c r="U387" s="152" t="str">
        <f>+VLOOKUP($L387,Data_Validation!$A:$D,3,0)</f>
        <v>Pièces</v>
      </c>
      <c r="V387" s="152" t="str">
        <f>+VLOOKUP($L387,Data_Validation!$A:$D,4,0)</f>
        <v>Pièces Ro Carrosserie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2485</v>
      </c>
      <c r="B388" s="718" t="s">
        <v>2486</v>
      </c>
      <c r="C388" s="720">
        <v>61.9</v>
      </c>
      <c r="D388" s="720">
        <v>74.8</v>
      </c>
      <c r="E388" s="720">
        <v>136.69999999999999</v>
      </c>
      <c r="F388" s="718" t="s">
        <v>2016</v>
      </c>
      <c r="G388" s="718" t="s">
        <v>2084</v>
      </c>
      <c r="H388" s="673"/>
      <c r="I388" s="672"/>
      <c r="J388" s="672"/>
      <c r="K388" s="672"/>
      <c r="L388" s="149" t="str">
        <f t="shared" si="30"/>
        <v>671D</v>
      </c>
      <c r="M388" s="150" t="str">
        <f t="shared" si="31"/>
        <v>C/V - PIECES BT CARROSS BMW I</v>
      </c>
      <c r="N388" s="151">
        <f>+IF(OR($Q388=Parametres!$G$2,$Q388=Parametres!$G$3),I388,C388)</f>
        <v>61.9</v>
      </c>
      <c r="O388" s="151">
        <f>+IF(OR($Q388=Parametres!$G$2,$Q388=Parametres!$G$3),J388,D388)</f>
        <v>74.8</v>
      </c>
      <c r="P388" s="151">
        <f>+IF(OR($Q388=Parametres!$G$2,$Q388=Parametres!$G$3),K388,E388)</f>
        <v>136.69999999999999</v>
      </c>
      <c r="Q388" s="150" t="str">
        <f t="shared" si="32"/>
        <v>6-Coût des ventes</v>
      </c>
      <c r="R388" s="149" t="str">
        <f t="shared" si="33"/>
        <v>471A</v>
      </c>
      <c r="S388" s="150">
        <f t="shared" si="34"/>
        <v>0</v>
      </c>
      <c r="T388" s="152" t="str">
        <f>+VLOOKUP($L388,Data_Validation!$A:$D,1,0)</f>
        <v>671D</v>
      </c>
      <c r="U388" s="152" t="str">
        <f>+VLOOKUP($L388,Data_Validation!$A:$D,3,0)</f>
        <v>Pièces</v>
      </c>
      <c r="V388" s="152" t="str">
        <f>+VLOOKUP($L388,Data_Validation!$A:$D,4,0)</f>
        <v>Pièces Ro Carrosserie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1832</v>
      </c>
      <c r="B389" s="718" t="s">
        <v>1833</v>
      </c>
      <c r="C389" s="720">
        <v>21524.73</v>
      </c>
      <c r="D389" s="720">
        <v>2618.96</v>
      </c>
      <c r="E389" s="720">
        <v>24143.69</v>
      </c>
      <c r="F389" s="718" t="s">
        <v>2016</v>
      </c>
      <c r="G389" s="718" t="s">
        <v>1097</v>
      </c>
      <c r="H389" s="673"/>
      <c r="I389" s="673"/>
      <c r="J389" s="673"/>
      <c r="K389" s="673"/>
      <c r="L389" s="149" t="str">
        <f t="shared" si="30"/>
        <v>672A</v>
      </c>
      <c r="M389" s="150" t="str">
        <f t="shared" si="31"/>
        <v>C/V - PIECES GARANTIE BMW AUTO</v>
      </c>
      <c r="N389" s="151">
        <f>+IF(OR($Q389=Parametres!$G$2,$Q389=Parametres!$G$3),I389,C389)</f>
        <v>21524.73</v>
      </c>
      <c r="O389" s="151">
        <f>+IF(OR($Q389=Parametres!$G$2,$Q389=Parametres!$G$3),J389,D389)</f>
        <v>2618.96</v>
      </c>
      <c r="P389" s="151">
        <f>+IF(OR($Q389=Parametres!$G$2,$Q389=Parametres!$G$3),K389,E389)</f>
        <v>24143.69</v>
      </c>
      <c r="Q389" s="150" t="str">
        <f t="shared" si="32"/>
        <v>6-Coût des ventes</v>
      </c>
      <c r="R389" s="149" t="str">
        <f t="shared" si="33"/>
        <v>472A</v>
      </c>
      <c r="S389" s="150">
        <f t="shared" si="34"/>
        <v>0</v>
      </c>
      <c r="T389" s="152" t="str">
        <f>+VLOOKUP($L389,Data_Validation!$A:$D,1,0)</f>
        <v>672A</v>
      </c>
      <c r="U389" s="152" t="str">
        <f>+VLOOKUP($L389,Data_Validation!$A:$D,3,0)</f>
        <v>pièces</v>
      </c>
      <c r="V389" s="152" t="str">
        <f>+VLOOKUP($L389,Data_Validation!$A:$D,4,0)</f>
        <v>P/A Garantie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1827</v>
      </c>
      <c r="B390" s="718" t="s">
        <v>842</v>
      </c>
      <c r="C390" s="720">
        <v>57619.31</v>
      </c>
      <c r="D390" s="720">
        <v>18930.97</v>
      </c>
      <c r="E390" s="720">
        <v>76550.28</v>
      </c>
      <c r="F390" s="718" t="s">
        <v>2016</v>
      </c>
      <c r="G390" s="718" t="s">
        <v>1097</v>
      </c>
      <c r="H390" s="673"/>
      <c r="I390" s="672"/>
      <c r="J390" s="672"/>
      <c r="K390" s="672"/>
      <c r="L390" s="149" t="str">
        <f t="shared" si="30"/>
        <v>672B</v>
      </c>
      <c r="M390" s="150" t="str">
        <f t="shared" si="31"/>
        <v>C/V - PIECES GARANTIE BMW CAMION</v>
      </c>
      <c r="N390" s="151">
        <f>+IF(OR($Q390=Parametres!$G$2,$Q390=Parametres!$G$3),I390,C390)</f>
        <v>57619.31</v>
      </c>
      <c r="O390" s="151">
        <f>+IF(OR($Q390=Parametres!$G$2,$Q390=Parametres!$G$3),J390,D390)</f>
        <v>18930.97</v>
      </c>
      <c r="P390" s="151">
        <f>+IF(OR($Q390=Parametres!$G$2,$Q390=Parametres!$G$3),K390,E390)</f>
        <v>76550.28</v>
      </c>
      <c r="Q390" s="150" t="str">
        <f t="shared" si="32"/>
        <v>6-Coût des ventes</v>
      </c>
      <c r="R390" s="149" t="str">
        <f t="shared" si="33"/>
        <v>472A</v>
      </c>
      <c r="S390" s="150">
        <f t="shared" si="34"/>
        <v>0</v>
      </c>
      <c r="T390" s="152" t="str">
        <f>+VLOOKUP($L390,Data_Validation!$A:$D,1,0)</f>
        <v>672B</v>
      </c>
      <c r="U390" s="152" t="str">
        <f>+VLOOKUP($L390,Data_Validation!$A:$D,3,0)</f>
        <v>pièces</v>
      </c>
      <c r="V390" s="152" t="str">
        <f>+VLOOKUP($L390,Data_Validation!$A:$D,4,0)</f>
        <v>P/A Garantie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1711</v>
      </c>
      <c r="B391" s="718" t="s">
        <v>955</v>
      </c>
      <c r="C391" s="720">
        <v>4765.59</v>
      </c>
      <c r="D391" s="720">
        <v>1264.8399999999999</v>
      </c>
      <c r="E391" s="720">
        <v>6030.43</v>
      </c>
      <c r="F391" s="718" t="s">
        <v>2016</v>
      </c>
      <c r="G391" s="718" t="s">
        <v>435</v>
      </c>
      <c r="H391" s="673"/>
      <c r="I391" s="672"/>
      <c r="J391" s="672"/>
      <c r="K391" s="672"/>
      <c r="L391" s="149" t="str">
        <f t="shared" si="30"/>
        <v>672D</v>
      </c>
      <c r="M391" s="150" t="str">
        <f t="shared" si="31"/>
        <v>C/V - PIECES ENTRETIEN BMW AUTO</v>
      </c>
      <c r="N391" s="151">
        <f>+IF(OR($Q391=Parametres!$G$2,$Q391=Parametres!$G$3),I391,C391)</f>
        <v>4765.59</v>
      </c>
      <c r="O391" s="151">
        <f>+IF(OR($Q391=Parametres!$G$2,$Q391=Parametres!$G$3),J391,D391)</f>
        <v>1264.8399999999999</v>
      </c>
      <c r="P391" s="151">
        <f>+IF(OR($Q391=Parametres!$G$2,$Q391=Parametres!$G$3),K391,E391)</f>
        <v>6030.43</v>
      </c>
      <c r="Q391" s="150" t="str">
        <f t="shared" si="32"/>
        <v>6-Coût des ventes</v>
      </c>
      <c r="R391" s="149" t="str">
        <f t="shared" si="33"/>
        <v>472D</v>
      </c>
      <c r="S391" s="150">
        <f t="shared" si="34"/>
        <v>0</v>
      </c>
      <c r="T391" s="152" t="str">
        <f>+VLOOKUP($L391,Data_Validation!$A:$D,1,0)</f>
        <v>672D</v>
      </c>
      <c r="U391" s="152" t="str">
        <f>+VLOOKUP($L391,Data_Validation!$A:$D,3,0)</f>
        <v>pièces</v>
      </c>
      <c r="V391" s="152" t="str">
        <f>+VLOOKUP($L391,Data_Validation!$A:$D,4,0)</f>
        <v>P/A Garantie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1760</v>
      </c>
      <c r="B392" s="718" t="s">
        <v>846</v>
      </c>
      <c r="C392" s="720">
        <v>9450.68</v>
      </c>
      <c r="D392" s="720">
        <v>2769.51</v>
      </c>
      <c r="E392" s="720">
        <v>12220.19</v>
      </c>
      <c r="F392" s="718" t="s">
        <v>2016</v>
      </c>
      <c r="G392" s="718" t="s">
        <v>435</v>
      </c>
      <c r="H392" s="673"/>
      <c r="I392" s="672"/>
      <c r="J392" s="672"/>
      <c r="K392" s="672"/>
      <c r="L392" s="149" t="str">
        <f t="shared" si="30"/>
        <v>672E</v>
      </c>
      <c r="M392" s="150" t="str">
        <f t="shared" si="31"/>
        <v>C/V - PIECES ENTRETIEN BMW CAMION</v>
      </c>
      <c r="N392" s="151">
        <f>+IF(OR($Q392=Parametres!$G$2,$Q392=Parametres!$G$3),I392,C392)</f>
        <v>9450.68</v>
      </c>
      <c r="O392" s="151">
        <f>+IF(OR($Q392=Parametres!$G$2,$Q392=Parametres!$G$3),J392,D392)</f>
        <v>2769.51</v>
      </c>
      <c r="P392" s="151">
        <f>+IF(OR($Q392=Parametres!$G$2,$Q392=Parametres!$G$3),K392,E392)</f>
        <v>12220.19</v>
      </c>
      <c r="Q392" s="150" t="str">
        <f t="shared" si="32"/>
        <v>6-Coût des ventes</v>
      </c>
      <c r="R392" s="149" t="str">
        <f t="shared" si="33"/>
        <v>472D</v>
      </c>
      <c r="S392" s="150">
        <f t="shared" si="34"/>
        <v>0</v>
      </c>
      <c r="T392" s="152" t="str">
        <f>+VLOOKUP($L392,Data_Validation!$A:$D,1,0)</f>
        <v>672E</v>
      </c>
      <c r="U392" s="152" t="str">
        <f>+VLOOKUP($L392,Data_Validation!$A:$D,3,0)</f>
        <v>pièces</v>
      </c>
      <c r="V392" s="152" t="str">
        <f>+VLOOKUP($L392,Data_Validation!$A:$D,4,0)</f>
        <v>P/A Garantie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1615</v>
      </c>
      <c r="B393" s="718" t="s">
        <v>786</v>
      </c>
      <c r="C393" s="720">
        <v>0</v>
      </c>
      <c r="D393" s="720">
        <v>294.35000000000002</v>
      </c>
      <c r="E393" s="720">
        <v>294.35000000000002</v>
      </c>
      <c r="F393" s="718" t="s">
        <v>2016</v>
      </c>
      <c r="G393" s="718" t="s">
        <v>435</v>
      </c>
      <c r="H393" s="673"/>
      <c r="I393" s="673"/>
      <c r="J393" s="673"/>
      <c r="K393" s="673"/>
      <c r="L393" s="149" t="str">
        <f t="shared" si="30"/>
        <v>672G</v>
      </c>
      <c r="M393" s="150" t="str">
        <f t="shared" si="31"/>
        <v>C/V - PIECES ENTRETIEN BMW I</v>
      </c>
      <c r="N393" s="151">
        <f>+IF(OR($Q393=Parametres!$G$2,$Q393=Parametres!$G$3),I393,C393)</f>
        <v>0</v>
      </c>
      <c r="O393" s="151">
        <f>+IF(OR($Q393=Parametres!$G$2,$Q393=Parametres!$G$3),J393,D393)</f>
        <v>294.35000000000002</v>
      </c>
      <c r="P393" s="151">
        <f>+IF(OR($Q393=Parametres!$G$2,$Q393=Parametres!$G$3),K393,E393)</f>
        <v>294.35000000000002</v>
      </c>
      <c r="Q393" s="150" t="str">
        <f t="shared" si="32"/>
        <v>6-Coût des ventes</v>
      </c>
      <c r="R393" s="149" t="str">
        <f t="shared" si="33"/>
        <v>472D</v>
      </c>
      <c r="S393" s="150">
        <f t="shared" si="34"/>
        <v>0</v>
      </c>
      <c r="T393" s="152" t="str">
        <f>+VLOOKUP($L393,Data_Validation!$A:$D,1,0)</f>
        <v>672G</v>
      </c>
      <c r="U393" s="152" t="str">
        <f>+VLOOKUP($L393,Data_Validation!$A:$D,3,0)</f>
        <v>pièces</v>
      </c>
      <c r="V393" s="152" t="str">
        <f>+VLOOKUP($L393,Data_Validation!$A:$D,4,0)</f>
        <v>P/A Garantie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1035</v>
      </c>
      <c r="B394" s="718" t="s">
        <v>677</v>
      </c>
      <c r="C394" s="720">
        <v>16506.63</v>
      </c>
      <c r="D394" s="720">
        <v>722.1</v>
      </c>
      <c r="E394" s="720">
        <v>17228.73</v>
      </c>
      <c r="F394" s="718" t="s">
        <v>2016</v>
      </c>
      <c r="G394" s="718" t="s">
        <v>1097</v>
      </c>
      <c r="H394" s="673"/>
      <c r="I394" s="672"/>
      <c r="J394" s="672"/>
      <c r="K394" s="672"/>
      <c r="L394" s="149" t="str">
        <f t="shared" si="30"/>
        <v>672H</v>
      </c>
      <c r="M394" s="150" t="str">
        <f t="shared" si="31"/>
        <v>C/V - PIECES GARANTIE BMW I</v>
      </c>
      <c r="N394" s="151">
        <f>+IF(OR($Q394=Parametres!$G$2,$Q394=Parametres!$G$3),I394,C394)</f>
        <v>16506.63</v>
      </c>
      <c r="O394" s="151">
        <f>+IF(OR($Q394=Parametres!$G$2,$Q394=Parametres!$G$3),J394,D394)</f>
        <v>722.1</v>
      </c>
      <c r="P394" s="151">
        <f>+IF(OR($Q394=Parametres!$G$2,$Q394=Parametres!$G$3),K394,E394)</f>
        <v>17228.73</v>
      </c>
      <c r="Q394" s="150" t="str">
        <f t="shared" si="32"/>
        <v>6-Coût des ventes</v>
      </c>
      <c r="R394" s="149" t="str">
        <f t="shared" si="33"/>
        <v>472A</v>
      </c>
      <c r="S394" s="150">
        <f t="shared" si="34"/>
        <v>0</v>
      </c>
      <c r="T394" s="152" t="str">
        <f>+VLOOKUP($L394,Data_Validation!$A:$D,1,0)</f>
        <v>672H</v>
      </c>
      <c r="U394" s="152" t="str">
        <f>+VLOOKUP($L394,Data_Validation!$A:$D,3,0)</f>
        <v>pièces</v>
      </c>
      <c r="V394" s="152" t="str">
        <f>+VLOOKUP($L394,Data_Validation!$A:$D,4,0)</f>
        <v>P/A Garantie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1755</v>
      </c>
      <c r="B395" s="671" t="s">
        <v>1756</v>
      </c>
      <c r="C395" s="672">
        <v>12755.02</v>
      </c>
      <c r="D395" s="672">
        <v>6998.89</v>
      </c>
      <c r="E395" s="672">
        <v>19753.91</v>
      </c>
      <c r="F395" s="671" t="s">
        <v>2016</v>
      </c>
      <c r="G395" s="671" t="s">
        <v>1133</v>
      </c>
      <c r="H395" s="666"/>
      <c r="I395" s="665"/>
      <c r="J395" s="665"/>
      <c r="K395" s="665"/>
      <c r="L395" s="149" t="str">
        <f t="shared" si="30"/>
        <v>673A</v>
      </c>
      <c r="M395" s="150" t="str">
        <f t="shared" si="31"/>
        <v>C/V - PIECES INTERNE BMW AUTO</v>
      </c>
      <c r="N395" s="151">
        <f>+IF(OR($Q395=Parametres!$G$2,$Q395=Parametres!$G$3),I395,C395)</f>
        <v>12755.02</v>
      </c>
      <c r="O395" s="151">
        <f>+IF(OR($Q395=Parametres!$G$2,$Q395=Parametres!$G$3),J395,D395)</f>
        <v>6998.89</v>
      </c>
      <c r="P395" s="151">
        <f>+IF(OR($Q395=Parametres!$G$2,$Q395=Parametres!$G$3),K395,E395)</f>
        <v>19753.91</v>
      </c>
      <c r="Q395" s="150" t="str">
        <f t="shared" si="32"/>
        <v>6-Coût des ventes</v>
      </c>
      <c r="R395" s="149" t="str">
        <f t="shared" si="33"/>
        <v>473A</v>
      </c>
      <c r="S395" s="150">
        <f t="shared" si="34"/>
        <v>0</v>
      </c>
      <c r="T395" s="152" t="str">
        <f>+VLOOKUP($L395,Data_Validation!$A:$D,1,0)</f>
        <v>673A</v>
      </c>
      <c r="U395" s="152" t="str">
        <f>+VLOOKUP($L395,Data_Validation!$A:$D,3,0)</f>
        <v>pièces</v>
      </c>
      <c r="V395" s="152" t="str">
        <f>+VLOOKUP($L395,Data_Validation!$A:$D,4,0)</f>
        <v>Ventes Internes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1799</v>
      </c>
      <c r="B396" s="718" t="s">
        <v>910</v>
      </c>
      <c r="C396" s="719">
        <v>7700.6</v>
      </c>
      <c r="D396" s="719">
        <v>4611.74</v>
      </c>
      <c r="E396" s="719">
        <v>12312.34</v>
      </c>
      <c r="F396" s="718" t="s">
        <v>2016</v>
      </c>
      <c r="G396" s="718" t="s">
        <v>1133</v>
      </c>
      <c r="H396" s="719"/>
      <c r="I396" s="720"/>
      <c r="J396" s="720"/>
      <c r="K396" s="720"/>
      <c r="L396" s="149" t="str">
        <f t="shared" si="30"/>
        <v>673B</v>
      </c>
      <c r="M396" s="150" t="str">
        <f t="shared" si="31"/>
        <v>C/V - PIECES INTERNE BMW CAMION</v>
      </c>
      <c r="N396" s="151">
        <f>+IF(OR($Q396=Parametres!$G$2,$Q396=Parametres!$G$3),I396,C396)</f>
        <v>7700.6</v>
      </c>
      <c r="O396" s="151">
        <f>+IF(OR($Q396=Parametres!$G$2,$Q396=Parametres!$G$3),J396,D396)</f>
        <v>4611.74</v>
      </c>
      <c r="P396" s="151">
        <f>+IF(OR($Q396=Parametres!$G$2,$Q396=Parametres!$G$3),K396,E396)</f>
        <v>12312.34</v>
      </c>
      <c r="Q396" s="150" t="str">
        <f t="shared" si="32"/>
        <v>6-Coût des ventes</v>
      </c>
      <c r="R396" s="149" t="str">
        <f t="shared" si="33"/>
        <v>473A</v>
      </c>
      <c r="S396" s="150">
        <f t="shared" si="34"/>
        <v>0</v>
      </c>
      <c r="T396" s="152" t="str">
        <f>+VLOOKUP($L396,Data_Validation!$A:$D,1,0)</f>
        <v>673B</v>
      </c>
      <c r="U396" s="152" t="str">
        <f>+VLOOKUP($L396,Data_Validation!$A:$D,3,0)</f>
        <v>pièces</v>
      </c>
      <c r="V396" s="152" t="str">
        <f>+VLOOKUP($L396,Data_Validation!$A:$D,4,0)</f>
        <v>Ventes Internes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678</v>
      </c>
      <c r="B397" s="671" t="s">
        <v>679</v>
      </c>
      <c r="C397" s="672">
        <v>767.58</v>
      </c>
      <c r="D397" s="672">
        <v>1349.52</v>
      </c>
      <c r="E397" s="672">
        <v>2117.1</v>
      </c>
      <c r="F397" s="671" t="s">
        <v>2016</v>
      </c>
      <c r="G397" s="671" t="s">
        <v>1133</v>
      </c>
      <c r="H397" s="666"/>
      <c r="I397" s="665"/>
      <c r="J397" s="665"/>
      <c r="K397" s="665"/>
      <c r="L397" s="149" t="str">
        <f t="shared" si="30"/>
        <v>673D</v>
      </c>
      <c r="M397" s="150" t="str">
        <f t="shared" si="31"/>
        <v>C/V - PIECES INTERNE BMW I</v>
      </c>
      <c r="N397" s="151">
        <f>+IF(OR($Q397=Parametres!$G$2,$Q397=Parametres!$G$3),I397,C397)</f>
        <v>767.58</v>
      </c>
      <c r="O397" s="151">
        <f>+IF(OR($Q397=Parametres!$G$2,$Q397=Parametres!$G$3),J397,D397)</f>
        <v>1349.52</v>
      </c>
      <c r="P397" s="151">
        <f>+IF(OR($Q397=Parametres!$G$2,$Q397=Parametres!$G$3),K397,E397)</f>
        <v>2117.1</v>
      </c>
      <c r="Q397" s="150" t="str">
        <f t="shared" si="32"/>
        <v>6-Coût des ventes</v>
      </c>
      <c r="R397" s="149" t="str">
        <f t="shared" si="33"/>
        <v>473A</v>
      </c>
      <c r="S397" s="150">
        <f t="shared" si="34"/>
        <v>0</v>
      </c>
      <c r="T397" s="152" t="str">
        <f>+VLOOKUP($L397,Data_Validation!$A:$D,1,0)</f>
        <v>673D</v>
      </c>
      <c r="U397" s="152" t="str">
        <f>+VLOOKUP($L397,Data_Validation!$A:$D,3,0)</f>
        <v>pièces</v>
      </c>
      <c r="V397" s="152" t="str">
        <f>+VLOOKUP($L397,Data_Validation!$A:$D,4,0)</f>
        <v>Ventes Internes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1808</v>
      </c>
      <c r="B398" s="718" t="s">
        <v>1809</v>
      </c>
      <c r="C398" s="720">
        <v>27895.5</v>
      </c>
      <c r="D398" s="720">
        <v>15233.52</v>
      </c>
      <c r="E398" s="720">
        <v>43129.02</v>
      </c>
      <c r="F398" s="718" t="s">
        <v>2016</v>
      </c>
      <c r="G398" s="718" t="s">
        <v>1119</v>
      </c>
      <c r="H398" s="673"/>
      <c r="I398" s="672"/>
      <c r="J398" s="672"/>
      <c r="K398" s="672"/>
      <c r="L398" s="149" t="str">
        <f t="shared" si="30"/>
        <v>674A</v>
      </c>
      <c r="M398" s="150" t="str">
        <f t="shared" si="31"/>
        <v>C/V - PIECES COMPTOIR BMW AUTO</v>
      </c>
      <c r="N398" s="151">
        <f>+IF(OR($Q398=Parametres!$G$2,$Q398=Parametres!$G$3),I398,C398)</f>
        <v>27895.5</v>
      </c>
      <c r="O398" s="151">
        <f>+IF(OR($Q398=Parametres!$G$2,$Q398=Parametres!$G$3),J398,D398)</f>
        <v>15233.52</v>
      </c>
      <c r="P398" s="151">
        <f>+IF(OR($Q398=Parametres!$G$2,$Q398=Parametres!$G$3),K398,E398)</f>
        <v>43129.02</v>
      </c>
      <c r="Q398" s="150" t="str">
        <f t="shared" si="32"/>
        <v>6-Coût des ventes</v>
      </c>
      <c r="R398" s="149" t="str">
        <f t="shared" si="33"/>
        <v>474A</v>
      </c>
      <c r="S398" s="150">
        <f t="shared" si="34"/>
        <v>0</v>
      </c>
      <c r="T398" s="152" t="str">
        <f>+VLOOKUP($L398,Data_Validation!$A:$D,1,0)</f>
        <v>674A</v>
      </c>
      <c r="U398" s="152" t="str">
        <f>+VLOOKUP($L398,Data_Validation!$A:$D,3,0)</f>
        <v>pièces</v>
      </c>
      <c r="V398" s="152" t="str">
        <f>+VLOOKUP($L398,Data_Validation!$A:$D,4,0)</f>
        <v>Ventes Détails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1700</v>
      </c>
      <c r="B399" s="718" t="s">
        <v>875</v>
      </c>
      <c r="C399" s="720">
        <v>1358.22</v>
      </c>
      <c r="D399" s="720">
        <v>787.82</v>
      </c>
      <c r="E399" s="720">
        <v>2146.04</v>
      </c>
      <c r="F399" s="718" t="s">
        <v>2016</v>
      </c>
      <c r="G399" s="718" t="s">
        <v>1119</v>
      </c>
      <c r="H399" s="673"/>
      <c r="I399" s="672"/>
      <c r="J399" s="672"/>
      <c r="K399" s="672"/>
      <c r="L399" s="149" t="str">
        <f t="shared" si="30"/>
        <v>674D</v>
      </c>
      <c r="M399" s="150" t="str">
        <f t="shared" si="31"/>
        <v>C/V - PIECES COMP. BMW LIFESTYLE</v>
      </c>
      <c r="N399" s="151">
        <f>+IF(OR($Q399=Parametres!$G$2,$Q399=Parametres!$G$3),I399,C399)</f>
        <v>1358.22</v>
      </c>
      <c r="O399" s="151">
        <f>+IF(OR($Q399=Parametres!$G$2,$Q399=Parametres!$G$3),J399,D399)</f>
        <v>787.82</v>
      </c>
      <c r="P399" s="151">
        <f>+IF(OR($Q399=Parametres!$G$2,$Q399=Parametres!$G$3),K399,E399)</f>
        <v>2146.04</v>
      </c>
      <c r="Q399" s="150" t="str">
        <f t="shared" si="32"/>
        <v>6-Coût des ventes</v>
      </c>
      <c r="R399" s="149" t="str">
        <f t="shared" si="33"/>
        <v>474A</v>
      </c>
      <c r="S399" s="150">
        <f t="shared" si="34"/>
        <v>0</v>
      </c>
      <c r="T399" s="152" t="str">
        <f>+VLOOKUP($L399,Data_Validation!$A:$D,1,0)</f>
        <v>674D</v>
      </c>
      <c r="U399" s="152" t="str">
        <f>+VLOOKUP($L399,Data_Validation!$A:$D,3,0)</f>
        <v>pièces</v>
      </c>
      <c r="V399" s="152" t="str">
        <f>+VLOOKUP($L399,Data_Validation!$A:$D,4,0)</f>
        <v>Ventes Détails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1801</v>
      </c>
      <c r="B400" s="718" t="s">
        <v>970</v>
      </c>
      <c r="C400" s="720">
        <v>21199.73</v>
      </c>
      <c r="D400" s="720">
        <v>5887.62</v>
      </c>
      <c r="E400" s="720">
        <v>27087.35</v>
      </c>
      <c r="F400" s="718" t="s">
        <v>2016</v>
      </c>
      <c r="G400" s="718" t="s">
        <v>1119</v>
      </c>
      <c r="H400" s="673"/>
      <c r="I400" s="672"/>
      <c r="J400" s="672"/>
      <c r="K400" s="672"/>
      <c r="L400" s="149" t="str">
        <f t="shared" si="30"/>
        <v>674E</v>
      </c>
      <c r="M400" s="150" t="str">
        <f t="shared" si="31"/>
        <v>C/V - PIECES COMP. BMW ACCESSOIRE</v>
      </c>
      <c r="N400" s="151">
        <f>+IF(OR($Q400=Parametres!$G$2,$Q400=Parametres!$G$3),I400,C400)</f>
        <v>21199.73</v>
      </c>
      <c r="O400" s="151">
        <f>+IF(OR($Q400=Parametres!$G$2,$Q400=Parametres!$G$3),J400,D400)</f>
        <v>5887.62</v>
      </c>
      <c r="P400" s="151">
        <f>+IF(OR($Q400=Parametres!$G$2,$Q400=Parametres!$G$3),K400,E400)</f>
        <v>27087.35</v>
      </c>
      <c r="Q400" s="150" t="str">
        <f t="shared" si="32"/>
        <v>6-Coût des ventes</v>
      </c>
      <c r="R400" s="149" t="str">
        <f t="shared" si="33"/>
        <v>474A</v>
      </c>
      <c r="S400" s="150">
        <f t="shared" si="34"/>
        <v>0</v>
      </c>
      <c r="T400" s="152" t="str">
        <f>+VLOOKUP($L400,Data_Validation!$A:$D,1,0)</f>
        <v>674E</v>
      </c>
      <c r="U400" s="152" t="str">
        <f>+VLOOKUP($L400,Data_Validation!$A:$D,3,0)</f>
        <v>pièces</v>
      </c>
      <c r="V400" s="152" t="str">
        <f>+VLOOKUP($L400,Data_Validation!$A:$D,4,0)</f>
        <v>Ventes Détails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1681</v>
      </c>
      <c r="B401" s="718" t="s">
        <v>1682</v>
      </c>
      <c r="C401" s="720">
        <v>105147.11</v>
      </c>
      <c r="D401" s="720">
        <v>39207.11</v>
      </c>
      <c r="E401" s="720">
        <v>144354.22</v>
      </c>
      <c r="F401" s="718" t="s">
        <v>2016</v>
      </c>
      <c r="G401" s="718" t="s">
        <v>1168</v>
      </c>
      <c r="H401" s="673"/>
      <c r="I401" s="672"/>
      <c r="J401" s="672"/>
      <c r="K401" s="672"/>
      <c r="L401" s="149" t="str">
        <f t="shared" si="30"/>
        <v>675A</v>
      </c>
      <c r="M401" s="150" t="str">
        <f t="shared" si="31"/>
        <v>C/V - PIECES GROS BMW AUTO</v>
      </c>
      <c r="N401" s="151">
        <f>+IF(OR($Q401=Parametres!$G$2,$Q401=Parametres!$G$3),I401,C401)</f>
        <v>105147.11</v>
      </c>
      <c r="O401" s="151">
        <f>+IF(OR($Q401=Parametres!$G$2,$Q401=Parametres!$G$3),J401,D401)</f>
        <v>39207.11</v>
      </c>
      <c r="P401" s="151">
        <f>+IF(OR($Q401=Parametres!$G$2,$Q401=Parametres!$G$3),K401,E401)</f>
        <v>144354.22</v>
      </c>
      <c r="Q401" s="150" t="str">
        <f t="shared" si="32"/>
        <v>6-Coût des ventes</v>
      </c>
      <c r="R401" s="149" t="str">
        <f t="shared" si="33"/>
        <v>475A</v>
      </c>
      <c r="S401" s="150">
        <f t="shared" si="34"/>
        <v>0</v>
      </c>
      <c r="T401" s="152" t="str">
        <f>+VLOOKUP($L401,Data_Validation!$A:$D,1,0)</f>
        <v>675A</v>
      </c>
      <c r="U401" s="152" t="str">
        <f>+VLOOKUP($L401,Data_Validation!$A:$D,3,0)</f>
        <v>pièces</v>
      </c>
      <c r="V401" s="152" t="str">
        <f>+VLOOKUP($L401,Data_Validation!$A:$D,4,0)</f>
        <v>Ventes de Gros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2867</v>
      </c>
      <c r="B402" s="671" t="s">
        <v>2859</v>
      </c>
      <c r="C402" s="672">
        <v>5699.35</v>
      </c>
      <c r="D402" s="672">
        <v>981.18</v>
      </c>
      <c r="E402" s="672">
        <v>6680.53</v>
      </c>
      <c r="F402" s="671" t="s">
        <v>2016</v>
      </c>
      <c r="G402" s="671" t="s">
        <v>2905</v>
      </c>
      <c r="H402" s="666"/>
      <c r="I402" s="665"/>
      <c r="J402" s="665"/>
      <c r="K402" s="665"/>
      <c r="L402" s="149" t="str">
        <f t="shared" si="30"/>
        <v>675L</v>
      </c>
      <c r="M402" s="150" t="str">
        <f t="shared" si="31"/>
        <v>C/V - RISTOURNES VENTES WHOLESALES</v>
      </c>
      <c r="N402" s="151">
        <f>+IF(OR($Q402=Parametres!$G$2,$Q402=Parametres!$G$3),I402,C402)</f>
        <v>5699.35</v>
      </c>
      <c r="O402" s="151">
        <f>+IF(OR($Q402=Parametres!$G$2,$Q402=Parametres!$G$3),J402,D402)</f>
        <v>981.18</v>
      </c>
      <c r="P402" s="151">
        <f>+IF(OR($Q402=Parametres!$G$2,$Q402=Parametres!$G$3),K402,E402)</f>
        <v>6680.53</v>
      </c>
      <c r="Q402" s="150" t="str">
        <f t="shared" si="32"/>
        <v>6-Coût des ventes</v>
      </c>
      <c r="R402" s="149" t="str">
        <f t="shared" si="33"/>
        <v>675</v>
      </c>
      <c r="S402" s="150">
        <f t="shared" si="34"/>
        <v>0</v>
      </c>
      <c r="T402" s="152" t="str">
        <f>+VLOOKUP($L402,Data_Validation!$A:$D,1,0)</f>
        <v>675L</v>
      </c>
      <c r="U402" s="152" t="str">
        <f>+VLOOKUP($L402,Data_Validation!$A:$D,3,0)</f>
        <v>Pièces</v>
      </c>
      <c r="V402" s="152" t="str">
        <f>+VLOOKUP($L402,Data_Validation!$A:$D,4,0)</f>
        <v>Ventes de Gros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1205</v>
      </c>
      <c r="B403" s="671" t="s">
        <v>1206</v>
      </c>
      <c r="C403" s="672">
        <v>-22913.9</v>
      </c>
      <c r="D403" s="672">
        <v>-1524.55</v>
      </c>
      <c r="E403" s="672">
        <v>-24438.45</v>
      </c>
      <c r="F403" s="671" t="s">
        <v>2016</v>
      </c>
      <c r="G403" s="671" t="s">
        <v>2255</v>
      </c>
      <c r="H403" s="666"/>
      <c r="I403" s="665"/>
      <c r="J403" s="665"/>
      <c r="K403" s="665"/>
      <c r="L403" s="149" t="str">
        <f t="shared" si="30"/>
        <v>677A</v>
      </c>
      <c r="M403" s="150" t="str">
        <f t="shared" si="31"/>
        <v>C/V - RABAIS ACHAT VOLUME BMW AUTO</v>
      </c>
      <c r="N403" s="151">
        <f>+IF(OR($Q403=Parametres!$G$2,$Q403=Parametres!$G$3),I403,C403)</f>
        <v>-22913.9</v>
      </c>
      <c r="O403" s="151">
        <f>+IF(OR($Q403=Parametres!$G$2,$Q403=Parametres!$G$3),J403,D403)</f>
        <v>-1524.55</v>
      </c>
      <c r="P403" s="151">
        <f>+IF(OR($Q403=Parametres!$G$2,$Q403=Parametres!$G$3),K403,E403)</f>
        <v>-24438.45</v>
      </c>
      <c r="Q403" s="150" t="str">
        <f t="shared" si="32"/>
        <v>6-Coût des ventes</v>
      </c>
      <c r="R403" s="149" t="str">
        <f t="shared" si="33"/>
        <v>477</v>
      </c>
      <c r="S403" s="150">
        <f t="shared" si="34"/>
        <v>0</v>
      </c>
      <c r="T403" s="152" t="str">
        <f>+VLOOKUP($L403,Data_Validation!$A:$D,1,0)</f>
        <v>677A</v>
      </c>
      <c r="U403" s="152" t="str">
        <f>+VLOOKUP($L403,Data_Validation!$A:$D,3,0)</f>
        <v>pièces</v>
      </c>
      <c r="V403" s="152" t="str">
        <f>+VLOOKUP($L403,Data_Validation!$A:$D,4,0)</f>
        <v>Escomptes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2531</v>
      </c>
      <c r="B404" s="718" t="s">
        <v>2532</v>
      </c>
      <c r="C404" s="720">
        <v>0</v>
      </c>
      <c r="D404" s="720">
        <v>135444.22</v>
      </c>
      <c r="E404" s="720">
        <v>135444.22</v>
      </c>
      <c r="F404" s="718" t="s">
        <v>2016</v>
      </c>
      <c r="G404" s="718" t="s">
        <v>2528</v>
      </c>
      <c r="H404" s="673"/>
      <c r="I404" s="673"/>
      <c r="J404" s="673"/>
      <c r="K404" s="673"/>
      <c r="L404" s="149" t="str">
        <f t="shared" si="30"/>
        <v>680C</v>
      </c>
      <c r="M404" s="150" t="str">
        <f t="shared" si="31"/>
        <v>C/V - X7 M60i</v>
      </c>
      <c r="N404" s="151">
        <f>+IF(OR($Q404=Parametres!$G$2,$Q404=Parametres!$G$3),I404,C404)</f>
        <v>0</v>
      </c>
      <c r="O404" s="504">
        <f>+IF(OR($Q404=Parametres!$G$2,$Q404=Parametres!$G$3),J404,D404)</f>
        <v>135444.22</v>
      </c>
      <c r="P404" s="151">
        <f>+IF(OR($Q404=Parametres!$G$2,$Q404=Parametres!$G$3),K404,E404)</f>
        <v>135444.22</v>
      </c>
      <c r="Q404" s="150" t="str">
        <f t="shared" si="32"/>
        <v>6-Coût des ventes</v>
      </c>
      <c r="R404" s="149" t="str">
        <f t="shared" si="33"/>
        <v>480C</v>
      </c>
      <c r="S404" s="150">
        <f t="shared" si="34"/>
        <v>0</v>
      </c>
      <c r="T404" s="152" t="str">
        <f>+VLOOKUP($L404,Data_Validation!$A:$D,1,0)</f>
        <v>680C</v>
      </c>
      <c r="U404" s="152" t="str">
        <f>+VLOOKUP($L404,Data_Validation!$A:$D,3,0)</f>
        <v>Véhicules neufs</v>
      </c>
      <c r="V404" s="152" t="str">
        <f>+VLOOKUP($L404,Data_Validation!$A:$D,4,0)</f>
        <v>Camions détail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2863</v>
      </c>
      <c r="B405" s="718" t="s">
        <v>2868</v>
      </c>
      <c r="C405" s="720">
        <v>235559.82</v>
      </c>
      <c r="D405" s="720">
        <v>0</v>
      </c>
      <c r="E405" s="720">
        <v>235559.82</v>
      </c>
      <c r="F405" s="718" t="s">
        <v>2016</v>
      </c>
      <c r="G405" s="718" t="s">
        <v>2533</v>
      </c>
      <c r="H405" s="609"/>
      <c r="I405" s="608"/>
      <c r="J405" s="608"/>
      <c r="K405" s="608"/>
      <c r="L405" s="149" t="str">
        <f t="shared" si="30"/>
        <v>681A</v>
      </c>
      <c r="M405" s="150" t="str">
        <f t="shared" si="31"/>
        <v>XM LABEL</v>
      </c>
      <c r="N405" s="151">
        <f>+IF(OR($Q405=Parametres!$G$2,$Q405=Parametres!$G$3),I405,C405)</f>
        <v>235559.82</v>
      </c>
      <c r="O405" s="151">
        <f>+IF(OR($Q405=Parametres!$G$2,$Q405=Parametres!$G$3),J405,D405)</f>
        <v>0</v>
      </c>
      <c r="P405" s="151">
        <f>+IF(OR($Q405=Parametres!$G$2,$Q405=Parametres!$G$3),K405,E405)</f>
        <v>235559.82</v>
      </c>
      <c r="Q405" s="150" t="str">
        <f t="shared" si="32"/>
        <v>6-Coût des ventes</v>
      </c>
      <c r="R405" s="149" t="str">
        <f t="shared" si="33"/>
        <v>681</v>
      </c>
      <c r="S405" s="150">
        <f t="shared" si="34"/>
        <v>0</v>
      </c>
      <c r="T405" s="152" t="str">
        <f>+VLOOKUP($L405,Data_Validation!$A:$D,1,0)</f>
        <v>681A</v>
      </c>
      <c r="U405" s="152" t="str">
        <f>+VLOOKUP($L405,Data_Validation!$A:$D,3,0)</f>
        <v>Véhicules neufs</v>
      </c>
      <c r="V405" s="152" t="str">
        <f>+VLOOKUP($L405,Data_Validation!$A:$D,4,0)</f>
        <v>Camions détail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971</v>
      </c>
      <c r="B406" s="718" t="s">
        <v>973</v>
      </c>
      <c r="C406" s="720">
        <v>53550.66</v>
      </c>
      <c r="D406" s="720">
        <v>85943.86</v>
      </c>
      <c r="E406" s="720">
        <v>139494.51999999999</v>
      </c>
      <c r="F406" s="718" t="s">
        <v>2016</v>
      </c>
      <c r="G406" s="718" t="s">
        <v>418</v>
      </c>
      <c r="H406" s="666"/>
      <c r="I406" s="665"/>
      <c r="J406" s="665"/>
      <c r="K406" s="665"/>
      <c r="L406" s="149" t="str">
        <f t="shared" si="30"/>
        <v>688A</v>
      </c>
      <c r="M406" s="150" t="str">
        <f t="shared" si="31"/>
        <v>C/V - PNEUS</v>
      </c>
      <c r="N406" s="151">
        <f>+IF(OR($Q406=Parametres!$G$2,$Q406=Parametres!$G$3),I406,C406)</f>
        <v>53550.66</v>
      </c>
      <c r="O406" s="151">
        <f>+IF(OR($Q406=Parametres!$G$2,$Q406=Parametres!$G$3),J406,D406)</f>
        <v>85943.86</v>
      </c>
      <c r="P406" s="151">
        <f>+IF(OR($Q406=Parametres!$G$2,$Q406=Parametres!$G$3),K406,E406)</f>
        <v>139494.51999999999</v>
      </c>
      <c r="Q406" s="150" t="str">
        <f t="shared" si="32"/>
        <v>6-Coût des ventes</v>
      </c>
      <c r="R406" s="149" t="str">
        <f t="shared" si="33"/>
        <v>488A</v>
      </c>
      <c r="S406" s="150">
        <f t="shared" si="34"/>
        <v>0</v>
      </c>
      <c r="T406" s="152" t="str">
        <f>+VLOOKUP($L406,Data_Validation!$A:$D,1,0)</f>
        <v>688A</v>
      </c>
      <c r="U406" s="152" t="str">
        <f>+VLOOKUP($L406,Data_Validation!$A:$D,3,0)</f>
        <v>pièces</v>
      </c>
      <c r="V406" s="152" t="str">
        <f>+VLOOKUP($L406,Data_Validation!$A:$D,4,0)</f>
        <v>Ventes Pneus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1764</v>
      </c>
      <c r="B407" s="718" t="s">
        <v>928</v>
      </c>
      <c r="C407" s="719">
        <v>6944.56</v>
      </c>
      <c r="D407" s="719">
        <v>3156.64</v>
      </c>
      <c r="E407" s="719">
        <v>10101.200000000001</v>
      </c>
      <c r="F407" s="718" t="s">
        <v>2016</v>
      </c>
      <c r="G407" s="718" t="s">
        <v>446</v>
      </c>
      <c r="H407" s="719"/>
      <c r="I407" s="720"/>
      <c r="J407" s="720"/>
      <c r="K407" s="720"/>
      <c r="L407" s="149" t="str">
        <f t="shared" si="30"/>
        <v>689A</v>
      </c>
      <c r="M407" s="150" t="str">
        <f t="shared" si="31"/>
        <v>C/V - HUILES &amp; GRAISSES</v>
      </c>
      <c r="N407" s="151">
        <f>+IF(OR($Q407=Parametres!$G$2,$Q407=Parametres!$G$3),I407,C407)</f>
        <v>6944.56</v>
      </c>
      <c r="O407" s="151">
        <f>+IF(OR($Q407=Parametres!$G$2,$Q407=Parametres!$G$3),J407,D407)</f>
        <v>3156.64</v>
      </c>
      <c r="P407" s="151">
        <f>+IF(OR($Q407=Parametres!$G$2,$Q407=Parametres!$G$3),K407,E407)</f>
        <v>10101.200000000001</v>
      </c>
      <c r="Q407" s="150" t="str">
        <f t="shared" si="32"/>
        <v>6-Coût des ventes</v>
      </c>
      <c r="R407" s="149" t="str">
        <f t="shared" si="33"/>
        <v>489A</v>
      </c>
      <c r="S407" s="150">
        <f t="shared" si="34"/>
        <v>0</v>
      </c>
      <c r="T407" s="152" t="str">
        <f>+VLOOKUP($L407,Data_Validation!$A:$D,1,0)</f>
        <v>689A</v>
      </c>
      <c r="U407" s="152" t="str">
        <f>+VLOOKUP($L407,Data_Validation!$A:$D,3,0)</f>
        <v>pièces</v>
      </c>
      <c r="V407" s="152" t="str">
        <f>+VLOOKUP($L407,Data_Validation!$A:$D,4,0)</f>
        <v>Huiles et Graisse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1752</v>
      </c>
      <c r="B408" s="718" t="s">
        <v>1753</v>
      </c>
      <c r="C408" s="720">
        <v>9839.0400000000009</v>
      </c>
      <c r="D408" s="720">
        <v>4632.22</v>
      </c>
      <c r="E408" s="720">
        <v>14471.26</v>
      </c>
      <c r="F408" s="718" t="s">
        <v>2016</v>
      </c>
      <c r="G408" s="718" t="s">
        <v>446</v>
      </c>
      <c r="H408" s="673"/>
      <c r="I408" s="672"/>
      <c r="J408" s="672"/>
      <c r="K408" s="672"/>
      <c r="L408" s="149" t="str">
        <f t="shared" si="30"/>
        <v>689B</v>
      </c>
      <c r="M408" s="150" t="str">
        <f t="shared" si="31"/>
        <v>C/V - HUILE &amp; GRAISSE</v>
      </c>
      <c r="N408" s="151">
        <f>+IF(OR($Q408=Parametres!$G$2,$Q408=Parametres!$G$3),I408,C408)</f>
        <v>9839.0400000000009</v>
      </c>
      <c r="O408" s="151">
        <f>+IF(OR($Q408=Parametres!$G$2,$Q408=Parametres!$G$3),J408,D408)</f>
        <v>4632.22</v>
      </c>
      <c r="P408" s="151">
        <f>+IF(OR($Q408=Parametres!$G$2,$Q408=Parametres!$G$3),K408,E408)</f>
        <v>14471.26</v>
      </c>
      <c r="Q408" s="150" t="str">
        <f t="shared" si="32"/>
        <v>6-Coût des ventes</v>
      </c>
      <c r="R408" s="149" t="str">
        <f t="shared" si="33"/>
        <v>489A</v>
      </c>
      <c r="S408" s="150">
        <f t="shared" si="34"/>
        <v>0</v>
      </c>
      <c r="T408" s="152" t="str">
        <f>+VLOOKUP($L408,Data_Validation!$A:$D,1,0)</f>
        <v>689B</v>
      </c>
      <c r="U408" s="152" t="str">
        <f>+VLOOKUP($L408,Data_Validation!$A:$D,3,0)</f>
        <v>pièces</v>
      </c>
      <c r="V408" s="152" t="str">
        <f>+VLOOKUP($L408,Data_Validation!$A:$D,4,0)</f>
        <v>Huiles et Graisse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1235</v>
      </c>
      <c r="B409" s="718" t="s">
        <v>384</v>
      </c>
      <c r="C409" s="720">
        <v>5039.78</v>
      </c>
      <c r="D409" s="720">
        <v>315.52999999999997</v>
      </c>
      <c r="E409" s="720">
        <v>5355.31</v>
      </c>
      <c r="F409" s="718" t="s">
        <v>2016</v>
      </c>
      <c r="G409" s="718" t="s">
        <v>366</v>
      </c>
      <c r="H409" s="673"/>
      <c r="I409" s="672"/>
      <c r="J409" s="672"/>
      <c r="K409" s="672"/>
      <c r="L409" s="149" t="str">
        <f t="shared" si="30"/>
        <v>693</v>
      </c>
      <c r="M409" s="150" t="str">
        <f t="shared" si="31"/>
        <v>C/V - M/O CARROSSERIE BMW</v>
      </c>
      <c r="N409" s="151">
        <f>+IF(OR($Q409=Parametres!$G$2,$Q409=Parametres!$G$3),I409,C409)</f>
        <v>5039.78</v>
      </c>
      <c r="O409" s="151">
        <f>+IF(OR($Q409=Parametres!$G$2,$Q409=Parametres!$G$3),J409,D409)</f>
        <v>315.52999999999997</v>
      </c>
      <c r="P409" s="151">
        <f>+IF(OR($Q409=Parametres!$G$2,$Q409=Parametres!$G$3),K409,E409)</f>
        <v>5355.31</v>
      </c>
      <c r="Q409" s="150" t="str">
        <f t="shared" si="32"/>
        <v>6-Coût des ventes</v>
      </c>
      <c r="R409" s="149" t="str">
        <f t="shared" si="33"/>
        <v>493</v>
      </c>
      <c r="S409" s="150">
        <f t="shared" si="34"/>
        <v>0</v>
      </c>
      <c r="T409" s="152" t="str">
        <f>+VLOOKUP($L409,Data_Validation!$A:$D,1,0)</f>
        <v>693</v>
      </c>
      <c r="U409" s="152" t="str">
        <f>+VLOOKUP($L409,Data_Validation!$A:$D,3,0)</f>
        <v>carrosserie</v>
      </c>
      <c r="V409" s="152" t="str">
        <f>+VLOOKUP($L409,Data_Validation!$A:$D,4,0)</f>
        <v>M/O Sous-traitement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1821</v>
      </c>
      <c r="B410" s="718" t="s">
        <v>964</v>
      </c>
      <c r="C410" s="719">
        <v>51733.24</v>
      </c>
      <c r="D410" s="719">
        <v>37232.949999999997</v>
      </c>
      <c r="E410" s="719">
        <v>88966.19</v>
      </c>
      <c r="F410" s="718" t="s">
        <v>2231</v>
      </c>
      <c r="G410" s="718" t="s">
        <v>2300</v>
      </c>
      <c r="H410" s="719"/>
      <c r="I410" s="720"/>
      <c r="J410" s="720"/>
      <c r="K410" s="720"/>
      <c r="L410" s="149" t="str">
        <f t="shared" si="30"/>
        <v>11A</v>
      </c>
      <c r="M410" s="150" t="str">
        <f t="shared" si="31"/>
        <v>COMM. VENDEURS - NEUF BMW</v>
      </c>
      <c r="N410" s="151">
        <f>+IF(OR($Q410=Parametres!$G$2,$Q410=Parametres!$G$3),I410,C410)</f>
        <v>51733.24</v>
      </c>
      <c r="O410" s="151">
        <f>+IF(OR($Q410=Parametres!$G$2,$Q410=Parametres!$G$3),J410,D410)</f>
        <v>37232.949999999997</v>
      </c>
      <c r="P410" s="151">
        <f>+IF(OR($Q410=Parametres!$G$2,$Q410=Parametres!$G$3),K410,E410)</f>
        <v>88966.19</v>
      </c>
      <c r="Q410" s="150" t="str">
        <f t="shared" si="32"/>
        <v>7-Dépenses</v>
      </c>
      <c r="R410" s="149" t="str">
        <f t="shared" si="33"/>
        <v>11</v>
      </c>
      <c r="S410" s="150">
        <f t="shared" si="34"/>
        <v>0</v>
      </c>
      <c r="T410" s="152" t="str">
        <f>+VLOOKUP($L410,Data_Validation!$A:$D,1,0)</f>
        <v>11A</v>
      </c>
      <c r="U410" s="152" t="str">
        <f>+VLOOKUP($L410,Data_Validation!$A:$D,3,0)</f>
        <v>Véhicules neufs</v>
      </c>
      <c r="V410" s="152" t="str">
        <f>+VLOOKUP($L410,Data_Validation!$A:$D,4,0)</f>
        <v>Comm. vendeurs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1788</v>
      </c>
      <c r="B411" s="718" t="s">
        <v>940</v>
      </c>
      <c r="C411" s="719">
        <v>27480.81</v>
      </c>
      <c r="D411" s="719">
        <v>19262.32</v>
      </c>
      <c r="E411" s="719">
        <v>46743.13</v>
      </c>
      <c r="F411" s="718" t="s">
        <v>2231</v>
      </c>
      <c r="G411" s="718" t="s">
        <v>2300</v>
      </c>
      <c r="H411" s="719"/>
      <c r="I411" s="720"/>
      <c r="J411" s="720"/>
      <c r="K411" s="720"/>
      <c r="L411" s="149" t="str">
        <f t="shared" si="30"/>
        <v>11C</v>
      </c>
      <c r="M411" s="150" t="str">
        <f t="shared" si="31"/>
        <v>COMM. VENDEURS - USAGE BMW</v>
      </c>
      <c r="N411" s="151">
        <f>+IF(OR($Q411=Parametres!$G$2,$Q411=Parametres!$G$3),I411,C411)</f>
        <v>27480.81</v>
      </c>
      <c r="O411" s="151">
        <f>+IF(OR($Q411=Parametres!$G$2,$Q411=Parametres!$G$3),J411,D411)</f>
        <v>19262.32</v>
      </c>
      <c r="P411" s="151">
        <f>+IF(OR($Q411=Parametres!$G$2,$Q411=Parametres!$G$3),K411,E411)</f>
        <v>46743.13</v>
      </c>
      <c r="Q411" s="150" t="str">
        <f t="shared" si="32"/>
        <v>7-Dépenses</v>
      </c>
      <c r="R411" s="149" t="str">
        <f t="shared" si="33"/>
        <v>11</v>
      </c>
      <c r="S411" s="150">
        <f t="shared" si="34"/>
        <v>0</v>
      </c>
      <c r="T411" s="152" t="str">
        <f>+VLOOKUP($L411,Data_Validation!$A:$D,1,0)</f>
        <v>11C</v>
      </c>
      <c r="U411" s="152" t="str">
        <f>+VLOOKUP($L411,Data_Validation!$A:$D,3,0)</f>
        <v>Véhicules usagés</v>
      </c>
      <c r="V411" s="152" t="str">
        <f>+VLOOKUP($L411,Data_Validation!$A:$D,4,0)</f>
        <v>Comm. vendeurs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1779</v>
      </c>
      <c r="B412" s="671" t="s">
        <v>933</v>
      </c>
      <c r="C412" s="672">
        <v>27576.25</v>
      </c>
      <c r="D412" s="672">
        <v>21287.41</v>
      </c>
      <c r="E412" s="672">
        <v>48863.66</v>
      </c>
      <c r="F412" s="671" t="s">
        <v>2231</v>
      </c>
      <c r="G412" s="671" t="s">
        <v>2299</v>
      </c>
      <c r="H412" s="666"/>
      <c r="I412" s="665"/>
      <c r="J412" s="665"/>
      <c r="K412" s="665"/>
      <c r="L412" s="149" t="str">
        <f t="shared" si="30"/>
        <v>12A</v>
      </c>
      <c r="M412" s="150" t="str">
        <f t="shared" si="31"/>
        <v>COMM. F&amp;I - NEUF BMW</v>
      </c>
      <c r="N412" s="151">
        <f>+IF(OR($Q412=Parametres!$G$2,$Q412=Parametres!$G$3),I412,C412)</f>
        <v>27576.25</v>
      </c>
      <c r="O412" s="151">
        <f>+IF(OR($Q412=Parametres!$G$2,$Q412=Parametres!$G$3),J412,D412)</f>
        <v>21287.41</v>
      </c>
      <c r="P412" s="151">
        <f>+IF(OR($Q412=Parametres!$G$2,$Q412=Parametres!$G$3),K412,E412)</f>
        <v>48863.66</v>
      </c>
      <c r="Q412" s="150" t="str">
        <f t="shared" si="32"/>
        <v>7-Dépenses</v>
      </c>
      <c r="R412" s="149" t="str">
        <f t="shared" si="33"/>
        <v>12</v>
      </c>
      <c r="S412" s="150">
        <f t="shared" si="34"/>
        <v>0</v>
      </c>
      <c r="T412" s="152" t="str">
        <f>+VLOOKUP($L412,Data_Validation!$A:$D,1,0)</f>
        <v>12A</v>
      </c>
      <c r="U412" s="152" t="str">
        <f>+VLOOKUP($L412,Data_Validation!$A:$D,3,0)</f>
        <v>Véhicules neufs</v>
      </c>
      <c r="V412" s="152" t="str">
        <f>+VLOOKUP($L412,Data_Validation!$A:$D,4,0)</f>
        <v>Comm. F&amp;I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1754</v>
      </c>
      <c r="B413" s="718" t="s">
        <v>944</v>
      </c>
      <c r="C413" s="720">
        <v>23177.42</v>
      </c>
      <c r="D413" s="720">
        <v>10323.24</v>
      </c>
      <c r="E413" s="720">
        <v>33500.660000000003</v>
      </c>
      <c r="F413" s="718" t="s">
        <v>2231</v>
      </c>
      <c r="G413" s="718" t="s">
        <v>2299</v>
      </c>
      <c r="H413" s="673"/>
      <c r="I413" s="672"/>
      <c r="J413" s="672"/>
      <c r="K413" s="672"/>
      <c r="L413" s="149" t="str">
        <f t="shared" si="30"/>
        <v>12C</v>
      </c>
      <c r="M413" s="150" t="str">
        <f t="shared" si="31"/>
        <v>COMM. F&amp;I - USAGE BMW</v>
      </c>
      <c r="N413" s="151">
        <f>+IF(OR($Q413=Parametres!$G$2,$Q413=Parametres!$G$3),I413,C413)</f>
        <v>23177.42</v>
      </c>
      <c r="O413" s="151">
        <f>+IF(OR($Q413=Parametres!$G$2,$Q413=Parametres!$G$3),J413,D413)</f>
        <v>10323.24</v>
      </c>
      <c r="P413" s="151">
        <f>+IF(OR($Q413=Parametres!$G$2,$Q413=Parametres!$G$3),K413,E413)</f>
        <v>33500.660000000003</v>
      </c>
      <c r="Q413" s="150" t="str">
        <f t="shared" si="32"/>
        <v>7-Dépenses</v>
      </c>
      <c r="R413" s="149" t="str">
        <f t="shared" si="33"/>
        <v>12</v>
      </c>
      <c r="S413" s="150">
        <f t="shared" si="34"/>
        <v>0</v>
      </c>
      <c r="T413" s="152" t="str">
        <f>+VLOOKUP($L413,Data_Validation!$A:$D,1,0)</f>
        <v>12C</v>
      </c>
      <c r="U413" s="152" t="str">
        <f>+VLOOKUP($L413,Data_Validation!$A:$D,3,0)</f>
        <v>Véhicules usagés</v>
      </c>
      <c r="V413" s="152" t="str">
        <f>+VLOOKUP($L413,Data_Validation!$A:$D,4,0)</f>
        <v>Comm. F&amp;I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1742</v>
      </c>
      <c r="B414" s="718" t="s">
        <v>876</v>
      </c>
      <c r="C414" s="720">
        <v>5518.34</v>
      </c>
      <c r="D414" s="720">
        <v>2195.84</v>
      </c>
      <c r="E414" s="720">
        <v>7714.18</v>
      </c>
      <c r="F414" s="718" t="s">
        <v>2231</v>
      </c>
      <c r="G414" s="718" t="s">
        <v>2294</v>
      </c>
      <c r="H414" s="609"/>
      <c r="I414" s="609"/>
      <c r="J414" s="609"/>
      <c r="K414" s="609"/>
      <c r="L414" s="149" t="str">
        <f t="shared" si="30"/>
        <v>13A</v>
      </c>
      <c r="M414" s="150" t="str">
        <f t="shared" si="31"/>
        <v>FRAIS LIVRAISON - NEUF BMW</v>
      </c>
      <c r="N414" s="151">
        <f>+IF(OR($Q414=Parametres!$G$2,$Q414=Parametres!$G$3),I414,C414)</f>
        <v>5518.34</v>
      </c>
      <c r="O414" s="151">
        <f>+IF(OR($Q414=Parametres!$G$2,$Q414=Parametres!$G$3),J414,D414)</f>
        <v>2195.84</v>
      </c>
      <c r="P414" s="151">
        <f>+IF(OR($Q414=Parametres!$G$2,$Q414=Parametres!$G$3),K414,E414)</f>
        <v>7714.18</v>
      </c>
      <c r="Q414" s="150" t="str">
        <f t="shared" si="32"/>
        <v>7-Dépenses</v>
      </c>
      <c r="R414" s="149" t="str">
        <f t="shared" si="33"/>
        <v>13</v>
      </c>
      <c r="S414" s="150">
        <f t="shared" si="34"/>
        <v>0</v>
      </c>
      <c r="T414" s="152" t="str">
        <f>+VLOOKUP($L414,Data_Validation!$A:$D,1,0)</f>
        <v>13A</v>
      </c>
      <c r="U414" s="152" t="str">
        <f>+VLOOKUP($L414,Data_Validation!$A:$D,3,0)</f>
        <v>Véhicules neufs</v>
      </c>
      <c r="V414" s="152" t="str">
        <f>+VLOOKUP($L414,Data_Validation!$A:$D,4,0)</f>
        <v>Frais de livraison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1674</v>
      </c>
      <c r="B415" s="718" t="s">
        <v>858</v>
      </c>
      <c r="C415" s="720">
        <v>3549.01</v>
      </c>
      <c r="D415" s="720">
        <v>1824.39</v>
      </c>
      <c r="E415" s="720">
        <v>5373.4</v>
      </c>
      <c r="F415" s="718" t="s">
        <v>2231</v>
      </c>
      <c r="G415" s="718" t="s">
        <v>2294</v>
      </c>
      <c r="H415" s="666"/>
      <c r="I415" s="665"/>
      <c r="J415" s="665"/>
      <c r="K415" s="665"/>
      <c r="L415" s="149" t="str">
        <f t="shared" si="30"/>
        <v>13C</v>
      </c>
      <c r="M415" s="150" t="str">
        <f t="shared" si="31"/>
        <v>FRAIS LIVRAISON - USAGE BMW</v>
      </c>
      <c r="N415" s="151">
        <f>+IF(OR($Q415=Parametres!$G$2,$Q415=Parametres!$G$3),I415,C415)</f>
        <v>3549.01</v>
      </c>
      <c r="O415" s="151">
        <f>+IF(OR($Q415=Parametres!$G$2,$Q415=Parametres!$G$3),J415,D415)</f>
        <v>1824.39</v>
      </c>
      <c r="P415" s="151">
        <f>+IF(OR($Q415=Parametres!$G$2,$Q415=Parametres!$G$3),K415,E415)</f>
        <v>5373.4</v>
      </c>
      <c r="Q415" s="150" t="str">
        <f t="shared" si="32"/>
        <v>7-Dépenses</v>
      </c>
      <c r="R415" s="149" t="str">
        <f t="shared" si="33"/>
        <v>13</v>
      </c>
      <c r="S415" s="150">
        <f t="shared" si="34"/>
        <v>0</v>
      </c>
      <c r="T415" s="152" t="str">
        <f>+VLOOKUP($L415,Data_Validation!$A:$D,1,0)</f>
        <v>13C</v>
      </c>
      <c r="U415" s="152" t="str">
        <f>+VLOOKUP($L415,Data_Validation!$A:$D,3,0)</f>
        <v>Véhicules usagés</v>
      </c>
      <c r="V415" s="152" t="str">
        <f>+VLOOKUP($L415,Data_Validation!$A:$D,4,0)</f>
        <v>Frais de livraison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390</v>
      </c>
      <c r="B416" s="718" t="s">
        <v>891</v>
      </c>
      <c r="C416" s="720">
        <v>3090.4</v>
      </c>
      <c r="D416" s="720">
        <v>1871.88</v>
      </c>
      <c r="E416" s="720">
        <v>4962.28</v>
      </c>
      <c r="F416" s="718" t="s">
        <v>2231</v>
      </c>
      <c r="G416" s="718" t="s">
        <v>2296</v>
      </c>
      <c r="H416" s="673"/>
      <c r="I416" s="672"/>
      <c r="J416" s="672"/>
      <c r="K416" s="672"/>
      <c r="L416" s="149" t="str">
        <f t="shared" si="30"/>
        <v>14A</v>
      </c>
      <c r="M416" s="150" t="str">
        <f t="shared" si="31"/>
        <v>ENTRETIEN INVENTAIRE NEUF</v>
      </c>
      <c r="N416" s="151">
        <f>+IF(OR($Q416=Parametres!$G$2,$Q416=Parametres!$G$3),I416,C416)</f>
        <v>3090.4</v>
      </c>
      <c r="O416" s="151">
        <f>+IF(OR($Q416=Parametres!$G$2,$Q416=Parametres!$G$3),J416,D416)</f>
        <v>1871.88</v>
      </c>
      <c r="P416" s="151">
        <f>+IF(OR($Q416=Parametres!$G$2,$Q416=Parametres!$G$3),K416,E416)</f>
        <v>4962.28</v>
      </c>
      <c r="Q416" s="150" t="str">
        <f t="shared" si="32"/>
        <v>7-Dépenses</v>
      </c>
      <c r="R416" s="149" t="str">
        <f t="shared" si="33"/>
        <v>14</v>
      </c>
      <c r="S416" s="150">
        <f t="shared" si="34"/>
        <v>0</v>
      </c>
      <c r="T416" s="152" t="str">
        <f>+VLOOKUP($L416,Data_Validation!$A:$D,1,0)</f>
        <v>14A</v>
      </c>
      <c r="U416" s="152" t="str">
        <f>+VLOOKUP($L416,Data_Validation!$A:$D,3,0)</f>
        <v>Véhicules neufs</v>
      </c>
      <c r="V416" s="152" t="str">
        <f>+VLOOKUP($L416,Data_Validation!$A:$D,4,0)</f>
        <v>Entretien stock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391</v>
      </c>
      <c r="B417" s="718" t="s">
        <v>926</v>
      </c>
      <c r="C417" s="719">
        <v>4880.1899999999996</v>
      </c>
      <c r="D417" s="719">
        <v>1819.37</v>
      </c>
      <c r="E417" s="719">
        <v>6699.56</v>
      </c>
      <c r="F417" s="718" t="s">
        <v>2231</v>
      </c>
      <c r="G417" s="718" t="s">
        <v>2296</v>
      </c>
      <c r="H417" s="719"/>
      <c r="I417" s="720"/>
      <c r="J417" s="720"/>
      <c r="K417" s="720"/>
      <c r="L417" s="149" t="str">
        <f t="shared" si="30"/>
        <v>14C</v>
      </c>
      <c r="M417" s="150" t="str">
        <f t="shared" si="31"/>
        <v>ENTRETIEN INVENTAIRE USAGE</v>
      </c>
      <c r="N417" s="151">
        <f>+IF(OR($Q417=Parametres!$G$2,$Q417=Parametres!$G$3),I417,C417)</f>
        <v>4880.1899999999996</v>
      </c>
      <c r="O417" s="151">
        <f>+IF(OR($Q417=Parametres!$G$2,$Q417=Parametres!$G$3),J417,D417)</f>
        <v>1819.37</v>
      </c>
      <c r="P417" s="151">
        <f>+IF(OR($Q417=Parametres!$G$2,$Q417=Parametres!$G$3),K417,E417)</f>
        <v>6699.56</v>
      </c>
      <c r="Q417" s="150" t="str">
        <f t="shared" si="32"/>
        <v>7-Dépenses</v>
      </c>
      <c r="R417" s="149" t="str">
        <f t="shared" si="33"/>
        <v>14</v>
      </c>
      <c r="S417" s="150">
        <f t="shared" si="34"/>
        <v>0</v>
      </c>
      <c r="T417" s="152" t="str">
        <f>+VLOOKUP($L417,Data_Validation!$A:$D,1,0)</f>
        <v>14C</v>
      </c>
      <c r="U417" s="152" t="str">
        <f>+VLOOKUP($L417,Data_Validation!$A:$D,3,0)</f>
        <v>Véhicules usagés</v>
      </c>
      <c r="V417" s="152" t="str">
        <f>+VLOOKUP($L417,Data_Validation!$A:$D,4,0)</f>
        <v>Entretien stock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1135</v>
      </c>
      <c r="B418" s="718" t="s">
        <v>893</v>
      </c>
      <c r="C418" s="719">
        <v>31688.240000000002</v>
      </c>
      <c r="D418" s="719">
        <v>18393.38</v>
      </c>
      <c r="E418" s="719">
        <v>50081.62</v>
      </c>
      <c r="F418" s="718" t="s">
        <v>2231</v>
      </c>
      <c r="G418" s="718" t="s">
        <v>2270</v>
      </c>
      <c r="H418" s="719"/>
      <c r="I418" s="720"/>
      <c r="J418" s="720"/>
      <c r="K418" s="720"/>
      <c r="L418" s="149" t="str">
        <f t="shared" si="30"/>
        <v>16A</v>
      </c>
      <c r="M418" s="150" t="str">
        <f t="shared" si="31"/>
        <v>PUBLICITE - NEUF BMW</v>
      </c>
      <c r="N418" s="151">
        <f>+IF(OR($Q418=Parametres!$G$2,$Q418=Parametres!$G$3),I418,C418)</f>
        <v>31688.240000000002</v>
      </c>
      <c r="O418" s="151">
        <f>+IF(OR($Q418=Parametres!$G$2,$Q418=Parametres!$G$3),J418,D418)</f>
        <v>18393.38</v>
      </c>
      <c r="P418" s="151">
        <f>+IF(OR($Q418=Parametres!$G$2,$Q418=Parametres!$G$3),K418,E418)</f>
        <v>50081.62</v>
      </c>
      <c r="Q418" s="150" t="str">
        <f t="shared" si="32"/>
        <v>7-Dépenses</v>
      </c>
      <c r="R418" s="149" t="str">
        <f t="shared" si="33"/>
        <v>16</v>
      </c>
      <c r="S418" s="150">
        <f t="shared" si="34"/>
        <v>0</v>
      </c>
      <c r="T418" s="152" t="str">
        <f>+VLOOKUP($L418,Data_Validation!$A:$D,1,0)</f>
        <v>16A</v>
      </c>
      <c r="U418" s="152" t="str">
        <f>+VLOOKUP($L418,Data_Validation!$A:$D,3,0)</f>
        <v>Véhicules neufs</v>
      </c>
      <c r="V418" s="152" t="str">
        <f>+VLOOKUP($L418,Data_Validation!$A:$D,4,0)</f>
        <v>Publicité 1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1190</v>
      </c>
      <c r="B419" s="718" t="s">
        <v>917</v>
      </c>
      <c r="C419" s="720">
        <v>23978.86</v>
      </c>
      <c r="D419" s="720">
        <v>8307.32</v>
      </c>
      <c r="E419" s="720">
        <v>32286.18</v>
      </c>
      <c r="F419" s="718" t="s">
        <v>2231</v>
      </c>
      <c r="G419" s="718" t="s">
        <v>2270</v>
      </c>
      <c r="H419" s="673"/>
      <c r="I419" s="672"/>
      <c r="J419" s="672"/>
      <c r="K419" s="672"/>
      <c r="L419" s="149" t="str">
        <f t="shared" si="30"/>
        <v>16C</v>
      </c>
      <c r="M419" s="150" t="str">
        <f t="shared" si="31"/>
        <v>PUBLICITE - USAGE BMW</v>
      </c>
      <c r="N419" s="151">
        <f>+IF(OR($Q419=Parametres!$G$2,$Q419=Parametres!$G$3),I419,C419)</f>
        <v>23978.86</v>
      </c>
      <c r="O419" s="151">
        <f>+IF(OR($Q419=Parametres!$G$2,$Q419=Parametres!$G$3),J419,D419)</f>
        <v>8307.32</v>
      </c>
      <c r="P419" s="151">
        <f>+IF(OR($Q419=Parametres!$G$2,$Q419=Parametres!$G$3),K419,E419)</f>
        <v>32286.18</v>
      </c>
      <c r="Q419" s="150" t="str">
        <f t="shared" si="32"/>
        <v>7-Dépenses</v>
      </c>
      <c r="R419" s="149" t="str">
        <f t="shared" si="33"/>
        <v>16</v>
      </c>
      <c r="S419" s="150">
        <f t="shared" si="34"/>
        <v>0</v>
      </c>
      <c r="T419" s="152" t="str">
        <f>+VLOOKUP($L419,Data_Validation!$A:$D,1,0)</f>
        <v>16C</v>
      </c>
      <c r="U419" s="152" t="str">
        <f>+VLOOKUP($L419,Data_Validation!$A:$D,3,0)</f>
        <v>Véhicules usagés</v>
      </c>
      <c r="V419" s="152" t="str">
        <f>+VLOOKUP($L419,Data_Validation!$A:$D,4,0)</f>
        <v>Publicité 1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1768</v>
      </c>
      <c r="B420" s="718" t="s">
        <v>946</v>
      </c>
      <c r="C420" s="720">
        <v>16552.04</v>
      </c>
      <c r="D420" s="720">
        <v>7062.93</v>
      </c>
      <c r="E420" s="720">
        <v>23614.97</v>
      </c>
      <c r="F420" s="718" t="s">
        <v>2231</v>
      </c>
      <c r="G420" s="718" t="s">
        <v>2270</v>
      </c>
      <c r="H420" s="673"/>
      <c r="I420" s="672"/>
      <c r="J420" s="672"/>
      <c r="K420" s="672"/>
      <c r="L420" s="149" t="str">
        <f t="shared" si="30"/>
        <v>16E</v>
      </c>
      <c r="M420" s="150" t="str">
        <f t="shared" si="31"/>
        <v>PUBLICITE - SERV. BMW</v>
      </c>
      <c r="N420" s="151">
        <f>+IF(OR($Q420=Parametres!$G$2,$Q420=Parametres!$G$3),I420,C420)</f>
        <v>16552.04</v>
      </c>
      <c r="O420" s="151">
        <f>+IF(OR($Q420=Parametres!$G$2,$Q420=Parametres!$G$3),J420,D420)</f>
        <v>7062.93</v>
      </c>
      <c r="P420" s="151">
        <f>+IF(OR($Q420=Parametres!$G$2,$Q420=Parametres!$G$3),K420,E420)</f>
        <v>23614.97</v>
      </c>
      <c r="Q420" s="150" t="str">
        <f t="shared" si="32"/>
        <v>7-Dépenses</v>
      </c>
      <c r="R420" s="149" t="str">
        <f t="shared" si="33"/>
        <v>16</v>
      </c>
      <c r="S420" s="150">
        <f t="shared" si="34"/>
        <v>0</v>
      </c>
      <c r="T420" s="152" t="str">
        <f>+VLOOKUP($L420,Data_Validation!$A:$D,1,0)</f>
        <v>16E</v>
      </c>
      <c r="U420" s="152" t="str">
        <f>+VLOOKUP($L420,Data_Validation!$A:$D,3,0)</f>
        <v>Service</v>
      </c>
      <c r="V420" s="152" t="str">
        <f>+VLOOKUP($L420,Data_Validation!$A:$D,4,0)</f>
        <v>Publicité 2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1724</v>
      </c>
      <c r="B421" s="718" t="s">
        <v>861</v>
      </c>
      <c r="C421" s="719">
        <v>8446.9599999999991</v>
      </c>
      <c r="D421" s="719">
        <v>3548.03</v>
      </c>
      <c r="E421" s="719">
        <v>11994.99</v>
      </c>
      <c r="F421" s="718" t="s">
        <v>2231</v>
      </c>
      <c r="G421" s="718" t="s">
        <v>2270</v>
      </c>
      <c r="H421" s="719"/>
      <c r="I421" s="720"/>
      <c r="J421" s="720"/>
      <c r="K421" s="720"/>
      <c r="L421" s="149" t="str">
        <f t="shared" si="30"/>
        <v>16G</v>
      </c>
      <c r="M421" s="150" t="str">
        <f t="shared" si="31"/>
        <v>PUBLICITE - PIECE BMW</v>
      </c>
      <c r="N421" s="151">
        <f>+IF(OR($Q421=Parametres!$G$2,$Q421=Parametres!$G$3),I421,C421)</f>
        <v>8446.9599999999991</v>
      </c>
      <c r="O421" s="151">
        <f>+IF(OR($Q421=Parametres!$G$2,$Q421=Parametres!$G$3),J421,D421)</f>
        <v>3548.03</v>
      </c>
      <c r="P421" s="151">
        <f>+IF(OR($Q421=Parametres!$G$2,$Q421=Parametres!$G$3),K421,E421)</f>
        <v>11994.99</v>
      </c>
      <c r="Q421" s="150" t="str">
        <f t="shared" si="32"/>
        <v>7-Dépenses</v>
      </c>
      <c r="R421" s="149" t="str">
        <f t="shared" si="33"/>
        <v>16</v>
      </c>
      <c r="S421" s="150">
        <f t="shared" si="34"/>
        <v>0</v>
      </c>
      <c r="T421" s="152" t="str">
        <f>+VLOOKUP($L421,Data_Validation!$A:$D,1,0)</f>
        <v>16G</v>
      </c>
      <c r="U421" s="152" t="str">
        <f>+VLOOKUP($L421,Data_Validation!$A:$D,3,0)</f>
        <v>Pièces</v>
      </c>
      <c r="V421" s="152" t="str">
        <f>+VLOOKUP($L421,Data_Validation!$A:$D,4,0)</f>
        <v>Publicité 2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1454</v>
      </c>
      <c r="B422" s="718" t="s">
        <v>765</v>
      </c>
      <c r="C422" s="720">
        <v>7.5</v>
      </c>
      <c r="D422" s="720">
        <v>12.5</v>
      </c>
      <c r="E422" s="720">
        <v>20</v>
      </c>
      <c r="F422" s="718" t="s">
        <v>2231</v>
      </c>
      <c r="G422" s="718" t="s">
        <v>2270</v>
      </c>
      <c r="H422" s="673"/>
      <c r="I422" s="672"/>
      <c r="J422" s="672"/>
      <c r="K422" s="672"/>
      <c r="L422" s="149" t="str">
        <f t="shared" si="30"/>
        <v>16I</v>
      </c>
      <c r="M422" s="150" t="str">
        <f t="shared" si="31"/>
        <v>PUBLICITE - CARROSSERIE BMW</v>
      </c>
      <c r="N422" s="151">
        <f>+IF(OR($Q422=Parametres!$G$2,$Q422=Parametres!$G$3),I422,C422)</f>
        <v>7.5</v>
      </c>
      <c r="O422" s="504">
        <f>+IF(OR($Q422=Parametres!$G$2,$Q422=Parametres!$G$3),J422,D422)</f>
        <v>12.5</v>
      </c>
      <c r="P422" s="151">
        <f>+IF(OR($Q422=Parametres!$G$2,$Q422=Parametres!$G$3),K422,E422)</f>
        <v>20</v>
      </c>
      <c r="Q422" s="150" t="str">
        <f t="shared" si="32"/>
        <v>7-Dépenses</v>
      </c>
      <c r="R422" s="149" t="str">
        <f t="shared" si="33"/>
        <v>16</v>
      </c>
      <c r="S422" s="150">
        <f t="shared" si="34"/>
        <v>0</v>
      </c>
      <c r="T422" s="152" t="str">
        <f>+VLOOKUP($L422,Data_Validation!$A:$D,1,0)</f>
        <v>16I</v>
      </c>
      <c r="U422" s="152" t="str">
        <f>+VLOOKUP($L422,Data_Validation!$A:$D,3,0)</f>
        <v>Carrosserie</v>
      </c>
      <c r="V422" s="152" t="str">
        <f>+VLOOKUP($L422,Data_Validation!$A:$D,4,0)</f>
        <v>Publicité 2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1666</v>
      </c>
      <c r="B423" s="718" t="s">
        <v>931</v>
      </c>
      <c r="C423" s="720">
        <v>-788.45</v>
      </c>
      <c r="D423" s="720">
        <v>-30</v>
      </c>
      <c r="E423" s="720">
        <v>-818.45</v>
      </c>
      <c r="F423" s="718" t="s">
        <v>2231</v>
      </c>
      <c r="G423" s="718" t="s">
        <v>2259</v>
      </c>
      <c r="H423" s="673"/>
      <c r="I423" s="672"/>
      <c r="J423" s="672"/>
      <c r="K423" s="672"/>
      <c r="L423" s="149" t="str">
        <f t="shared" si="30"/>
        <v>17A</v>
      </c>
      <c r="M423" s="150" t="str">
        <f t="shared" si="31"/>
        <v>PUBLICITE GROUPE - NEUF BMW</v>
      </c>
      <c r="N423" s="151">
        <f>+IF(OR($Q423=Parametres!$G$2,$Q423=Parametres!$G$3),I423,C423)</f>
        <v>-788.45</v>
      </c>
      <c r="O423" s="151">
        <f>+IF(OR($Q423=Parametres!$G$2,$Q423=Parametres!$G$3),J423,D423)</f>
        <v>-30</v>
      </c>
      <c r="P423" s="151">
        <f>+IF(OR($Q423=Parametres!$G$2,$Q423=Parametres!$G$3),K423,E423)</f>
        <v>-818.45</v>
      </c>
      <c r="Q423" s="150" t="str">
        <f t="shared" si="32"/>
        <v>7-Dépenses</v>
      </c>
      <c r="R423" s="149" t="str">
        <f t="shared" si="33"/>
        <v>17</v>
      </c>
      <c r="S423" s="150">
        <f t="shared" si="34"/>
        <v>0</v>
      </c>
      <c r="T423" s="152" t="str">
        <f>+VLOOKUP($L423,Data_Validation!$A:$D,1,0)</f>
        <v>17A</v>
      </c>
      <c r="U423" s="152" t="str">
        <f>+VLOOKUP($L423,Data_Validation!$A:$D,3,0)</f>
        <v>Véhicules neufs</v>
      </c>
      <c r="V423" s="152" t="str">
        <f>+VLOOKUP($L423,Data_Validation!$A:$D,4,0)</f>
        <v>Publicité 1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1820</v>
      </c>
      <c r="B424" s="718" t="s">
        <v>942</v>
      </c>
      <c r="C424" s="720">
        <v>92720.87</v>
      </c>
      <c r="D424" s="720">
        <v>36315.01</v>
      </c>
      <c r="E424" s="720">
        <v>129035.88</v>
      </c>
      <c r="F424" s="718" t="s">
        <v>2231</v>
      </c>
      <c r="G424" s="718" t="s">
        <v>2293</v>
      </c>
      <c r="H424" s="673"/>
      <c r="I424" s="672"/>
      <c r="J424" s="672"/>
      <c r="K424" s="672"/>
      <c r="L424" s="149" t="str">
        <f t="shared" si="30"/>
        <v>18A</v>
      </c>
      <c r="M424" s="150" t="str">
        <f t="shared" si="31"/>
        <v>INT. FLOOR PLAN - NEUF BMW</v>
      </c>
      <c r="N424" s="151">
        <f>+IF(OR($Q424=Parametres!$G$2,$Q424=Parametres!$G$3),I424,C424)</f>
        <v>92720.87</v>
      </c>
      <c r="O424" s="151">
        <f>+IF(OR($Q424=Parametres!$G$2,$Q424=Parametres!$G$3),J424,D424)</f>
        <v>36315.01</v>
      </c>
      <c r="P424" s="151">
        <f>+IF(OR($Q424=Parametres!$G$2,$Q424=Parametres!$G$3),K424,E424)</f>
        <v>129035.88</v>
      </c>
      <c r="Q424" s="150" t="str">
        <f t="shared" si="32"/>
        <v>7-Dépenses</v>
      </c>
      <c r="R424" s="149" t="str">
        <f t="shared" si="33"/>
        <v>18</v>
      </c>
      <c r="S424" s="150">
        <f t="shared" si="34"/>
        <v>0</v>
      </c>
      <c r="T424" s="152" t="str">
        <f>+VLOOKUP($L424,Data_Validation!$A:$D,1,0)</f>
        <v>18A</v>
      </c>
      <c r="U424" s="152" t="str">
        <f>+VLOOKUP($L424,Data_Validation!$A:$D,3,0)</f>
        <v>Véhicules neufs</v>
      </c>
      <c r="V424" s="152" t="str">
        <f>+VLOOKUP($L424,Data_Validation!$A:$D,4,0)</f>
        <v>Intérêt de gros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1707</v>
      </c>
      <c r="B425" s="718" t="s">
        <v>788</v>
      </c>
      <c r="C425" s="719">
        <v>26736.52</v>
      </c>
      <c r="D425" s="719">
        <v>8310.98</v>
      </c>
      <c r="E425" s="719">
        <v>35047.5</v>
      </c>
      <c r="F425" s="718" t="s">
        <v>2231</v>
      </c>
      <c r="G425" s="718" t="s">
        <v>2293</v>
      </c>
      <c r="H425" s="719"/>
      <c r="I425" s="720"/>
      <c r="J425" s="720"/>
      <c r="K425" s="720"/>
      <c r="L425" s="149" t="str">
        <f t="shared" si="30"/>
        <v>18C</v>
      </c>
      <c r="M425" s="150" t="str">
        <f t="shared" si="31"/>
        <v>INT. FLOOR PLAN - USAGE BMW</v>
      </c>
      <c r="N425" s="151">
        <f>+IF(OR($Q425=Parametres!$G$2,$Q425=Parametres!$G$3),I425,C425)</f>
        <v>26736.52</v>
      </c>
      <c r="O425" s="151">
        <f>+IF(OR($Q425=Parametres!$G$2,$Q425=Parametres!$G$3),J425,D425)</f>
        <v>8310.98</v>
      </c>
      <c r="P425" s="151">
        <f>+IF(OR($Q425=Parametres!$G$2,$Q425=Parametres!$G$3),K425,E425)</f>
        <v>35047.5</v>
      </c>
      <c r="Q425" s="150" t="str">
        <f t="shared" si="32"/>
        <v>7-Dépenses</v>
      </c>
      <c r="R425" s="149" t="str">
        <f t="shared" si="33"/>
        <v>18</v>
      </c>
      <c r="S425" s="150">
        <f t="shared" si="34"/>
        <v>0</v>
      </c>
      <c r="T425" s="152" t="str">
        <f>+VLOOKUP($L425,Data_Validation!$A:$D,1,0)</f>
        <v>18C</v>
      </c>
      <c r="U425" s="152" t="str">
        <f>+VLOOKUP($L425,Data_Validation!$A:$D,3,0)</f>
        <v>Véhicules usagés</v>
      </c>
      <c r="V425" s="152" t="str">
        <f>+VLOOKUP($L425,Data_Validation!$A:$D,4,0)</f>
        <v>Intérêt de gros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2869</v>
      </c>
      <c r="B426" s="718" t="s">
        <v>2870</v>
      </c>
      <c r="C426" s="720">
        <v>-24209.18</v>
      </c>
      <c r="D426" s="720">
        <v>-7075.41</v>
      </c>
      <c r="E426" s="720">
        <v>-31284.59</v>
      </c>
      <c r="F426" s="718" t="s">
        <v>2231</v>
      </c>
      <c r="G426" s="718" t="s">
        <v>2293</v>
      </c>
      <c r="H426" s="673"/>
      <c r="I426" s="673"/>
      <c r="J426" s="673"/>
      <c r="K426" s="673"/>
      <c r="L426" s="149" t="str">
        <f t="shared" si="30"/>
        <v>18L</v>
      </c>
      <c r="M426" s="150" t="str">
        <f t="shared" si="31"/>
        <v>CREDIT INT FLOOR PLAN</v>
      </c>
      <c r="N426" s="151">
        <f>+IF(OR($Q426=Parametres!$G$2,$Q426=Parametres!$G$3),I426,C426)</f>
        <v>-24209.18</v>
      </c>
      <c r="O426" s="151">
        <f>+IF(OR($Q426=Parametres!$G$2,$Q426=Parametres!$G$3),J426,D426)</f>
        <v>-7075.41</v>
      </c>
      <c r="P426" s="151">
        <f>+IF(OR($Q426=Parametres!$G$2,$Q426=Parametres!$G$3),K426,E426)</f>
        <v>-31284.59</v>
      </c>
      <c r="Q426" s="150" t="str">
        <f t="shared" si="32"/>
        <v>7-Dépenses</v>
      </c>
      <c r="R426" s="149" t="str">
        <f t="shared" si="33"/>
        <v>18</v>
      </c>
      <c r="S426" s="150">
        <f t="shared" si="34"/>
        <v>0</v>
      </c>
      <c r="T426" s="152" t="str">
        <f>+VLOOKUP($L426,Data_Validation!$A:$D,1,0)</f>
        <v>18L</v>
      </c>
      <c r="U426" s="152" t="str">
        <f>+VLOOKUP($L426,Data_Validation!$A:$D,3,0)</f>
        <v>Autres</v>
      </c>
      <c r="V426" s="152" t="str">
        <f>+VLOOKUP($L426,Data_Validation!$A:$D,4,0)</f>
        <v>Revenus d'intérêts floor plan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1182</v>
      </c>
      <c r="B427" s="718" t="s">
        <v>462</v>
      </c>
      <c r="C427" s="720">
        <v>-3900</v>
      </c>
      <c r="D427" s="720">
        <v>-3000</v>
      </c>
      <c r="E427" s="720">
        <v>-6900</v>
      </c>
      <c r="F427" s="718" t="s">
        <v>2231</v>
      </c>
      <c r="G427" s="718" t="s">
        <v>2258</v>
      </c>
      <c r="H427" s="673"/>
      <c r="I427" s="672"/>
      <c r="J427" s="672"/>
      <c r="K427" s="672"/>
      <c r="L427" s="149" t="str">
        <f t="shared" si="30"/>
        <v>19A</v>
      </c>
      <c r="M427" s="150" t="str">
        <f t="shared" si="31"/>
        <v>RECOUV. PUBLICITE - NEUF BMW</v>
      </c>
      <c r="N427" s="151">
        <f>+IF(OR($Q427=Parametres!$G$2,$Q427=Parametres!$G$3),I427,C427)</f>
        <v>-3900</v>
      </c>
      <c r="O427" s="151">
        <f>+IF(OR($Q427=Parametres!$G$2,$Q427=Parametres!$G$3),J427,D427)</f>
        <v>-3000</v>
      </c>
      <c r="P427" s="151">
        <f>+IF(OR($Q427=Parametres!$G$2,$Q427=Parametres!$G$3),K427,E427)</f>
        <v>-6900</v>
      </c>
      <c r="Q427" s="150" t="str">
        <f t="shared" si="32"/>
        <v>7-Dépenses</v>
      </c>
      <c r="R427" s="149" t="str">
        <f t="shared" si="33"/>
        <v>19</v>
      </c>
      <c r="S427" s="150">
        <f t="shared" si="34"/>
        <v>0</v>
      </c>
      <c r="T427" s="152" t="str">
        <f>+VLOOKUP($L427,Data_Validation!$A:$D,1,0)</f>
        <v>19A</v>
      </c>
      <c r="U427" s="152" t="str">
        <f>+VLOOKUP($L427,Data_Validation!$A:$D,3,0)</f>
        <v>Véhicules neufs</v>
      </c>
      <c r="V427" s="152" t="str">
        <f>+VLOOKUP($L427,Data_Validation!$A:$D,4,0)</f>
        <v>Publicité 1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1201</v>
      </c>
      <c r="B428" s="718" t="s">
        <v>464</v>
      </c>
      <c r="C428" s="719">
        <v>-2600</v>
      </c>
      <c r="D428" s="719">
        <v>-2400</v>
      </c>
      <c r="E428" s="719">
        <v>-5000</v>
      </c>
      <c r="F428" s="718" t="s">
        <v>2231</v>
      </c>
      <c r="G428" s="718" t="s">
        <v>2258</v>
      </c>
      <c r="H428" s="719"/>
      <c r="I428" s="720"/>
      <c r="J428" s="720"/>
      <c r="K428" s="720"/>
      <c r="L428" s="149" t="str">
        <f t="shared" si="30"/>
        <v>19C</v>
      </c>
      <c r="M428" s="150" t="str">
        <f t="shared" si="31"/>
        <v>RECOUV. PUBLICITE - USAGE BMW</v>
      </c>
      <c r="N428" s="151">
        <f>+IF(OR($Q428=Parametres!$G$2,$Q428=Parametres!$G$3),I428,C428)</f>
        <v>-2600</v>
      </c>
      <c r="O428" s="151">
        <f>+IF(OR($Q428=Parametres!$G$2,$Q428=Parametres!$G$3),J428,D428)</f>
        <v>-2400</v>
      </c>
      <c r="P428" s="151">
        <f>+IF(OR($Q428=Parametres!$G$2,$Q428=Parametres!$G$3),K428,E428)</f>
        <v>-5000</v>
      </c>
      <c r="Q428" s="150" t="str">
        <f t="shared" si="32"/>
        <v>7-Dépenses</v>
      </c>
      <c r="R428" s="149" t="str">
        <f t="shared" si="33"/>
        <v>19</v>
      </c>
      <c r="S428" s="150">
        <f t="shared" si="34"/>
        <v>0</v>
      </c>
      <c r="T428" s="152" t="str">
        <f>+VLOOKUP($L428,Data_Validation!$A:$D,1,0)</f>
        <v>19C</v>
      </c>
      <c r="U428" s="152" t="str">
        <f>+VLOOKUP($L428,Data_Validation!$A:$D,3,0)</f>
        <v>Véhicules usagés</v>
      </c>
      <c r="V428" s="152" t="str">
        <f>+VLOOKUP($L428,Data_Validation!$A:$D,4,0)</f>
        <v>Publicité 1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1823</v>
      </c>
      <c r="B429" s="718" t="s">
        <v>943</v>
      </c>
      <c r="C429" s="720">
        <v>18125.96</v>
      </c>
      <c r="D429" s="720">
        <v>5256.22</v>
      </c>
      <c r="E429" s="720">
        <v>23382.18</v>
      </c>
      <c r="F429" s="718" t="s">
        <v>2231</v>
      </c>
      <c r="G429" s="718" t="s">
        <v>2291</v>
      </c>
      <c r="H429" s="673"/>
      <c r="I429" s="672"/>
      <c r="J429" s="672"/>
      <c r="K429" s="672"/>
      <c r="L429" s="149" t="str">
        <f t="shared" si="30"/>
        <v>20A</v>
      </c>
      <c r="M429" s="150" t="str">
        <f t="shared" si="31"/>
        <v>SAL. PROPRIETAIRE - NEUF BMW</v>
      </c>
      <c r="N429" s="151">
        <f>+IF(OR($Q429=Parametres!$G$2,$Q429=Parametres!$G$3),I429,C429)</f>
        <v>18125.96</v>
      </c>
      <c r="O429" s="151">
        <f>+IF(OR($Q429=Parametres!$G$2,$Q429=Parametres!$G$3),J429,D429)</f>
        <v>5256.22</v>
      </c>
      <c r="P429" s="151">
        <f>+IF(OR($Q429=Parametres!$G$2,$Q429=Parametres!$G$3),K429,E429)</f>
        <v>23382.18</v>
      </c>
      <c r="Q429" s="150" t="str">
        <f t="shared" si="32"/>
        <v>7-Dépenses</v>
      </c>
      <c r="R429" s="149" t="str">
        <f t="shared" si="33"/>
        <v>20</v>
      </c>
      <c r="S429" s="150">
        <f t="shared" si="34"/>
        <v>0</v>
      </c>
      <c r="T429" s="152" t="str">
        <f>+VLOOKUP($L429,Data_Validation!$A:$D,1,0)</f>
        <v>20A</v>
      </c>
      <c r="U429" s="152" t="str">
        <f>+VLOOKUP($L429,Data_Validation!$A:$D,3,0)</f>
        <v>Véhicules neufs</v>
      </c>
      <c r="V429" s="152" t="str">
        <f>+VLOOKUP($L429,Data_Validation!$A:$D,4,0)</f>
        <v>Salaires propriétaire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1798</v>
      </c>
      <c r="B430" s="718" t="s">
        <v>908</v>
      </c>
      <c r="C430" s="719">
        <v>4027.99</v>
      </c>
      <c r="D430" s="719">
        <v>1168.05</v>
      </c>
      <c r="E430" s="719">
        <v>5196.04</v>
      </c>
      <c r="F430" s="718" t="s">
        <v>2231</v>
      </c>
      <c r="G430" s="718" t="s">
        <v>2291</v>
      </c>
      <c r="H430" s="719"/>
      <c r="I430" s="720"/>
      <c r="J430" s="720"/>
      <c r="K430" s="720"/>
      <c r="L430" s="149" t="str">
        <f t="shared" si="30"/>
        <v>20C</v>
      </c>
      <c r="M430" s="150" t="str">
        <f t="shared" si="31"/>
        <v>SAL. PROPRIETAIRE - USAGE BMW</v>
      </c>
      <c r="N430" s="151">
        <f>+IF(OR($Q430=Parametres!$G$2,$Q430=Parametres!$G$3),I430,C430)</f>
        <v>4027.99</v>
      </c>
      <c r="O430" s="151">
        <f>+IF(OR($Q430=Parametres!$G$2,$Q430=Parametres!$G$3),J430,D430)</f>
        <v>1168.05</v>
      </c>
      <c r="P430" s="151">
        <f>+IF(OR($Q430=Parametres!$G$2,$Q430=Parametres!$G$3),K430,E430)</f>
        <v>5196.04</v>
      </c>
      <c r="Q430" s="150" t="str">
        <f t="shared" si="32"/>
        <v>7-Dépenses</v>
      </c>
      <c r="R430" s="149" t="str">
        <f t="shared" si="33"/>
        <v>20</v>
      </c>
      <c r="S430" s="150">
        <f t="shared" si="34"/>
        <v>0</v>
      </c>
      <c r="T430" s="152" t="str">
        <f>+VLOOKUP($L430,Data_Validation!$A:$D,1,0)</f>
        <v>20C</v>
      </c>
      <c r="U430" s="152" t="str">
        <f>+VLOOKUP($L430,Data_Validation!$A:$D,3,0)</f>
        <v>Véhicules usagés</v>
      </c>
      <c r="V430" s="152" t="str">
        <f>+VLOOKUP($L430,Data_Validation!$A:$D,4,0)</f>
        <v>Salaires propriétaire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1784</v>
      </c>
      <c r="B431" s="718" t="s">
        <v>898</v>
      </c>
      <c r="C431" s="720">
        <v>9062.98</v>
      </c>
      <c r="D431" s="720">
        <v>2628.12</v>
      </c>
      <c r="E431" s="720">
        <v>11691.1</v>
      </c>
      <c r="F431" s="718" t="s">
        <v>2231</v>
      </c>
      <c r="G431" s="718" t="s">
        <v>2291</v>
      </c>
      <c r="H431" s="719"/>
      <c r="I431" s="719"/>
      <c r="J431" s="719"/>
      <c r="K431" s="719"/>
      <c r="L431" s="149" t="str">
        <f t="shared" si="30"/>
        <v>20E</v>
      </c>
      <c r="M431" s="150" t="str">
        <f t="shared" si="31"/>
        <v>SAL. PROPRIETAIRE - SERV. BMW</v>
      </c>
      <c r="N431" s="151">
        <f>+IF(OR($Q431=Parametres!$G$2,$Q431=Parametres!$G$3),I431,C431)</f>
        <v>9062.98</v>
      </c>
      <c r="O431" s="151">
        <f>+IF(OR($Q431=Parametres!$G$2,$Q431=Parametres!$G$3),J431,D431)</f>
        <v>2628.12</v>
      </c>
      <c r="P431" s="151">
        <f>+IF(OR($Q431=Parametres!$G$2,$Q431=Parametres!$G$3),K431,E431)</f>
        <v>11691.1</v>
      </c>
      <c r="Q431" s="150" t="str">
        <f t="shared" si="32"/>
        <v>7-Dépenses</v>
      </c>
      <c r="R431" s="149" t="str">
        <f t="shared" si="33"/>
        <v>20</v>
      </c>
      <c r="S431" s="150">
        <f t="shared" si="34"/>
        <v>0</v>
      </c>
      <c r="T431" s="152" t="str">
        <f>+VLOOKUP($L431,Data_Validation!$A:$D,1,0)</f>
        <v>20E</v>
      </c>
      <c r="U431" s="152" t="str">
        <f>+VLOOKUP($L431,Data_Validation!$A:$D,3,0)</f>
        <v>Service</v>
      </c>
      <c r="V431" s="152" t="str">
        <f>+VLOOKUP($L431,Data_Validation!$A:$D,4,0)</f>
        <v>Salaires propriétaire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1775</v>
      </c>
      <c r="B432" s="718" t="s">
        <v>888</v>
      </c>
      <c r="C432" s="720">
        <v>8056</v>
      </c>
      <c r="D432" s="720">
        <v>2336.1</v>
      </c>
      <c r="E432" s="720">
        <v>10392.1</v>
      </c>
      <c r="F432" s="718" t="s">
        <v>2231</v>
      </c>
      <c r="G432" s="718" t="s">
        <v>2291</v>
      </c>
      <c r="H432" s="673"/>
      <c r="I432" s="672"/>
      <c r="J432" s="672"/>
      <c r="K432" s="672"/>
      <c r="L432" s="149" t="str">
        <f t="shared" si="30"/>
        <v>20G</v>
      </c>
      <c r="M432" s="150" t="str">
        <f t="shared" si="31"/>
        <v>SAL. PROPRIETAIRE - PIECE BMW</v>
      </c>
      <c r="N432" s="151">
        <f>+IF(OR($Q432=Parametres!$G$2,$Q432=Parametres!$G$3),I432,C432)</f>
        <v>8056</v>
      </c>
      <c r="O432" s="151">
        <f>+IF(OR($Q432=Parametres!$G$2,$Q432=Parametres!$G$3),J432,D432)</f>
        <v>2336.1</v>
      </c>
      <c r="P432" s="151">
        <f>+IF(OR($Q432=Parametres!$G$2,$Q432=Parametres!$G$3),K432,E432)</f>
        <v>10392.1</v>
      </c>
      <c r="Q432" s="150" t="str">
        <f t="shared" si="32"/>
        <v>7-Dépenses</v>
      </c>
      <c r="R432" s="149" t="str">
        <f t="shared" si="33"/>
        <v>20</v>
      </c>
      <c r="S432" s="150">
        <f t="shared" si="34"/>
        <v>0</v>
      </c>
      <c r="T432" s="152" t="str">
        <f>+VLOOKUP($L432,Data_Validation!$A:$D,1,0)</f>
        <v>20G</v>
      </c>
      <c r="U432" s="152" t="str">
        <f>+VLOOKUP($L432,Data_Validation!$A:$D,3,0)</f>
        <v>Pièces</v>
      </c>
      <c r="V432" s="152" t="str">
        <f>+VLOOKUP($L432,Data_Validation!$A:$D,4,0)</f>
        <v>Salaires propriétaire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1676</v>
      </c>
      <c r="B433" s="718" t="s">
        <v>826</v>
      </c>
      <c r="C433" s="720">
        <v>1006.98</v>
      </c>
      <c r="D433" s="720">
        <v>291.99</v>
      </c>
      <c r="E433" s="720">
        <v>1298.97</v>
      </c>
      <c r="F433" s="718" t="s">
        <v>2231</v>
      </c>
      <c r="G433" s="718" t="s">
        <v>2291</v>
      </c>
      <c r="H433" s="673"/>
      <c r="I433" s="672"/>
      <c r="J433" s="672"/>
      <c r="K433" s="672"/>
      <c r="L433" s="149" t="str">
        <f t="shared" si="30"/>
        <v>20I</v>
      </c>
      <c r="M433" s="150" t="str">
        <f t="shared" si="31"/>
        <v>SAL. PROPRIETAIRE - CARROSSERIE BMW</v>
      </c>
      <c r="N433" s="151">
        <f>+IF(OR($Q433=Parametres!$G$2,$Q433=Parametres!$G$3),I433,C433)</f>
        <v>1006.98</v>
      </c>
      <c r="O433" s="151">
        <f>+IF(OR($Q433=Parametres!$G$2,$Q433=Parametres!$G$3),J433,D433)</f>
        <v>291.99</v>
      </c>
      <c r="P433" s="151">
        <f>+IF(OR($Q433=Parametres!$G$2,$Q433=Parametres!$G$3),K433,E433)</f>
        <v>1298.97</v>
      </c>
      <c r="Q433" s="150" t="str">
        <f t="shared" si="32"/>
        <v>7-Dépenses</v>
      </c>
      <c r="R433" s="149" t="str">
        <f t="shared" si="33"/>
        <v>20</v>
      </c>
      <c r="S433" s="150">
        <f t="shared" si="34"/>
        <v>0</v>
      </c>
      <c r="T433" s="152" t="str">
        <f>+VLOOKUP($L433,Data_Validation!$A:$D,1,0)</f>
        <v>20I</v>
      </c>
      <c r="U433" s="152" t="str">
        <f>+VLOOKUP($L433,Data_Validation!$A:$D,3,0)</f>
        <v>Carrosserie</v>
      </c>
      <c r="V433" s="152" t="str">
        <f>+VLOOKUP($L433,Data_Validation!$A:$D,4,0)</f>
        <v>Salaires propriétaire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1825</v>
      </c>
      <c r="B434" s="718" t="s">
        <v>962</v>
      </c>
      <c r="C434" s="719">
        <v>36240.22</v>
      </c>
      <c r="D434" s="719">
        <v>12302.2</v>
      </c>
      <c r="E434" s="719">
        <v>48542.42</v>
      </c>
      <c r="F434" s="718" t="s">
        <v>2231</v>
      </c>
      <c r="G434" s="718" t="s">
        <v>2290</v>
      </c>
      <c r="H434" s="719"/>
      <c r="I434" s="720"/>
      <c r="J434" s="720"/>
      <c r="K434" s="720"/>
      <c r="L434" s="149" t="str">
        <f t="shared" si="30"/>
        <v>21A</v>
      </c>
      <c r="M434" s="150" t="str">
        <f t="shared" si="31"/>
        <v>SAL. SUPERVISION - NEUF BMW</v>
      </c>
      <c r="N434" s="151">
        <f>+IF(OR($Q434=Parametres!$G$2,$Q434=Parametres!$G$3),I434,C434)</f>
        <v>36240.22</v>
      </c>
      <c r="O434" s="151">
        <f>+IF(OR($Q434=Parametres!$G$2,$Q434=Parametres!$G$3),J434,D434)</f>
        <v>12302.2</v>
      </c>
      <c r="P434" s="151">
        <f>+IF(OR($Q434=Parametres!$G$2,$Q434=Parametres!$G$3),K434,E434)</f>
        <v>48542.42</v>
      </c>
      <c r="Q434" s="150" t="str">
        <f t="shared" si="32"/>
        <v>7-Dépenses</v>
      </c>
      <c r="R434" s="149" t="str">
        <f t="shared" si="33"/>
        <v>21</v>
      </c>
      <c r="S434" s="150">
        <f t="shared" si="34"/>
        <v>0</v>
      </c>
      <c r="T434" s="152" t="str">
        <f>+VLOOKUP($L434,Data_Validation!$A:$D,1,0)</f>
        <v>21A</v>
      </c>
      <c r="U434" s="152" t="str">
        <f>+VLOOKUP($L434,Data_Validation!$A:$D,3,0)</f>
        <v>Véhicules neufs</v>
      </c>
      <c r="V434" s="152" t="str">
        <f>+VLOOKUP($L434,Data_Validation!$A:$D,4,0)</f>
        <v>Salaires cadres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1771</v>
      </c>
      <c r="B435" s="718" t="s">
        <v>923</v>
      </c>
      <c r="C435" s="720">
        <v>12864</v>
      </c>
      <c r="D435" s="720">
        <v>4165.3100000000004</v>
      </c>
      <c r="E435" s="720">
        <v>17029.310000000001</v>
      </c>
      <c r="F435" s="718" t="s">
        <v>2231</v>
      </c>
      <c r="G435" s="718" t="s">
        <v>2290</v>
      </c>
      <c r="H435" s="673"/>
      <c r="I435" s="672"/>
      <c r="J435" s="672"/>
      <c r="K435" s="672"/>
      <c r="L435" s="149" t="str">
        <f t="shared" si="30"/>
        <v>21C</v>
      </c>
      <c r="M435" s="150" t="str">
        <f t="shared" si="31"/>
        <v>SAL. SUPERVISION - USAGE BMW</v>
      </c>
      <c r="N435" s="151">
        <f>+IF(OR($Q435=Parametres!$G$2,$Q435=Parametres!$G$3),I435,C435)</f>
        <v>12864</v>
      </c>
      <c r="O435" s="151">
        <f>+IF(OR($Q435=Parametres!$G$2,$Q435=Parametres!$G$3),J435,D435)</f>
        <v>4165.3100000000004</v>
      </c>
      <c r="P435" s="151">
        <f>+IF(OR($Q435=Parametres!$G$2,$Q435=Parametres!$G$3),K435,E435)</f>
        <v>17029.310000000001</v>
      </c>
      <c r="Q435" s="150" t="str">
        <f t="shared" si="32"/>
        <v>7-Dépenses</v>
      </c>
      <c r="R435" s="149" t="str">
        <f t="shared" si="33"/>
        <v>21</v>
      </c>
      <c r="S435" s="150">
        <f t="shared" si="34"/>
        <v>0</v>
      </c>
      <c r="T435" s="152" t="str">
        <f>+VLOOKUP($L435,Data_Validation!$A:$D,1,0)</f>
        <v>21C</v>
      </c>
      <c r="U435" s="152" t="str">
        <f>+VLOOKUP($L435,Data_Validation!$A:$D,3,0)</f>
        <v>Véhicules usagés</v>
      </c>
      <c r="V435" s="152" t="str">
        <f>+VLOOKUP($L435,Data_Validation!$A:$D,4,0)</f>
        <v>Salaires cadres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1807</v>
      </c>
      <c r="B436" s="718" t="s">
        <v>951</v>
      </c>
      <c r="C436" s="719">
        <v>25167.94</v>
      </c>
      <c r="D436" s="719">
        <v>8159.54</v>
      </c>
      <c r="E436" s="719">
        <v>33327.480000000003</v>
      </c>
      <c r="F436" s="718" t="s">
        <v>2231</v>
      </c>
      <c r="G436" s="718" t="s">
        <v>2290</v>
      </c>
      <c r="H436" s="719"/>
      <c r="I436" s="720"/>
      <c r="J436" s="720"/>
      <c r="K436" s="720"/>
      <c r="L436" s="149" t="str">
        <f t="shared" si="30"/>
        <v>21E</v>
      </c>
      <c r="M436" s="150" t="str">
        <f t="shared" si="31"/>
        <v>SAL. SUPERVISION - SERV. BMW</v>
      </c>
      <c r="N436" s="151">
        <f>+IF(OR($Q436=Parametres!$G$2,$Q436=Parametres!$G$3),I436,C436)</f>
        <v>25167.94</v>
      </c>
      <c r="O436" s="151">
        <f>+IF(OR($Q436=Parametres!$G$2,$Q436=Parametres!$G$3),J436,D436)</f>
        <v>8159.54</v>
      </c>
      <c r="P436" s="151">
        <f>+IF(OR($Q436=Parametres!$G$2,$Q436=Parametres!$G$3),K436,E436)</f>
        <v>33327.480000000003</v>
      </c>
      <c r="Q436" s="150" t="str">
        <f t="shared" si="32"/>
        <v>7-Dépenses</v>
      </c>
      <c r="R436" s="149" t="str">
        <f t="shared" si="33"/>
        <v>21</v>
      </c>
      <c r="S436" s="150">
        <f t="shared" si="34"/>
        <v>0</v>
      </c>
      <c r="T436" s="152" t="str">
        <f>+VLOOKUP($L436,Data_Validation!$A:$D,1,0)</f>
        <v>21E</v>
      </c>
      <c r="U436" s="152" t="str">
        <f>+VLOOKUP($L436,Data_Validation!$A:$D,3,0)</f>
        <v>Service</v>
      </c>
      <c r="V436" s="152" t="str">
        <f>+VLOOKUP($L436,Data_Validation!$A:$D,4,0)</f>
        <v>Salaires cadres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1806</v>
      </c>
      <c r="B437" s="718" t="s">
        <v>939</v>
      </c>
      <c r="C437" s="720">
        <v>11280.72</v>
      </c>
      <c r="D437" s="720">
        <v>3659.46</v>
      </c>
      <c r="E437" s="720">
        <v>14940.18</v>
      </c>
      <c r="F437" s="718" t="s">
        <v>2231</v>
      </c>
      <c r="G437" s="718" t="s">
        <v>2290</v>
      </c>
      <c r="H437" s="673"/>
      <c r="I437" s="672"/>
      <c r="J437" s="672"/>
      <c r="K437" s="672"/>
      <c r="L437" s="149" t="str">
        <f t="shared" si="30"/>
        <v>21G</v>
      </c>
      <c r="M437" s="150" t="str">
        <f t="shared" si="31"/>
        <v>SAL. SUPERVISION - PIECE BMW</v>
      </c>
      <c r="N437" s="151">
        <f>+IF(OR($Q437=Parametres!$G$2,$Q437=Parametres!$G$3),I437,C437)</f>
        <v>11280.72</v>
      </c>
      <c r="O437" s="151">
        <f>+IF(OR($Q437=Parametres!$G$2,$Q437=Parametres!$G$3),J437,D437)</f>
        <v>3659.46</v>
      </c>
      <c r="P437" s="151">
        <f>+IF(OR($Q437=Parametres!$G$2,$Q437=Parametres!$G$3),K437,E437)</f>
        <v>14940.18</v>
      </c>
      <c r="Q437" s="150" t="str">
        <f t="shared" si="32"/>
        <v>7-Dépenses</v>
      </c>
      <c r="R437" s="149" t="str">
        <f t="shared" si="33"/>
        <v>21</v>
      </c>
      <c r="S437" s="150">
        <f t="shared" si="34"/>
        <v>0</v>
      </c>
      <c r="T437" s="152" t="str">
        <f>+VLOOKUP($L437,Data_Validation!$A:$D,1,0)</f>
        <v>21G</v>
      </c>
      <c r="U437" s="152" t="str">
        <f>+VLOOKUP($L437,Data_Validation!$A:$D,3,0)</f>
        <v>Pièces</v>
      </c>
      <c r="V437" s="152" t="str">
        <f>+VLOOKUP($L437,Data_Validation!$A:$D,4,0)</f>
        <v>Salaires cadres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1631</v>
      </c>
      <c r="B438" s="718" t="s">
        <v>800</v>
      </c>
      <c r="C438" s="719">
        <v>912.81</v>
      </c>
      <c r="D438" s="719">
        <v>304.27</v>
      </c>
      <c r="E438" s="719">
        <v>1217.08</v>
      </c>
      <c r="F438" s="718" t="s">
        <v>2231</v>
      </c>
      <c r="G438" s="718" t="s">
        <v>2290</v>
      </c>
      <c r="H438" s="719"/>
      <c r="I438" s="720"/>
      <c r="J438" s="720"/>
      <c r="K438" s="720"/>
      <c r="L438" s="149" t="str">
        <f t="shared" si="30"/>
        <v>21I</v>
      </c>
      <c r="M438" s="150" t="str">
        <f t="shared" si="31"/>
        <v>SAL. SUPERVISION - CARROSSERIE BMW</v>
      </c>
      <c r="N438" s="151">
        <f>+IF(OR($Q438=Parametres!$G$2,$Q438=Parametres!$G$3),I438,C438)</f>
        <v>912.81</v>
      </c>
      <c r="O438" s="151">
        <f>+IF(OR($Q438=Parametres!$G$2,$Q438=Parametres!$G$3),J438,D438)</f>
        <v>304.27</v>
      </c>
      <c r="P438" s="151">
        <f>+IF(OR($Q438=Parametres!$G$2,$Q438=Parametres!$G$3),K438,E438)</f>
        <v>1217.08</v>
      </c>
      <c r="Q438" s="150" t="str">
        <f t="shared" si="32"/>
        <v>7-Dépenses</v>
      </c>
      <c r="R438" s="149" t="str">
        <f t="shared" si="33"/>
        <v>21</v>
      </c>
      <c r="S438" s="150">
        <f t="shared" si="34"/>
        <v>0</v>
      </c>
      <c r="T438" s="152" t="str">
        <f>+VLOOKUP($L438,Data_Validation!$A:$D,1,0)</f>
        <v>21I</v>
      </c>
      <c r="U438" s="152" t="str">
        <f>+VLOOKUP($L438,Data_Validation!$A:$D,3,0)</f>
        <v>Carrosserie</v>
      </c>
      <c r="V438" s="152" t="str">
        <f>+VLOOKUP($L438,Data_Validation!$A:$D,4,0)</f>
        <v>Salaires cadres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1792</v>
      </c>
      <c r="B439" s="718" t="s">
        <v>925</v>
      </c>
      <c r="C439" s="720">
        <v>25226.720000000001</v>
      </c>
      <c r="D439" s="720">
        <v>8037.27</v>
      </c>
      <c r="E439" s="720">
        <v>33263.99</v>
      </c>
      <c r="F439" s="718" t="s">
        <v>2231</v>
      </c>
      <c r="G439" s="718" t="s">
        <v>2289</v>
      </c>
      <c r="H439" s="673"/>
      <c r="I439" s="672"/>
      <c r="J439" s="672"/>
      <c r="K439" s="672"/>
      <c r="L439" s="149" t="str">
        <f t="shared" si="30"/>
        <v>22A</v>
      </c>
      <c r="M439" s="150" t="str">
        <f t="shared" si="31"/>
        <v>SAL. ADMIN. - NEUF BMW</v>
      </c>
      <c r="N439" s="151">
        <f>+IF(OR($Q439=Parametres!$G$2,$Q439=Parametres!$G$3),I439,C439)</f>
        <v>25226.720000000001</v>
      </c>
      <c r="O439" s="504">
        <f>+IF(OR($Q439=Parametres!$G$2,$Q439=Parametres!$G$3),J439,D439)</f>
        <v>8037.27</v>
      </c>
      <c r="P439" s="151">
        <f>+IF(OR($Q439=Parametres!$G$2,$Q439=Parametres!$G$3),K439,E439)</f>
        <v>33263.99</v>
      </c>
      <c r="Q439" s="150" t="str">
        <f t="shared" si="32"/>
        <v>7-Dépenses</v>
      </c>
      <c r="R439" s="149" t="str">
        <f t="shared" si="33"/>
        <v>22</v>
      </c>
      <c r="S439" s="150">
        <f t="shared" si="34"/>
        <v>0</v>
      </c>
      <c r="T439" s="152" t="str">
        <f>+VLOOKUP($L439,Data_Validation!$A:$D,1,0)</f>
        <v>22A</v>
      </c>
      <c r="U439" s="152" t="str">
        <f>+VLOOKUP($L439,Data_Validation!$A:$D,3,0)</f>
        <v>Véhicules neufs</v>
      </c>
      <c r="V439" s="152" t="str">
        <f>+VLOOKUP($L439,Data_Validation!$A:$D,4,0)</f>
        <v>Salaires commis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1705</v>
      </c>
      <c r="B440" s="718" t="s">
        <v>862</v>
      </c>
      <c r="C440" s="720">
        <v>8162.72</v>
      </c>
      <c r="D440" s="720">
        <v>2612.09</v>
      </c>
      <c r="E440" s="720">
        <v>10774.81</v>
      </c>
      <c r="F440" s="718" t="s">
        <v>2231</v>
      </c>
      <c r="G440" s="718" t="s">
        <v>2289</v>
      </c>
      <c r="H440" s="673"/>
      <c r="I440" s="672"/>
      <c r="J440" s="672"/>
      <c r="K440" s="672"/>
      <c r="L440" s="149" t="str">
        <f t="shared" si="30"/>
        <v>22C</v>
      </c>
      <c r="M440" s="150" t="str">
        <f t="shared" si="31"/>
        <v>SAL. ADMIN. - USAGE BMW</v>
      </c>
      <c r="N440" s="151">
        <f>+IF(OR($Q440=Parametres!$G$2,$Q440=Parametres!$G$3),I440,C440)</f>
        <v>8162.72</v>
      </c>
      <c r="O440" s="151">
        <f>+IF(OR($Q440=Parametres!$G$2,$Q440=Parametres!$G$3),J440,D440)</f>
        <v>2612.09</v>
      </c>
      <c r="P440" s="151">
        <f>+IF(OR($Q440=Parametres!$G$2,$Q440=Parametres!$G$3),K440,E440)</f>
        <v>10774.81</v>
      </c>
      <c r="Q440" s="150" t="str">
        <f t="shared" si="32"/>
        <v>7-Dépenses</v>
      </c>
      <c r="R440" s="149" t="str">
        <f t="shared" si="33"/>
        <v>22</v>
      </c>
      <c r="S440" s="150">
        <f t="shared" si="34"/>
        <v>0</v>
      </c>
      <c r="T440" s="152" t="str">
        <f>+VLOOKUP($L440,Data_Validation!$A:$D,1,0)</f>
        <v>22C</v>
      </c>
      <c r="U440" s="152" t="str">
        <f>+VLOOKUP($L440,Data_Validation!$A:$D,3,0)</f>
        <v>Véhicules usagés</v>
      </c>
      <c r="V440" s="152" t="str">
        <f>+VLOOKUP($L440,Data_Validation!$A:$D,4,0)</f>
        <v>Salaires commis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1773</v>
      </c>
      <c r="B441" s="718" t="s">
        <v>922</v>
      </c>
      <c r="C441" s="719">
        <v>13712.12</v>
      </c>
      <c r="D441" s="719">
        <v>4621.95</v>
      </c>
      <c r="E441" s="719">
        <v>18334.07</v>
      </c>
      <c r="F441" s="718" t="s">
        <v>2231</v>
      </c>
      <c r="G441" s="718" t="s">
        <v>2289</v>
      </c>
      <c r="H441" s="719"/>
      <c r="I441" s="720"/>
      <c r="J441" s="720"/>
      <c r="K441" s="720"/>
      <c r="L441" s="149" t="str">
        <f t="shared" si="30"/>
        <v>22E</v>
      </c>
      <c r="M441" s="150" t="str">
        <f t="shared" si="31"/>
        <v>SAL. ADMIN. - SERV. BMW</v>
      </c>
      <c r="N441" s="151">
        <f>+IF(OR($Q441=Parametres!$G$2,$Q441=Parametres!$G$3),I441,C441)</f>
        <v>13712.12</v>
      </c>
      <c r="O441" s="151">
        <f>+IF(OR($Q441=Parametres!$G$2,$Q441=Parametres!$G$3),J441,D441)</f>
        <v>4621.95</v>
      </c>
      <c r="P441" s="151">
        <f>+IF(OR($Q441=Parametres!$G$2,$Q441=Parametres!$G$3),K441,E441)</f>
        <v>18334.07</v>
      </c>
      <c r="Q441" s="150" t="str">
        <f t="shared" si="32"/>
        <v>7-Dépenses</v>
      </c>
      <c r="R441" s="149" t="str">
        <f t="shared" si="33"/>
        <v>22</v>
      </c>
      <c r="S441" s="150">
        <f t="shared" si="34"/>
        <v>0</v>
      </c>
      <c r="T441" s="152" t="str">
        <f>+VLOOKUP($L441,Data_Validation!$A:$D,1,0)</f>
        <v>22E</v>
      </c>
      <c r="U441" s="152" t="str">
        <f>+VLOOKUP($L441,Data_Validation!$A:$D,3,0)</f>
        <v>Service</v>
      </c>
      <c r="V441" s="152" t="str">
        <f>+VLOOKUP($L441,Data_Validation!$A:$D,4,0)</f>
        <v>Salaires commis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1744</v>
      </c>
      <c r="B442" s="718" t="s">
        <v>907</v>
      </c>
      <c r="C442" s="720">
        <v>7618.56</v>
      </c>
      <c r="D442" s="720">
        <v>2411.1999999999998</v>
      </c>
      <c r="E442" s="720">
        <v>10029.76</v>
      </c>
      <c r="F442" s="718" t="s">
        <v>2231</v>
      </c>
      <c r="G442" s="718" t="s">
        <v>2289</v>
      </c>
      <c r="H442" s="673"/>
      <c r="I442" s="672"/>
      <c r="J442" s="672"/>
      <c r="K442" s="672"/>
      <c r="L442" s="149" t="str">
        <f t="shared" si="30"/>
        <v>22G</v>
      </c>
      <c r="M442" s="150" t="str">
        <f t="shared" si="31"/>
        <v>SAL. ADMIN. - PIECE BMW</v>
      </c>
      <c r="N442" s="151">
        <f>+IF(OR($Q442=Parametres!$G$2,$Q442=Parametres!$G$3),I442,C442)</f>
        <v>7618.56</v>
      </c>
      <c r="O442" s="151">
        <f>+IF(OR($Q442=Parametres!$G$2,$Q442=Parametres!$G$3),J442,D442)</f>
        <v>2411.1999999999998</v>
      </c>
      <c r="P442" s="151">
        <f>+IF(OR($Q442=Parametres!$G$2,$Q442=Parametres!$G$3),K442,E442)</f>
        <v>10029.76</v>
      </c>
      <c r="Q442" s="150" t="str">
        <f t="shared" si="32"/>
        <v>7-Dépenses</v>
      </c>
      <c r="R442" s="149" t="str">
        <f t="shared" si="33"/>
        <v>22</v>
      </c>
      <c r="S442" s="150">
        <f t="shared" si="34"/>
        <v>0</v>
      </c>
      <c r="T442" s="152" t="str">
        <f>+VLOOKUP($L442,Data_Validation!$A:$D,1,0)</f>
        <v>22G</v>
      </c>
      <c r="U442" s="152" t="str">
        <f>+VLOOKUP($L442,Data_Validation!$A:$D,3,0)</f>
        <v>Pièces</v>
      </c>
      <c r="V442" s="152" t="str">
        <f>+VLOOKUP($L442,Data_Validation!$A:$D,4,0)</f>
        <v>Salaires commis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1655</v>
      </c>
      <c r="B443" s="718" t="s">
        <v>821</v>
      </c>
      <c r="C443" s="720">
        <v>952.27</v>
      </c>
      <c r="D443" s="720">
        <v>301.39</v>
      </c>
      <c r="E443" s="720">
        <v>1253.6600000000001</v>
      </c>
      <c r="F443" s="718" t="s">
        <v>2231</v>
      </c>
      <c r="G443" s="718" t="s">
        <v>2289</v>
      </c>
      <c r="H443" s="673"/>
      <c r="I443" s="672"/>
      <c r="J443" s="672"/>
      <c r="K443" s="672"/>
      <c r="L443" s="149" t="str">
        <f t="shared" si="30"/>
        <v>22I</v>
      </c>
      <c r="M443" s="150" t="str">
        <f t="shared" si="31"/>
        <v>SAL. ADMIN. - CARROSSERIE BMW</v>
      </c>
      <c r="N443" s="151">
        <f>+IF(OR($Q443=Parametres!$G$2,$Q443=Parametres!$G$3),I443,C443)</f>
        <v>952.27</v>
      </c>
      <c r="O443" s="151">
        <f>+IF(OR($Q443=Parametres!$G$2,$Q443=Parametres!$G$3),J443,D443)</f>
        <v>301.39</v>
      </c>
      <c r="P443" s="151">
        <f>+IF(OR($Q443=Parametres!$G$2,$Q443=Parametres!$G$3),K443,E443)</f>
        <v>1253.6600000000001</v>
      </c>
      <c r="Q443" s="150" t="str">
        <f t="shared" si="32"/>
        <v>7-Dépenses</v>
      </c>
      <c r="R443" s="149" t="str">
        <f t="shared" si="33"/>
        <v>22</v>
      </c>
      <c r="S443" s="150">
        <f t="shared" si="34"/>
        <v>0</v>
      </c>
      <c r="T443" s="152" t="str">
        <f>+VLOOKUP($L443,Data_Validation!$A:$D,1,0)</f>
        <v>22I</v>
      </c>
      <c r="U443" s="152" t="str">
        <f>+VLOOKUP($L443,Data_Validation!$A:$D,3,0)</f>
        <v>Carrosserie</v>
      </c>
      <c r="V443" s="152" t="str">
        <f>+VLOOKUP($L443,Data_Validation!$A:$D,4,0)</f>
        <v>Salaires commis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1671</v>
      </c>
      <c r="B444" s="718" t="s">
        <v>911</v>
      </c>
      <c r="C444" s="720">
        <v>1026</v>
      </c>
      <c r="D444" s="720">
        <v>342</v>
      </c>
      <c r="E444" s="720">
        <v>1368</v>
      </c>
      <c r="F444" s="718" t="s">
        <v>2231</v>
      </c>
      <c r="G444" s="718" t="s">
        <v>2271</v>
      </c>
      <c r="H444" s="673"/>
      <c r="I444" s="672"/>
      <c r="J444" s="672"/>
      <c r="K444" s="672"/>
      <c r="L444" s="149" t="str">
        <f t="shared" si="30"/>
        <v>23A</v>
      </c>
      <c r="M444" s="150" t="str">
        <f t="shared" si="31"/>
        <v>SAL. AUTRES - NEUF BMW</v>
      </c>
      <c r="N444" s="151">
        <f>+IF(OR($Q444=Parametres!$G$2,$Q444=Parametres!$G$3),I444,C444)</f>
        <v>1026</v>
      </c>
      <c r="O444" s="151">
        <f>+IF(OR($Q444=Parametres!$G$2,$Q444=Parametres!$G$3),J444,D444)</f>
        <v>342</v>
      </c>
      <c r="P444" s="151">
        <f>+IF(OR($Q444=Parametres!$G$2,$Q444=Parametres!$G$3),K444,E444)</f>
        <v>1368</v>
      </c>
      <c r="Q444" s="150" t="str">
        <f t="shared" si="32"/>
        <v>7-Dépenses</v>
      </c>
      <c r="R444" s="149" t="str">
        <f t="shared" si="33"/>
        <v>23</v>
      </c>
      <c r="S444" s="150">
        <f t="shared" si="34"/>
        <v>0</v>
      </c>
      <c r="T444" s="152" t="str">
        <f>+VLOOKUP($L444,Data_Validation!$A:$D,1,0)</f>
        <v>23A</v>
      </c>
      <c r="U444" s="152" t="str">
        <f>+VLOOKUP($L444,Data_Validation!$A:$D,3,0)</f>
        <v>Véhicules neufs</v>
      </c>
      <c r="V444" s="152" t="str">
        <f>+VLOOKUP($L444,Data_Validation!$A:$D,4,0)</f>
        <v>salaires autres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1783</v>
      </c>
      <c r="B445" s="718" t="s">
        <v>938</v>
      </c>
      <c r="C445" s="719">
        <v>8427</v>
      </c>
      <c r="D445" s="719">
        <v>2809</v>
      </c>
      <c r="E445" s="719">
        <v>11236</v>
      </c>
      <c r="F445" s="718" t="s">
        <v>2231</v>
      </c>
      <c r="G445" s="718" t="s">
        <v>2271</v>
      </c>
      <c r="H445" s="719"/>
      <c r="I445" s="720"/>
      <c r="J445" s="720"/>
      <c r="K445" s="720"/>
      <c r="L445" s="149" t="str">
        <f t="shared" si="30"/>
        <v>23C</v>
      </c>
      <c r="M445" s="150" t="str">
        <f t="shared" si="31"/>
        <v>SAL. AUTRES - USAGE BMW</v>
      </c>
      <c r="N445" s="151">
        <f>+IF(OR($Q445=Parametres!$G$2,$Q445=Parametres!$G$3),I445,C445)</f>
        <v>8427</v>
      </c>
      <c r="O445" s="151">
        <f>+IF(OR($Q445=Parametres!$G$2,$Q445=Parametres!$G$3),J445,D445)</f>
        <v>2809</v>
      </c>
      <c r="P445" s="151">
        <f>+IF(OR($Q445=Parametres!$G$2,$Q445=Parametres!$G$3),K445,E445)</f>
        <v>11236</v>
      </c>
      <c r="Q445" s="150" t="str">
        <f t="shared" si="32"/>
        <v>7-Dépenses</v>
      </c>
      <c r="R445" s="149" t="str">
        <f t="shared" si="33"/>
        <v>23</v>
      </c>
      <c r="S445" s="150">
        <f t="shared" si="34"/>
        <v>0</v>
      </c>
      <c r="T445" s="152" t="str">
        <f>+VLOOKUP($L445,Data_Validation!$A:$D,1,0)</f>
        <v>23C</v>
      </c>
      <c r="U445" s="152" t="str">
        <f>+VLOOKUP($L445,Data_Validation!$A:$D,3,0)</f>
        <v>Véhicules usagés</v>
      </c>
      <c r="V445" s="152" t="str">
        <f>+VLOOKUP($L445,Data_Validation!$A:$D,4,0)</f>
        <v>salaires autres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1216</v>
      </c>
      <c r="B446" s="718" t="s">
        <v>950</v>
      </c>
      <c r="C446" s="720">
        <v>13086.92</v>
      </c>
      <c r="D446" s="720">
        <v>8534</v>
      </c>
      <c r="E446" s="720">
        <v>21620.92</v>
      </c>
      <c r="F446" s="718" t="s">
        <v>2231</v>
      </c>
      <c r="G446" s="718" t="s">
        <v>2271</v>
      </c>
      <c r="H446" s="673"/>
      <c r="I446" s="672"/>
      <c r="J446" s="672"/>
      <c r="K446" s="672"/>
      <c r="L446" s="149" t="str">
        <f t="shared" si="30"/>
        <v>23E</v>
      </c>
      <c r="M446" s="150" t="str">
        <f t="shared" si="31"/>
        <v>SAL. AUTRES - SERV. BMW</v>
      </c>
      <c r="N446" s="151">
        <f>+IF(OR($Q446=Parametres!$G$2,$Q446=Parametres!$G$3),I446,C446)</f>
        <v>13086.92</v>
      </c>
      <c r="O446" s="151">
        <f>+IF(OR($Q446=Parametres!$G$2,$Q446=Parametres!$G$3),J446,D446)</f>
        <v>8534</v>
      </c>
      <c r="P446" s="151">
        <f>+IF(OR($Q446=Parametres!$G$2,$Q446=Parametres!$G$3),K446,E446)</f>
        <v>21620.92</v>
      </c>
      <c r="Q446" s="150" t="str">
        <f t="shared" si="32"/>
        <v>7-Dépenses</v>
      </c>
      <c r="R446" s="149" t="str">
        <f t="shared" si="33"/>
        <v>23</v>
      </c>
      <c r="S446" s="150">
        <f t="shared" si="34"/>
        <v>0</v>
      </c>
      <c r="T446" s="152" t="str">
        <f>+VLOOKUP($L446,Data_Validation!$A:$D,1,0)</f>
        <v>23E</v>
      </c>
      <c r="U446" s="152" t="str">
        <f>+VLOOKUP($L446,Data_Validation!$A:$D,3,0)</f>
        <v>Service</v>
      </c>
      <c r="V446" s="152" t="str">
        <f>+VLOOKUP($L446,Data_Validation!$A:$D,4,0)</f>
        <v>salaires autres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1741</v>
      </c>
      <c r="B447" s="718" t="s">
        <v>963</v>
      </c>
      <c r="C447" s="720">
        <v>35007.51</v>
      </c>
      <c r="D447" s="720">
        <v>14885.99</v>
      </c>
      <c r="E447" s="720">
        <v>49893.5</v>
      </c>
      <c r="F447" s="718" t="s">
        <v>2231</v>
      </c>
      <c r="G447" s="718" t="s">
        <v>2271</v>
      </c>
      <c r="H447" s="673"/>
      <c r="I447" s="673"/>
      <c r="J447" s="673"/>
      <c r="K447" s="673"/>
      <c r="L447" s="149" t="str">
        <f t="shared" si="30"/>
        <v>23G</v>
      </c>
      <c r="M447" s="150" t="str">
        <f t="shared" si="31"/>
        <v>SAL. AUTRES - PIECE BMW</v>
      </c>
      <c r="N447" s="151">
        <f>+IF(OR($Q447=Parametres!$G$2,$Q447=Parametres!$G$3),I447,C447)</f>
        <v>35007.51</v>
      </c>
      <c r="O447" s="151">
        <f>+IF(OR($Q447=Parametres!$G$2,$Q447=Parametres!$G$3),J447,D447)</f>
        <v>14885.99</v>
      </c>
      <c r="P447" s="151">
        <f>+IF(OR($Q447=Parametres!$G$2,$Q447=Parametres!$G$3),K447,E447)</f>
        <v>49893.5</v>
      </c>
      <c r="Q447" s="150" t="str">
        <f t="shared" si="32"/>
        <v>7-Dépenses</v>
      </c>
      <c r="R447" s="149" t="str">
        <f t="shared" si="33"/>
        <v>23</v>
      </c>
      <c r="S447" s="150">
        <f t="shared" si="34"/>
        <v>0</v>
      </c>
      <c r="T447" s="152" t="str">
        <f>+VLOOKUP($L447,Data_Validation!$A:$D,1,0)</f>
        <v>23G</v>
      </c>
      <c r="U447" s="152" t="str">
        <f>+VLOOKUP($L447,Data_Validation!$A:$D,3,0)</f>
        <v>Pièces</v>
      </c>
      <c r="V447" s="152" t="str">
        <f>+VLOOKUP($L447,Data_Validation!$A:$D,4,0)</f>
        <v>salaires autres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1613</v>
      </c>
      <c r="B448" s="718" t="s">
        <v>682</v>
      </c>
      <c r="C448" s="720">
        <v>57</v>
      </c>
      <c r="D448" s="720">
        <v>19</v>
      </c>
      <c r="E448" s="720">
        <v>76</v>
      </c>
      <c r="F448" s="718" t="s">
        <v>2231</v>
      </c>
      <c r="G448" s="718" t="s">
        <v>2271</v>
      </c>
      <c r="H448" s="673"/>
      <c r="I448" s="672"/>
      <c r="J448" s="672"/>
      <c r="K448" s="672"/>
      <c r="L448" s="149" t="str">
        <f t="shared" si="30"/>
        <v>23I</v>
      </c>
      <c r="M448" s="150" t="str">
        <f t="shared" si="31"/>
        <v>SAL. AUTRES - CARROSSERIE BMW</v>
      </c>
      <c r="N448" s="151">
        <f>+IF(OR($Q448=Parametres!$G$2,$Q448=Parametres!$G$3),I448,C448)</f>
        <v>57</v>
      </c>
      <c r="O448" s="151">
        <f>+IF(OR($Q448=Parametres!$G$2,$Q448=Parametres!$G$3),J448,D448)</f>
        <v>19</v>
      </c>
      <c r="P448" s="151">
        <f>+IF(OR($Q448=Parametres!$G$2,$Q448=Parametres!$G$3),K448,E448)</f>
        <v>76</v>
      </c>
      <c r="Q448" s="150" t="str">
        <f t="shared" si="32"/>
        <v>7-Dépenses</v>
      </c>
      <c r="R448" s="149" t="str">
        <f t="shared" si="33"/>
        <v>23</v>
      </c>
      <c r="S448" s="150">
        <f t="shared" si="34"/>
        <v>0</v>
      </c>
      <c r="T448" s="152" t="str">
        <f>+VLOOKUP($L448,Data_Validation!$A:$D,1,0)</f>
        <v>23I</v>
      </c>
      <c r="U448" s="152" t="str">
        <f>+VLOOKUP($L448,Data_Validation!$A:$D,3,0)</f>
        <v>Carrosserie</v>
      </c>
      <c r="V448" s="152" t="str">
        <f>+VLOOKUP($L448,Data_Validation!$A:$D,4,0)</f>
        <v>salaires autres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1704</v>
      </c>
      <c r="B449" s="718" t="s">
        <v>919</v>
      </c>
      <c r="C449" s="720">
        <v>26717.06</v>
      </c>
      <c r="D449" s="720">
        <v>4466.22</v>
      </c>
      <c r="E449" s="720">
        <v>31183.279999999999</v>
      </c>
      <c r="F449" s="718" t="s">
        <v>2231</v>
      </c>
      <c r="G449" s="718" t="s">
        <v>2279</v>
      </c>
      <c r="H449" s="673"/>
      <c r="I449" s="672"/>
      <c r="J449" s="672"/>
      <c r="K449" s="672"/>
      <c r="L449" s="149" t="str">
        <f t="shared" si="30"/>
        <v>24A</v>
      </c>
      <c r="M449" s="150" t="str">
        <f t="shared" si="31"/>
        <v>SAL. ABSENCE - NEUF BMW</v>
      </c>
      <c r="N449" s="151">
        <f>+IF(OR($Q449=Parametres!$G$2,$Q449=Parametres!$G$3),I449,C449)</f>
        <v>26717.06</v>
      </c>
      <c r="O449" s="151">
        <f>+IF(OR($Q449=Parametres!$G$2,$Q449=Parametres!$G$3),J449,D449)</f>
        <v>4466.22</v>
      </c>
      <c r="P449" s="151">
        <f>+IF(OR($Q449=Parametres!$G$2,$Q449=Parametres!$G$3),K449,E449)</f>
        <v>31183.279999999999</v>
      </c>
      <c r="Q449" s="150" t="str">
        <f t="shared" si="32"/>
        <v>7-Dépenses</v>
      </c>
      <c r="R449" s="149" t="str">
        <f t="shared" si="33"/>
        <v>24</v>
      </c>
      <c r="S449" s="150">
        <f t="shared" si="34"/>
        <v>0</v>
      </c>
      <c r="T449" s="152" t="str">
        <f>+VLOOKUP($L449,Data_Validation!$A:$D,1,0)</f>
        <v>24A</v>
      </c>
      <c r="U449" s="152" t="str">
        <f>+VLOOKUP($L449,Data_Validation!$A:$D,3,0)</f>
        <v>Véhicules neufs</v>
      </c>
      <c r="V449" s="152" t="str">
        <f>+VLOOKUP($L449,Data_Validation!$A:$D,4,0)</f>
        <v>Salaires en absences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1213</v>
      </c>
      <c r="B450" s="718" t="s">
        <v>859</v>
      </c>
      <c r="C450" s="720">
        <v>12311.35</v>
      </c>
      <c r="D450" s="720">
        <v>2091.5100000000002</v>
      </c>
      <c r="E450" s="720">
        <v>14402.86</v>
      </c>
      <c r="F450" s="718" t="s">
        <v>2231</v>
      </c>
      <c r="G450" s="718" t="s">
        <v>2279</v>
      </c>
      <c r="H450" s="673"/>
      <c r="I450" s="672"/>
      <c r="J450" s="672"/>
      <c r="K450" s="672"/>
      <c r="L450" s="149" t="str">
        <f t="shared" ref="L450:L513" si="35">+B450</f>
        <v>24C</v>
      </c>
      <c r="M450" s="150" t="str">
        <f t="shared" ref="M450:M513" si="36">+A450</f>
        <v>SAL. ABSENCE - USAGE BMW</v>
      </c>
      <c r="N450" s="151">
        <f>+IF(OR($Q450=Parametres!$G$2,$Q450=Parametres!$G$3),I450,C450)</f>
        <v>12311.35</v>
      </c>
      <c r="O450" s="151">
        <f>+IF(OR($Q450=Parametres!$G$2,$Q450=Parametres!$G$3),J450,D450)</f>
        <v>2091.5100000000002</v>
      </c>
      <c r="P450" s="151">
        <f>+IF(OR($Q450=Parametres!$G$2,$Q450=Parametres!$G$3),K450,E450)</f>
        <v>14402.86</v>
      </c>
      <c r="Q450" s="150" t="str">
        <f t="shared" ref="Q450:Q513" si="37">+F450</f>
        <v>7-Dépenses</v>
      </c>
      <c r="R450" s="149" t="str">
        <f t="shared" ref="R450:R513" si="38">+G450</f>
        <v>24</v>
      </c>
      <c r="S450" s="150">
        <f t="shared" ref="S450:S513" si="39">+H450</f>
        <v>0</v>
      </c>
      <c r="T450" s="152" t="str">
        <f>+VLOOKUP($L450,Data_Validation!$A:$D,1,0)</f>
        <v>24C</v>
      </c>
      <c r="U450" s="152" t="str">
        <f>+VLOOKUP($L450,Data_Validation!$A:$D,3,0)</f>
        <v>Véhicules usagés</v>
      </c>
      <c r="V450" s="152" t="str">
        <f>+VLOOKUP($L450,Data_Validation!$A:$D,4,0)</f>
        <v>Salaires en absences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1743</v>
      </c>
      <c r="B451" s="718" t="s">
        <v>953</v>
      </c>
      <c r="C451" s="720">
        <v>26060.22</v>
      </c>
      <c r="D451" s="720">
        <v>3656.35</v>
      </c>
      <c r="E451" s="720">
        <v>29716.57</v>
      </c>
      <c r="F451" s="718" t="s">
        <v>2231</v>
      </c>
      <c r="G451" s="718" t="s">
        <v>2279</v>
      </c>
      <c r="H451" s="673"/>
      <c r="I451" s="672"/>
      <c r="J451" s="672"/>
      <c r="K451" s="672"/>
      <c r="L451" s="149" t="str">
        <f t="shared" si="35"/>
        <v>24E</v>
      </c>
      <c r="M451" s="150" t="str">
        <f t="shared" si="36"/>
        <v>SAL. ABSENCE - SERV. BMW</v>
      </c>
      <c r="N451" s="151">
        <f>+IF(OR($Q451=Parametres!$G$2,$Q451=Parametres!$G$3),I451,C451)</f>
        <v>26060.22</v>
      </c>
      <c r="O451" s="151">
        <f>+IF(OR($Q451=Parametres!$G$2,$Q451=Parametres!$G$3),J451,D451)</f>
        <v>3656.35</v>
      </c>
      <c r="P451" s="151">
        <f>+IF(OR($Q451=Parametres!$G$2,$Q451=Parametres!$G$3),K451,E451)</f>
        <v>29716.57</v>
      </c>
      <c r="Q451" s="150" t="str">
        <f t="shared" si="37"/>
        <v>7-Dépenses</v>
      </c>
      <c r="R451" s="149" t="str">
        <f t="shared" si="38"/>
        <v>24</v>
      </c>
      <c r="S451" s="150">
        <f t="shared" si="39"/>
        <v>0</v>
      </c>
      <c r="T451" s="152" t="str">
        <f>+VLOOKUP($L451,Data_Validation!$A:$D,1,0)</f>
        <v>24E</v>
      </c>
      <c r="U451" s="152" t="str">
        <f>+VLOOKUP($L451,Data_Validation!$A:$D,3,0)</f>
        <v>Service</v>
      </c>
      <c r="V451" s="152" t="str">
        <f>+VLOOKUP($L451,Data_Validation!$A:$D,4,0)</f>
        <v>Salaires en absences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1219</v>
      </c>
      <c r="B452" s="718" t="s">
        <v>901</v>
      </c>
      <c r="C452" s="719">
        <v>9295.6200000000008</v>
      </c>
      <c r="D452" s="719">
        <v>1471.97</v>
      </c>
      <c r="E452" s="719">
        <v>10767.59</v>
      </c>
      <c r="F452" s="718" t="s">
        <v>2231</v>
      </c>
      <c r="G452" s="718" t="s">
        <v>2279</v>
      </c>
      <c r="H452" s="719"/>
      <c r="I452" s="720"/>
      <c r="J452" s="720"/>
      <c r="K452" s="720"/>
      <c r="L452" s="149" t="str">
        <f t="shared" si="35"/>
        <v>24G</v>
      </c>
      <c r="M452" s="150" t="str">
        <f t="shared" si="36"/>
        <v>SAL. ABSENCE - PIECE BMW</v>
      </c>
      <c r="N452" s="151">
        <f>+IF(OR($Q452=Parametres!$G$2,$Q452=Parametres!$G$3),I452,C452)</f>
        <v>9295.6200000000008</v>
      </c>
      <c r="O452" s="151">
        <f>+IF(OR($Q452=Parametres!$G$2,$Q452=Parametres!$G$3),J452,D452)</f>
        <v>1471.97</v>
      </c>
      <c r="P452" s="151">
        <f>+IF(OR($Q452=Parametres!$G$2,$Q452=Parametres!$G$3),K452,E452)</f>
        <v>10767.59</v>
      </c>
      <c r="Q452" s="150" t="str">
        <f t="shared" si="37"/>
        <v>7-Dépenses</v>
      </c>
      <c r="R452" s="149" t="str">
        <f t="shared" si="38"/>
        <v>24</v>
      </c>
      <c r="S452" s="150">
        <f t="shared" si="39"/>
        <v>0</v>
      </c>
      <c r="T452" s="152" t="str">
        <f>+VLOOKUP($L452,Data_Validation!$A:$D,1,0)</f>
        <v>24G</v>
      </c>
      <c r="U452" s="152" t="str">
        <f>+VLOOKUP($L452,Data_Validation!$A:$D,3,0)</f>
        <v>Pièces</v>
      </c>
      <c r="V452" s="152" t="str">
        <f>+VLOOKUP($L452,Data_Validation!$A:$D,4,0)</f>
        <v>Salaires en absences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1222</v>
      </c>
      <c r="B453" s="718" t="s">
        <v>768</v>
      </c>
      <c r="C453" s="720">
        <v>364.47</v>
      </c>
      <c r="D453" s="720">
        <v>55.04</v>
      </c>
      <c r="E453" s="720">
        <v>419.51</v>
      </c>
      <c r="F453" s="718" t="s">
        <v>2231</v>
      </c>
      <c r="G453" s="718" t="s">
        <v>2279</v>
      </c>
      <c r="H453" s="673"/>
      <c r="I453" s="672"/>
      <c r="J453" s="672"/>
      <c r="K453" s="672"/>
      <c r="L453" s="149" t="str">
        <f t="shared" si="35"/>
        <v>24I</v>
      </c>
      <c r="M453" s="150" t="str">
        <f t="shared" si="36"/>
        <v>SAL. ABSENCE</v>
      </c>
      <c r="N453" s="151">
        <f>+IF(OR($Q453=Parametres!$G$2,$Q453=Parametres!$G$3),I453,C453)</f>
        <v>364.47</v>
      </c>
      <c r="O453" s="151">
        <f>+IF(OR($Q453=Parametres!$G$2,$Q453=Parametres!$G$3),J453,D453)</f>
        <v>55.04</v>
      </c>
      <c r="P453" s="151">
        <f>+IF(OR($Q453=Parametres!$G$2,$Q453=Parametres!$G$3),K453,E453)</f>
        <v>419.51</v>
      </c>
      <c r="Q453" s="150" t="str">
        <f t="shared" si="37"/>
        <v>7-Dépenses</v>
      </c>
      <c r="R453" s="149" t="str">
        <f t="shared" si="38"/>
        <v>24</v>
      </c>
      <c r="S453" s="150">
        <f t="shared" si="39"/>
        <v>0</v>
      </c>
      <c r="T453" s="152" t="str">
        <f>+VLOOKUP($L453,Data_Validation!$A:$D,1,0)</f>
        <v>24I</v>
      </c>
      <c r="U453" s="152" t="str">
        <f>+VLOOKUP($L453,Data_Validation!$A:$D,3,0)</f>
        <v>Carrosserie</v>
      </c>
      <c r="V453" s="152" t="str">
        <f>+VLOOKUP($L453,Data_Validation!$A:$D,4,0)</f>
        <v>Salaires en absences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1794</v>
      </c>
      <c r="B454" s="718" t="s">
        <v>952</v>
      </c>
      <c r="C454" s="720">
        <v>28531.32</v>
      </c>
      <c r="D454" s="720">
        <v>10796.69</v>
      </c>
      <c r="E454" s="720">
        <v>39328.01</v>
      </c>
      <c r="F454" s="718" t="s">
        <v>2231</v>
      </c>
      <c r="G454" s="718" t="s">
        <v>2282</v>
      </c>
      <c r="H454" s="673"/>
      <c r="I454" s="672"/>
      <c r="J454" s="672"/>
      <c r="K454" s="672"/>
      <c r="L454" s="149" t="str">
        <f t="shared" si="35"/>
        <v>25A</v>
      </c>
      <c r="M454" s="150" t="str">
        <f t="shared" si="36"/>
        <v>TAXES PAYE - NEUF BMW</v>
      </c>
      <c r="N454" s="151">
        <f>+IF(OR($Q454=Parametres!$G$2,$Q454=Parametres!$G$3),I454,C454)</f>
        <v>28531.32</v>
      </c>
      <c r="O454" s="151">
        <f>+IF(OR($Q454=Parametres!$G$2,$Q454=Parametres!$G$3),J454,D454)</f>
        <v>10796.69</v>
      </c>
      <c r="P454" s="151">
        <f>+IF(OR($Q454=Parametres!$G$2,$Q454=Parametres!$G$3),K454,E454)</f>
        <v>39328.01</v>
      </c>
      <c r="Q454" s="150" t="str">
        <f t="shared" si="37"/>
        <v>7-Dépenses</v>
      </c>
      <c r="R454" s="149" t="str">
        <f t="shared" si="38"/>
        <v>25</v>
      </c>
      <c r="S454" s="150">
        <f t="shared" si="39"/>
        <v>0</v>
      </c>
      <c r="T454" s="152" t="str">
        <f>+VLOOKUP($L454,Data_Validation!$A:$D,1,0)</f>
        <v>25A</v>
      </c>
      <c r="U454" s="152" t="str">
        <f>+VLOOKUP($L454,Data_Validation!$A:$D,3,0)</f>
        <v>Véhicules neufs</v>
      </c>
      <c r="V454" s="152" t="str">
        <f>+VLOOKUP($L454,Data_Validation!$A:$D,4,0)</f>
        <v>Déduction à la source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1710</v>
      </c>
      <c r="B455" s="671" t="s">
        <v>884</v>
      </c>
      <c r="C455" s="672">
        <v>11798.82</v>
      </c>
      <c r="D455" s="672">
        <v>4566.9399999999996</v>
      </c>
      <c r="E455" s="672">
        <v>16365.76</v>
      </c>
      <c r="F455" s="671" t="s">
        <v>2231</v>
      </c>
      <c r="G455" s="671" t="s">
        <v>2282</v>
      </c>
      <c r="H455" s="666"/>
      <c r="I455" s="665"/>
      <c r="J455" s="665"/>
      <c r="K455" s="665"/>
      <c r="L455" s="149" t="str">
        <f t="shared" si="35"/>
        <v>25C</v>
      </c>
      <c r="M455" s="150" t="str">
        <f t="shared" si="36"/>
        <v>TAXES PAYE - USAGE BMW</v>
      </c>
      <c r="N455" s="151">
        <f>+IF(OR($Q455=Parametres!$G$2,$Q455=Parametres!$G$3),I455,C455)</f>
        <v>11798.82</v>
      </c>
      <c r="O455" s="151">
        <f>+IF(OR($Q455=Parametres!$G$2,$Q455=Parametres!$G$3),J455,D455)</f>
        <v>4566.9399999999996</v>
      </c>
      <c r="P455" s="151">
        <f>+IF(OR($Q455=Parametres!$G$2,$Q455=Parametres!$G$3),K455,E455)</f>
        <v>16365.76</v>
      </c>
      <c r="Q455" s="150" t="str">
        <f t="shared" si="37"/>
        <v>7-Dépenses</v>
      </c>
      <c r="R455" s="149" t="str">
        <f t="shared" si="38"/>
        <v>25</v>
      </c>
      <c r="S455" s="150">
        <f t="shared" si="39"/>
        <v>0</v>
      </c>
      <c r="T455" s="152" t="str">
        <f>+VLOOKUP($L455,Data_Validation!$A:$D,1,0)</f>
        <v>25C</v>
      </c>
      <c r="U455" s="152" t="str">
        <f>+VLOOKUP($L455,Data_Validation!$A:$D,3,0)</f>
        <v>Véhicules usagés</v>
      </c>
      <c r="V455" s="152" t="str">
        <f>+VLOOKUP($L455,Data_Validation!$A:$D,4,0)</f>
        <v>Déduction à la source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1758</v>
      </c>
      <c r="B456" s="718" t="s">
        <v>948</v>
      </c>
      <c r="C456" s="720">
        <v>25449.26</v>
      </c>
      <c r="D456" s="720">
        <v>9937.5</v>
      </c>
      <c r="E456" s="720">
        <v>35386.76</v>
      </c>
      <c r="F456" s="718" t="s">
        <v>2231</v>
      </c>
      <c r="G456" s="718" t="s">
        <v>2282</v>
      </c>
      <c r="H456" s="673"/>
      <c r="I456" s="672"/>
      <c r="J456" s="672"/>
      <c r="K456" s="672"/>
      <c r="L456" s="149" t="str">
        <f t="shared" si="35"/>
        <v>25E</v>
      </c>
      <c r="M456" s="150" t="str">
        <f t="shared" si="36"/>
        <v>TAXES PAYE - SERV. BMW</v>
      </c>
      <c r="N456" s="151">
        <f>+IF(OR($Q456=Parametres!$G$2,$Q456=Parametres!$G$3),I456,C456)</f>
        <v>25449.26</v>
      </c>
      <c r="O456" s="504">
        <f>+IF(OR($Q456=Parametres!$G$2,$Q456=Parametres!$G$3),J456,D456)</f>
        <v>9937.5</v>
      </c>
      <c r="P456" s="151">
        <f>+IF(OR($Q456=Parametres!$G$2,$Q456=Parametres!$G$3),K456,E456)</f>
        <v>35386.76</v>
      </c>
      <c r="Q456" s="150" t="str">
        <f t="shared" si="37"/>
        <v>7-Dépenses</v>
      </c>
      <c r="R456" s="149" t="str">
        <f t="shared" si="38"/>
        <v>25</v>
      </c>
      <c r="S456" s="150">
        <f t="shared" si="39"/>
        <v>0</v>
      </c>
      <c r="T456" s="152" t="str">
        <f>+VLOOKUP($L456,Data_Validation!$A:$D,1,0)</f>
        <v>25E</v>
      </c>
      <c r="U456" s="152" t="str">
        <f>+VLOOKUP($L456,Data_Validation!$A:$D,3,0)</f>
        <v>Service</v>
      </c>
      <c r="V456" s="152" t="str">
        <f>+VLOOKUP($L456,Data_Validation!$A:$D,4,0)</f>
        <v>Déduction à la source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1746</v>
      </c>
      <c r="B457" s="718" t="s">
        <v>903</v>
      </c>
      <c r="C457" s="720">
        <v>10292.85</v>
      </c>
      <c r="D457" s="720">
        <v>3611.05</v>
      </c>
      <c r="E457" s="720">
        <v>13903.9</v>
      </c>
      <c r="F457" s="718" t="s">
        <v>2231</v>
      </c>
      <c r="G457" s="718" t="s">
        <v>2282</v>
      </c>
      <c r="H457" s="673"/>
      <c r="I457" s="672"/>
      <c r="J457" s="672"/>
      <c r="K457" s="672"/>
      <c r="L457" s="149" t="str">
        <f t="shared" si="35"/>
        <v>25G</v>
      </c>
      <c r="M457" s="150" t="str">
        <f t="shared" si="36"/>
        <v>TAXES PAYE - PIECE BMW</v>
      </c>
      <c r="N457" s="151">
        <f>+IF(OR($Q457=Parametres!$G$2,$Q457=Parametres!$G$3),I457,C457)</f>
        <v>10292.85</v>
      </c>
      <c r="O457" s="151">
        <f>+IF(OR($Q457=Parametres!$G$2,$Q457=Parametres!$G$3),J457,D457)</f>
        <v>3611.05</v>
      </c>
      <c r="P457" s="151">
        <f>+IF(OR($Q457=Parametres!$G$2,$Q457=Parametres!$G$3),K457,E457)</f>
        <v>13903.9</v>
      </c>
      <c r="Q457" s="150" t="str">
        <f t="shared" si="37"/>
        <v>7-Dépenses</v>
      </c>
      <c r="R457" s="149" t="str">
        <f t="shared" si="38"/>
        <v>25</v>
      </c>
      <c r="S457" s="150">
        <f t="shared" si="39"/>
        <v>0</v>
      </c>
      <c r="T457" s="152" t="str">
        <f>+VLOOKUP($L457,Data_Validation!$A:$D,1,0)</f>
        <v>25G</v>
      </c>
      <c r="U457" s="152" t="str">
        <f>+VLOOKUP($L457,Data_Validation!$A:$D,3,0)</f>
        <v>Pièces</v>
      </c>
      <c r="V457" s="152" t="str">
        <f>+VLOOKUP($L457,Data_Validation!$A:$D,4,0)</f>
        <v>Déduction à la source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1657</v>
      </c>
      <c r="B458" s="718" t="s">
        <v>833</v>
      </c>
      <c r="C458" s="720">
        <v>1297.72</v>
      </c>
      <c r="D458" s="720">
        <v>219</v>
      </c>
      <c r="E458" s="720">
        <v>1516.72</v>
      </c>
      <c r="F458" s="718" t="s">
        <v>2231</v>
      </c>
      <c r="G458" s="718" t="s">
        <v>2282</v>
      </c>
      <c r="H458" s="673"/>
      <c r="I458" s="672"/>
      <c r="J458" s="672"/>
      <c r="K458" s="672"/>
      <c r="L458" s="149" t="str">
        <f t="shared" si="35"/>
        <v>25I</v>
      </c>
      <c r="M458" s="150" t="str">
        <f t="shared" si="36"/>
        <v>TAXES PAYE - CARROSSERIE BMW</v>
      </c>
      <c r="N458" s="151">
        <f>+IF(OR($Q458=Parametres!$G$2,$Q458=Parametres!$G$3),I458,C458)</f>
        <v>1297.72</v>
      </c>
      <c r="O458" s="151">
        <f>+IF(OR($Q458=Parametres!$G$2,$Q458=Parametres!$G$3),J458,D458)</f>
        <v>219</v>
      </c>
      <c r="P458" s="151">
        <f>+IF(OR($Q458=Parametres!$G$2,$Q458=Parametres!$G$3),K458,E458)</f>
        <v>1516.72</v>
      </c>
      <c r="Q458" s="150" t="str">
        <f t="shared" si="37"/>
        <v>7-Dépenses</v>
      </c>
      <c r="R458" s="149" t="str">
        <f t="shared" si="38"/>
        <v>25</v>
      </c>
      <c r="S458" s="150">
        <f t="shared" si="39"/>
        <v>0</v>
      </c>
      <c r="T458" s="152" t="str">
        <f>+VLOOKUP($L458,Data_Validation!$A:$D,1,0)</f>
        <v>25I</v>
      </c>
      <c r="U458" s="152" t="str">
        <f>+VLOOKUP($L458,Data_Validation!$A:$D,3,0)</f>
        <v>Carrosserie</v>
      </c>
      <c r="V458" s="152" t="str">
        <f>+VLOOKUP($L458,Data_Validation!$A:$D,4,0)</f>
        <v>Déduction à la source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1782</v>
      </c>
      <c r="B459" s="718" t="s">
        <v>956</v>
      </c>
      <c r="C459" s="719">
        <v>20481.84</v>
      </c>
      <c r="D459" s="719">
        <v>12116.41</v>
      </c>
      <c r="E459" s="719">
        <v>32598.25</v>
      </c>
      <c r="F459" s="718" t="s">
        <v>2231</v>
      </c>
      <c r="G459" s="718" t="s">
        <v>2297</v>
      </c>
      <c r="H459" s="719"/>
      <c r="I459" s="720"/>
      <c r="J459" s="720"/>
      <c r="K459" s="720"/>
      <c r="L459" s="149" t="str">
        <f t="shared" si="35"/>
        <v>26E</v>
      </c>
      <c r="M459" s="150" t="str">
        <f t="shared" si="36"/>
        <v>SAL. SPECIALISTES - SERV. BMW</v>
      </c>
      <c r="N459" s="151">
        <f>+IF(OR($Q459=Parametres!$G$2,$Q459=Parametres!$G$3),I459,C459)</f>
        <v>20481.84</v>
      </c>
      <c r="O459" s="151">
        <f>+IF(OR($Q459=Parametres!$G$2,$Q459=Parametres!$G$3),J459,D459)</f>
        <v>12116.41</v>
      </c>
      <c r="P459" s="151">
        <f>+IF(OR($Q459=Parametres!$G$2,$Q459=Parametres!$G$3),K459,E459)</f>
        <v>32598.25</v>
      </c>
      <c r="Q459" s="150" t="str">
        <f t="shared" si="37"/>
        <v>7-Dépenses</v>
      </c>
      <c r="R459" s="149" t="str">
        <f t="shared" si="38"/>
        <v>26</v>
      </c>
      <c r="S459" s="150">
        <f t="shared" si="39"/>
        <v>0</v>
      </c>
      <c r="T459" s="152" t="str">
        <f>+VLOOKUP($L459,Data_Validation!$A:$D,1,0)</f>
        <v>26E</v>
      </c>
      <c r="U459" s="152" t="str">
        <f>+VLOOKUP($L459,Data_Validation!$A:$D,3,0)</f>
        <v>Service</v>
      </c>
      <c r="V459" s="152" t="str">
        <f>+VLOOKUP($L459,Data_Validation!$A:$D,4,0)</f>
        <v>Salaires spécialistes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1796</v>
      </c>
      <c r="B460" s="718" t="s">
        <v>915</v>
      </c>
      <c r="C460" s="719">
        <v>12233.61</v>
      </c>
      <c r="D460" s="719">
        <v>4198.83</v>
      </c>
      <c r="E460" s="719">
        <v>16432.439999999999</v>
      </c>
      <c r="F460" s="718" t="s">
        <v>2231</v>
      </c>
      <c r="G460" s="718" t="s">
        <v>2276</v>
      </c>
      <c r="H460" s="719"/>
      <c r="I460" s="720"/>
      <c r="J460" s="720"/>
      <c r="K460" s="720"/>
      <c r="L460" s="149" t="str">
        <f t="shared" si="35"/>
        <v>27A</v>
      </c>
      <c r="M460" s="150" t="str">
        <f t="shared" si="36"/>
        <v>AVANT. SOCIAUX - NEUF BMW</v>
      </c>
      <c r="N460" s="151">
        <f>+IF(OR($Q460=Parametres!$G$2,$Q460=Parametres!$G$3),I460,C460)</f>
        <v>12233.61</v>
      </c>
      <c r="O460" s="151">
        <f>+IF(OR($Q460=Parametres!$G$2,$Q460=Parametres!$G$3),J460,D460)</f>
        <v>4198.83</v>
      </c>
      <c r="P460" s="151">
        <f>+IF(OR($Q460=Parametres!$G$2,$Q460=Parametres!$G$3),K460,E460)</f>
        <v>16432.439999999999</v>
      </c>
      <c r="Q460" s="150" t="str">
        <f t="shared" si="37"/>
        <v>7-Dépenses</v>
      </c>
      <c r="R460" s="149" t="str">
        <f t="shared" si="38"/>
        <v>27</v>
      </c>
      <c r="S460" s="150">
        <f t="shared" si="39"/>
        <v>0</v>
      </c>
      <c r="T460" s="152" t="str">
        <f>+VLOOKUP($L460,Data_Validation!$A:$D,1,0)</f>
        <v>27A</v>
      </c>
      <c r="U460" s="152" t="str">
        <f>+VLOOKUP($L460,Data_Validation!$A:$D,3,0)</f>
        <v>Véhicules neufs</v>
      </c>
      <c r="V460" s="152" t="str">
        <f>+VLOOKUP($L460,Data_Validation!$A:$D,4,0)</f>
        <v>Bénéfices marginaux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1713</v>
      </c>
      <c r="B461" s="718" t="s">
        <v>853</v>
      </c>
      <c r="C461" s="719">
        <v>5483.99</v>
      </c>
      <c r="D461" s="719">
        <v>1987.58</v>
      </c>
      <c r="E461" s="719">
        <v>7471.57</v>
      </c>
      <c r="F461" s="718" t="s">
        <v>2231</v>
      </c>
      <c r="G461" s="718" t="s">
        <v>2276</v>
      </c>
      <c r="H461" s="719"/>
      <c r="I461" s="720"/>
      <c r="J461" s="720"/>
      <c r="K461" s="720"/>
      <c r="L461" s="149" t="str">
        <f t="shared" si="35"/>
        <v>27C</v>
      </c>
      <c r="M461" s="150" t="str">
        <f t="shared" si="36"/>
        <v>AVANT. SOCIAUX - USAGE BMW</v>
      </c>
      <c r="N461" s="151">
        <f>+IF(OR($Q461=Parametres!$G$2,$Q461=Parametres!$G$3),I461,C461)</f>
        <v>5483.99</v>
      </c>
      <c r="O461" s="151">
        <f>+IF(OR($Q461=Parametres!$G$2,$Q461=Parametres!$G$3),J461,D461)</f>
        <v>1987.58</v>
      </c>
      <c r="P461" s="151">
        <f>+IF(OR($Q461=Parametres!$G$2,$Q461=Parametres!$G$3),K461,E461)</f>
        <v>7471.57</v>
      </c>
      <c r="Q461" s="150" t="str">
        <f t="shared" si="37"/>
        <v>7-Dépenses</v>
      </c>
      <c r="R461" s="149" t="str">
        <f t="shared" si="38"/>
        <v>27</v>
      </c>
      <c r="S461" s="150">
        <f t="shared" si="39"/>
        <v>0</v>
      </c>
      <c r="T461" s="152" t="str">
        <f>+VLOOKUP($L461,Data_Validation!$A:$D,1,0)</f>
        <v>27C</v>
      </c>
      <c r="U461" s="152" t="str">
        <f>+VLOOKUP($L461,Data_Validation!$A:$D,3,0)</f>
        <v>Véhicules usagés</v>
      </c>
      <c r="V461" s="152" t="str">
        <f>+VLOOKUP($L461,Data_Validation!$A:$D,4,0)</f>
        <v>Bénéfices marginaux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1759</v>
      </c>
      <c r="B462" s="718" t="s">
        <v>949</v>
      </c>
      <c r="C462" s="720">
        <v>14154.47</v>
      </c>
      <c r="D462" s="720">
        <v>4285.6000000000004</v>
      </c>
      <c r="E462" s="720">
        <v>18440.07</v>
      </c>
      <c r="F462" s="718" t="s">
        <v>2231</v>
      </c>
      <c r="G462" s="718" t="s">
        <v>2276</v>
      </c>
      <c r="H462" s="673"/>
      <c r="I462" s="672"/>
      <c r="J462" s="672"/>
      <c r="K462" s="672"/>
      <c r="L462" s="149" t="str">
        <f t="shared" si="35"/>
        <v>27E</v>
      </c>
      <c r="M462" s="150" t="str">
        <f t="shared" si="36"/>
        <v>AVANT. SOCIAUX - SERV. BMW</v>
      </c>
      <c r="N462" s="151">
        <f>+IF(OR($Q462=Parametres!$G$2,$Q462=Parametres!$G$3),I462,C462)</f>
        <v>14154.47</v>
      </c>
      <c r="O462" s="151">
        <f>+IF(OR($Q462=Parametres!$G$2,$Q462=Parametres!$G$3),J462,D462)</f>
        <v>4285.6000000000004</v>
      </c>
      <c r="P462" s="151">
        <f>+IF(OR($Q462=Parametres!$G$2,$Q462=Parametres!$G$3),K462,E462)</f>
        <v>18440.07</v>
      </c>
      <c r="Q462" s="150" t="str">
        <f t="shared" si="37"/>
        <v>7-Dépenses</v>
      </c>
      <c r="R462" s="149" t="str">
        <f t="shared" si="38"/>
        <v>27</v>
      </c>
      <c r="S462" s="150">
        <f t="shared" si="39"/>
        <v>0</v>
      </c>
      <c r="T462" s="152" t="str">
        <f>+VLOOKUP($L462,Data_Validation!$A:$D,1,0)</f>
        <v>27E</v>
      </c>
      <c r="U462" s="152" t="str">
        <f>+VLOOKUP($L462,Data_Validation!$A:$D,3,0)</f>
        <v>Service</v>
      </c>
      <c r="V462" s="152" t="str">
        <f>+VLOOKUP($L462,Data_Validation!$A:$D,4,0)</f>
        <v>Bénéfices marginaux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1750</v>
      </c>
      <c r="B463" s="718" t="s">
        <v>905</v>
      </c>
      <c r="C463" s="720">
        <v>5640.08</v>
      </c>
      <c r="D463" s="720">
        <v>1729.64</v>
      </c>
      <c r="E463" s="720">
        <v>7369.72</v>
      </c>
      <c r="F463" s="718" t="s">
        <v>2231</v>
      </c>
      <c r="G463" s="718" t="s">
        <v>2276</v>
      </c>
      <c r="H463" s="673"/>
      <c r="I463" s="672"/>
      <c r="J463" s="672"/>
      <c r="K463" s="672"/>
      <c r="L463" s="149" t="str">
        <f t="shared" si="35"/>
        <v>27G</v>
      </c>
      <c r="M463" s="150" t="str">
        <f t="shared" si="36"/>
        <v>AVANT. SOCIAUX - PIECE BMW</v>
      </c>
      <c r="N463" s="151">
        <f>+IF(OR($Q463=Parametres!$G$2,$Q463=Parametres!$G$3),I463,C463)</f>
        <v>5640.08</v>
      </c>
      <c r="O463" s="151">
        <f>+IF(OR($Q463=Parametres!$G$2,$Q463=Parametres!$G$3),J463,D463)</f>
        <v>1729.64</v>
      </c>
      <c r="P463" s="151">
        <f>+IF(OR($Q463=Parametres!$G$2,$Q463=Parametres!$G$3),K463,E463)</f>
        <v>7369.72</v>
      </c>
      <c r="Q463" s="150" t="str">
        <f t="shared" si="37"/>
        <v>7-Dépenses</v>
      </c>
      <c r="R463" s="149" t="str">
        <f t="shared" si="38"/>
        <v>27</v>
      </c>
      <c r="S463" s="150">
        <f t="shared" si="39"/>
        <v>0</v>
      </c>
      <c r="T463" s="152" t="str">
        <f>+VLOOKUP($L463,Data_Validation!$A:$D,1,0)</f>
        <v>27G</v>
      </c>
      <c r="U463" s="152" t="str">
        <f>+VLOOKUP($L463,Data_Validation!$A:$D,3,0)</f>
        <v>Pièces</v>
      </c>
      <c r="V463" s="152" t="str">
        <f>+VLOOKUP($L463,Data_Validation!$A:$D,4,0)</f>
        <v>Bénéfices marginaux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1658</v>
      </c>
      <c r="B464" s="718" t="s">
        <v>814</v>
      </c>
      <c r="C464" s="720">
        <v>193.82</v>
      </c>
      <c r="D464" s="720">
        <v>48.02</v>
      </c>
      <c r="E464" s="720">
        <v>241.84</v>
      </c>
      <c r="F464" s="718" t="s">
        <v>2231</v>
      </c>
      <c r="G464" s="718" t="s">
        <v>2276</v>
      </c>
      <c r="H464" s="673"/>
      <c r="I464" s="672"/>
      <c r="J464" s="672"/>
      <c r="K464" s="672"/>
      <c r="L464" s="149" t="str">
        <f t="shared" si="35"/>
        <v>27I</v>
      </c>
      <c r="M464" s="150" t="str">
        <f t="shared" si="36"/>
        <v>AVANT. SOCIAUX - CARROSSERIE BMW</v>
      </c>
      <c r="N464" s="151">
        <f>+IF(OR($Q464=Parametres!$G$2,$Q464=Parametres!$G$3),I464,C464)</f>
        <v>193.82</v>
      </c>
      <c r="O464" s="151">
        <f>+IF(OR($Q464=Parametres!$G$2,$Q464=Parametres!$G$3),J464,D464)</f>
        <v>48.02</v>
      </c>
      <c r="P464" s="151">
        <f>+IF(OR($Q464=Parametres!$G$2,$Q464=Parametres!$G$3),K464,E464)</f>
        <v>241.84</v>
      </c>
      <c r="Q464" s="150" t="str">
        <f t="shared" si="37"/>
        <v>7-Dépenses</v>
      </c>
      <c r="R464" s="149" t="str">
        <f t="shared" si="38"/>
        <v>27</v>
      </c>
      <c r="S464" s="150">
        <f t="shared" si="39"/>
        <v>0</v>
      </c>
      <c r="T464" s="152" t="str">
        <f>+VLOOKUP($L464,Data_Validation!$A:$D,1,0)</f>
        <v>27I</v>
      </c>
      <c r="U464" s="152" t="str">
        <f>+VLOOKUP($L464,Data_Validation!$A:$D,3,0)</f>
        <v>Carrosserie</v>
      </c>
      <c r="V464" s="152" t="str">
        <f>+VLOOKUP($L464,Data_Validation!$A:$D,4,0)</f>
        <v>Bénéfices marginaux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1787</v>
      </c>
      <c r="B465" s="718" t="s">
        <v>860</v>
      </c>
      <c r="C465" s="719">
        <v>3477.78</v>
      </c>
      <c r="D465" s="719">
        <v>1249.8</v>
      </c>
      <c r="E465" s="719">
        <v>4727.58</v>
      </c>
      <c r="F465" s="718" t="s">
        <v>2231</v>
      </c>
      <c r="G465" s="718" t="s">
        <v>2267</v>
      </c>
      <c r="H465" s="719"/>
      <c r="I465" s="720"/>
      <c r="J465" s="720"/>
      <c r="K465" s="720"/>
      <c r="L465" s="149" t="str">
        <f t="shared" si="35"/>
        <v>29A</v>
      </c>
      <c r="M465" s="150" t="str">
        <f t="shared" si="36"/>
        <v>FONDS PENSIONS - NEUF BMW</v>
      </c>
      <c r="N465" s="151">
        <f>+IF(OR($Q465=Parametres!$G$2,$Q465=Parametres!$G$3),I465,C465)</f>
        <v>3477.78</v>
      </c>
      <c r="O465" s="151">
        <f>+IF(OR($Q465=Parametres!$G$2,$Q465=Parametres!$G$3),J465,D465)</f>
        <v>1249.8</v>
      </c>
      <c r="P465" s="151">
        <f>+IF(OR($Q465=Parametres!$G$2,$Q465=Parametres!$G$3),K465,E465)</f>
        <v>4727.58</v>
      </c>
      <c r="Q465" s="150" t="str">
        <f t="shared" si="37"/>
        <v>7-Dépenses</v>
      </c>
      <c r="R465" s="149" t="str">
        <f t="shared" si="38"/>
        <v>29</v>
      </c>
      <c r="S465" s="150">
        <f t="shared" si="39"/>
        <v>0</v>
      </c>
      <c r="T465" s="152" t="str">
        <f>+VLOOKUP($L465,Data_Validation!$A:$D,1,0)</f>
        <v>29A</v>
      </c>
      <c r="U465" s="152" t="str">
        <f>+VLOOKUP($L465,Data_Validation!$A:$D,3,0)</f>
        <v>Véhicules neufs</v>
      </c>
      <c r="V465" s="152" t="str">
        <f>+VLOOKUP($L465,Data_Validation!$A:$D,4,0)</f>
        <v>csst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1703</v>
      </c>
      <c r="B466" s="718" t="s">
        <v>816</v>
      </c>
      <c r="C466" s="719">
        <v>1563.1</v>
      </c>
      <c r="D466" s="719">
        <v>590.58000000000004</v>
      </c>
      <c r="E466" s="719">
        <v>2153.6799999999998</v>
      </c>
      <c r="F466" s="718" t="s">
        <v>2231</v>
      </c>
      <c r="G466" s="718" t="s">
        <v>2267</v>
      </c>
      <c r="H466" s="719"/>
      <c r="I466" s="720"/>
      <c r="J466" s="720"/>
      <c r="K466" s="720"/>
      <c r="L466" s="149" t="str">
        <f t="shared" si="35"/>
        <v>29C</v>
      </c>
      <c r="M466" s="150" t="str">
        <f t="shared" si="36"/>
        <v>FONDS PENSIONS - USAGE BMW</v>
      </c>
      <c r="N466" s="151">
        <f>+IF(OR($Q466=Parametres!$G$2,$Q466=Parametres!$G$3),I466,C466)</f>
        <v>1563.1</v>
      </c>
      <c r="O466" s="151">
        <f>+IF(OR($Q466=Parametres!$G$2,$Q466=Parametres!$G$3),J466,D466)</f>
        <v>590.58000000000004</v>
      </c>
      <c r="P466" s="151">
        <f>+IF(OR($Q466=Parametres!$G$2,$Q466=Parametres!$G$3),K466,E466)</f>
        <v>2153.6799999999998</v>
      </c>
      <c r="Q466" s="150" t="str">
        <f t="shared" si="37"/>
        <v>7-Dépenses</v>
      </c>
      <c r="R466" s="149" t="str">
        <f t="shared" si="38"/>
        <v>29</v>
      </c>
      <c r="S466" s="150">
        <f t="shared" si="39"/>
        <v>0</v>
      </c>
      <c r="T466" s="152" t="str">
        <f>+VLOOKUP($L466,Data_Validation!$A:$D,1,0)</f>
        <v>29C</v>
      </c>
      <c r="U466" s="152" t="str">
        <f>+VLOOKUP($L466,Data_Validation!$A:$D,3,0)</f>
        <v>Véhicules usagés</v>
      </c>
      <c r="V466" s="152" t="str">
        <f>+VLOOKUP($L466,Data_Validation!$A:$D,4,0)</f>
        <v>csst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1745</v>
      </c>
      <c r="B467" s="718" t="s">
        <v>839</v>
      </c>
      <c r="C467" s="720">
        <v>3324.71</v>
      </c>
      <c r="D467" s="720">
        <v>1263.33</v>
      </c>
      <c r="E467" s="720">
        <v>4588.04</v>
      </c>
      <c r="F467" s="718" t="s">
        <v>2231</v>
      </c>
      <c r="G467" s="718" t="s">
        <v>2267</v>
      </c>
      <c r="H467" s="673"/>
      <c r="I467" s="672"/>
      <c r="J467" s="672"/>
      <c r="K467" s="672"/>
      <c r="L467" s="149" t="str">
        <f t="shared" si="35"/>
        <v>29E</v>
      </c>
      <c r="M467" s="150" t="str">
        <f t="shared" si="36"/>
        <v>FONDS PENSIONS - SERV. BMW</v>
      </c>
      <c r="N467" s="151">
        <f>+IF(OR($Q467=Parametres!$G$2,$Q467=Parametres!$G$3),I467,C467)</f>
        <v>3324.71</v>
      </c>
      <c r="O467" s="151">
        <f>+IF(OR($Q467=Parametres!$G$2,$Q467=Parametres!$G$3),J467,D467)</f>
        <v>1263.33</v>
      </c>
      <c r="P467" s="151">
        <f>+IF(OR($Q467=Parametres!$G$2,$Q467=Parametres!$G$3),K467,E467)</f>
        <v>4588.04</v>
      </c>
      <c r="Q467" s="150" t="str">
        <f t="shared" si="37"/>
        <v>7-Dépenses</v>
      </c>
      <c r="R467" s="149" t="str">
        <f t="shared" si="38"/>
        <v>29</v>
      </c>
      <c r="S467" s="150">
        <f t="shared" si="39"/>
        <v>0</v>
      </c>
      <c r="T467" s="152" t="str">
        <f>+VLOOKUP($L467,Data_Validation!$A:$D,1,0)</f>
        <v>29E</v>
      </c>
      <c r="U467" s="152" t="str">
        <f>+VLOOKUP($L467,Data_Validation!$A:$D,3,0)</f>
        <v>Service</v>
      </c>
      <c r="V467" s="152" t="str">
        <f>+VLOOKUP($L467,Data_Validation!$A:$D,4,0)</f>
        <v>csst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1740</v>
      </c>
      <c r="B468" s="718" t="s">
        <v>831</v>
      </c>
      <c r="C468" s="720">
        <v>1195.29</v>
      </c>
      <c r="D468" s="720">
        <v>384.94</v>
      </c>
      <c r="E468" s="720">
        <v>1580.23</v>
      </c>
      <c r="F468" s="718" t="s">
        <v>2231</v>
      </c>
      <c r="G468" s="718" t="s">
        <v>2267</v>
      </c>
      <c r="H468" s="673"/>
      <c r="I468" s="672"/>
      <c r="J468" s="672"/>
      <c r="K468" s="672"/>
      <c r="L468" s="149" t="str">
        <f t="shared" si="35"/>
        <v>29G</v>
      </c>
      <c r="M468" s="150" t="str">
        <f t="shared" si="36"/>
        <v>FONDS PENSIONS - PIECE BMW</v>
      </c>
      <c r="N468" s="151">
        <f>+IF(OR($Q468=Parametres!$G$2,$Q468=Parametres!$G$3),I468,C468)</f>
        <v>1195.29</v>
      </c>
      <c r="O468" s="151">
        <f>+IF(OR($Q468=Parametres!$G$2,$Q468=Parametres!$G$3),J468,D468)</f>
        <v>384.94</v>
      </c>
      <c r="P468" s="151">
        <f>+IF(OR($Q468=Parametres!$G$2,$Q468=Parametres!$G$3),K468,E468)</f>
        <v>1580.23</v>
      </c>
      <c r="Q468" s="150" t="str">
        <f t="shared" si="37"/>
        <v>7-Dépenses</v>
      </c>
      <c r="R468" s="149" t="str">
        <f t="shared" si="38"/>
        <v>29</v>
      </c>
      <c r="S468" s="150">
        <f t="shared" si="39"/>
        <v>0</v>
      </c>
      <c r="T468" s="152" t="str">
        <f>+VLOOKUP($L468,Data_Validation!$A:$D,1,0)</f>
        <v>29G</v>
      </c>
      <c r="U468" s="152" t="str">
        <f>+VLOOKUP($L468,Data_Validation!$A:$D,3,0)</f>
        <v>Pièces</v>
      </c>
      <c r="V468" s="152" t="str">
        <f>+VLOOKUP($L468,Data_Validation!$A:$D,4,0)</f>
        <v>csst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1652</v>
      </c>
      <c r="B469" s="718" t="s">
        <v>784</v>
      </c>
      <c r="C469" s="720">
        <v>54.41</v>
      </c>
      <c r="D469" s="720">
        <v>14.46</v>
      </c>
      <c r="E469" s="720">
        <v>68.87</v>
      </c>
      <c r="F469" s="718" t="s">
        <v>2231</v>
      </c>
      <c r="G469" s="718" t="s">
        <v>2267</v>
      </c>
      <c r="H469" s="673"/>
      <c r="I469" s="672"/>
      <c r="J469" s="672"/>
      <c r="K469" s="672"/>
      <c r="L469" s="149" t="str">
        <f t="shared" si="35"/>
        <v>29I</v>
      </c>
      <c r="M469" s="150" t="str">
        <f t="shared" si="36"/>
        <v>FONDS PENSIONS - CARROSSERIE BMW</v>
      </c>
      <c r="N469" s="151">
        <f>+IF(OR($Q469=Parametres!$G$2,$Q469=Parametres!$G$3),I469,C469)</f>
        <v>54.41</v>
      </c>
      <c r="O469" s="151">
        <f>+IF(OR($Q469=Parametres!$G$2,$Q469=Parametres!$G$3),J469,D469)</f>
        <v>14.46</v>
      </c>
      <c r="P469" s="151">
        <f>+IF(OR($Q469=Parametres!$G$2,$Q469=Parametres!$G$3),K469,E469)</f>
        <v>68.87</v>
      </c>
      <c r="Q469" s="150" t="str">
        <f t="shared" si="37"/>
        <v>7-Dépenses</v>
      </c>
      <c r="R469" s="149" t="str">
        <f t="shared" si="38"/>
        <v>29</v>
      </c>
      <c r="S469" s="150">
        <f t="shared" si="39"/>
        <v>0</v>
      </c>
      <c r="T469" s="152" t="str">
        <f>+VLOOKUP($L469,Data_Validation!$A:$D,1,0)</f>
        <v>29I</v>
      </c>
      <c r="U469" s="152" t="str">
        <f>+VLOOKUP($L469,Data_Validation!$A:$D,3,0)</f>
        <v>Carrosserie</v>
      </c>
      <c r="V469" s="152" t="str">
        <f>+VLOOKUP($L469,Data_Validation!$A:$D,4,0)</f>
        <v>csst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1678</v>
      </c>
      <c r="B470" s="718" t="s">
        <v>909</v>
      </c>
      <c r="C470" s="719">
        <v>2643.57</v>
      </c>
      <c r="D470" s="719">
        <v>1182</v>
      </c>
      <c r="E470" s="719">
        <v>3825.57</v>
      </c>
      <c r="F470" s="718" t="s">
        <v>2231</v>
      </c>
      <c r="G470" s="718" t="s">
        <v>2264</v>
      </c>
      <c r="H470" s="719"/>
      <c r="I470" s="720"/>
      <c r="J470" s="720"/>
      <c r="K470" s="720"/>
      <c r="L470" s="149" t="str">
        <f t="shared" si="35"/>
        <v>51E</v>
      </c>
      <c r="M470" s="150" t="str">
        <f t="shared" si="36"/>
        <v>UNIFORMES - SERV. BMW</v>
      </c>
      <c r="N470" s="151">
        <f>+IF(OR($Q470=Parametres!$G$2,$Q470=Parametres!$G$3),I470,C470)</f>
        <v>2643.57</v>
      </c>
      <c r="O470" s="151">
        <f>+IF(OR($Q470=Parametres!$G$2,$Q470=Parametres!$G$3),J470,D470)</f>
        <v>1182</v>
      </c>
      <c r="P470" s="151">
        <f>+IF(OR($Q470=Parametres!$G$2,$Q470=Parametres!$G$3),K470,E470)</f>
        <v>3825.57</v>
      </c>
      <c r="Q470" s="150" t="str">
        <f t="shared" si="37"/>
        <v>7-Dépenses</v>
      </c>
      <c r="R470" s="149" t="str">
        <f t="shared" si="38"/>
        <v>51</v>
      </c>
      <c r="S470" s="150">
        <f t="shared" si="39"/>
        <v>0</v>
      </c>
      <c r="T470" s="152" t="str">
        <f>+VLOOKUP($L470,Data_Validation!$A:$D,1,0)</f>
        <v>51E</v>
      </c>
      <c r="U470" s="152" t="str">
        <f>+VLOOKUP($L470,Data_Validation!$A:$D,3,0)</f>
        <v>Service</v>
      </c>
      <c r="V470" s="152" t="str">
        <f>+VLOOKUP($L470,Data_Validation!$A:$D,4,0)</f>
        <v>Uniformes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1164</v>
      </c>
      <c r="B471" s="718" t="s">
        <v>878</v>
      </c>
      <c r="C471" s="720">
        <v>9143.59</v>
      </c>
      <c r="D471" s="720">
        <v>6567.53</v>
      </c>
      <c r="E471" s="720">
        <v>15711.12</v>
      </c>
      <c r="F471" s="718" t="s">
        <v>2231</v>
      </c>
      <c r="G471" s="718" t="s">
        <v>2298</v>
      </c>
      <c r="H471" s="719"/>
      <c r="I471" s="719"/>
      <c r="J471" s="719"/>
      <c r="K471" s="719"/>
      <c r="L471" s="149" t="str">
        <f t="shared" si="35"/>
        <v>52E</v>
      </c>
      <c r="M471" s="150" t="str">
        <f t="shared" si="36"/>
        <v>DEP. VEHICULES PRETS - SERV. BMW</v>
      </c>
      <c r="N471" s="151">
        <f>+IF(OR($Q471=Parametres!$G$2,$Q471=Parametres!$G$3),I471,C471)</f>
        <v>9143.59</v>
      </c>
      <c r="O471" s="151">
        <f>+IF(OR($Q471=Parametres!$G$2,$Q471=Parametres!$G$3),J471,D471)</f>
        <v>6567.53</v>
      </c>
      <c r="P471" s="151">
        <f>+IF(OR($Q471=Parametres!$G$2,$Q471=Parametres!$G$3),K471,E471)</f>
        <v>15711.12</v>
      </c>
      <c r="Q471" s="150" t="str">
        <f t="shared" si="37"/>
        <v>7-Dépenses</v>
      </c>
      <c r="R471" s="149" t="str">
        <f t="shared" si="38"/>
        <v>52</v>
      </c>
      <c r="S471" s="150">
        <f t="shared" si="39"/>
        <v>0</v>
      </c>
      <c r="T471" s="152" t="str">
        <f>+VLOOKUP($L471,Data_Validation!$A:$D,1,0)</f>
        <v>52E</v>
      </c>
      <c r="U471" s="152" t="str">
        <f>+VLOOKUP($L471,Data_Validation!$A:$D,3,0)</f>
        <v>Service</v>
      </c>
      <c r="V471" s="152" t="str">
        <f>+VLOOKUP($L471,Data_Validation!$A:$D,4,0)</f>
        <v>Frais véhicules de cie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1162</v>
      </c>
      <c r="B472" s="718" t="s">
        <v>1163</v>
      </c>
      <c r="C472" s="719">
        <v>15183.54</v>
      </c>
      <c r="D472" s="719">
        <v>6567.52</v>
      </c>
      <c r="E472" s="719">
        <v>21751.06</v>
      </c>
      <c r="F472" s="718" t="s">
        <v>2231</v>
      </c>
      <c r="G472" s="718" t="s">
        <v>2298</v>
      </c>
      <c r="H472" s="719"/>
      <c r="I472" s="720"/>
      <c r="J472" s="720"/>
      <c r="K472" s="720"/>
      <c r="L472" s="149" t="str">
        <f t="shared" si="35"/>
        <v>52G</v>
      </c>
      <c r="M472" s="150" t="str">
        <f t="shared" si="36"/>
        <v>DEP. VEHICULES PRETS - PIECE BMW</v>
      </c>
      <c r="N472" s="151">
        <f>+IF(OR($Q472=Parametres!$G$2,$Q472=Parametres!$G$3),I472,C472)</f>
        <v>15183.54</v>
      </c>
      <c r="O472" s="151">
        <f>+IF(OR($Q472=Parametres!$G$2,$Q472=Parametres!$G$3),J472,D472)</f>
        <v>6567.52</v>
      </c>
      <c r="P472" s="151">
        <f>+IF(OR($Q472=Parametres!$G$2,$Q472=Parametres!$G$3),K472,E472)</f>
        <v>21751.06</v>
      </c>
      <c r="Q472" s="150" t="str">
        <f t="shared" si="37"/>
        <v>7-Dépenses</v>
      </c>
      <c r="R472" s="149" t="str">
        <f t="shared" si="38"/>
        <v>52</v>
      </c>
      <c r="S472" s="150">
        <f t="shared" si="39"/>
        <v>0</v>
      </c>
      <c r="T472" s="152" t="str">
        <f>+VLOOKUP($L472,Data_Validation!$A:$D,1,0)</f>
        <v>52G</v>
      </c>
      <c r="U472" s="152" t="str">
        <f>+VLOOKUP($L472,Data_Validation!$A:$D,3,0)</f>
        <v>pièces</v>
      </c>
      <c r="V472" s="152" t="str">
        <f>+VLOOKUP($L472,Data_Validation!$A:$D,4,0)</f>
        <v>Frais véhicules de cie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1763</v>
      </c>
      <c r="B473" s="718" t="s">
        <v>937</v>
      </c>
      <c r="C473" s="720">
        <v>16148.83</v>
      </c>
      <c r="D473" s="720">
        <v>4993.4399999999996</v>
      </c>
      <c r="E473" s="720">
        <v>21142.27</v>
      </c>
      <c r="F473" s="718" t="s">
        <v>2231</v>
      </c>
      <c r="G473" s="718" t="s">
        <v>2281</v>
      </c>
      <c r="H473" s="607"/>
      <c r="I473" s="608"/>
      <c r="J473" s="608"/>
      <c r="K473" s="608"/>
      <c r="L473" s="149" t="str">
        <f t="shared" si="35"/>
        <v>53A</v>
      </c>
      <c r="M473" s="150" t="str">
        <f t="shared" si="36"/>
        <v>VEH. COMPAGNIE - NEUF BMW</v>
      </c>
      <c r="N473" s="151">
        <f>+IF(OR($Q473=Parametres!$G$2,$Q473=Parametres!$G$3),I473,C473)</f>
        <v>16148.83</v>
      </c>
      <c r="O473" s="151">
        <f>+IF(OR($Q473=Parametres!$G$2,$Q473=Parametres!$G$3),J473,D473)</f>
        <v>4993.4399999999996</v>
      </c>
      <c r="P473" s="151">
        <f>+IF(OR($Q473=Parametres!$G$2,$Q473=Parametres!$G$3),K473,E473)</f>
        <v>21142.27</v>
      </c>
      <c r="Q473" s="150" t="str">
        <f t="shared" si="37"/>
        <v>7-Dépenses</v>
      </c>
      <c r="R473" s="149" t="str">
        <f t="shared" si="38"/>
        <v>53</v>
      </c>
      <c r="S473" s="150">
        <f t="shared" si="39"/>
        <v>0</v>
      </c>
      <c r="T473" s="152" t="str">
        <f>+VLOOKUP($L473,Data_Validation!$A:$D,1,0)</f>
        <v>53A</v>
      </c>
      <c r="U473" s="152" t="str">
        <f>+VLOOKUP($L473,Data_Validation!$A:$D,3,0)</f>
        <v>Véhicules neufs</v>
      </c>
      <c r="V473" s="152" t="str">
        <f>+VLOOKUP($L473,Data_Validation!$A:$D,4,0)</f>
        <v>Frais véhicules de cie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1706</v>
      </c>
      <c r="B474" s="718" t="s">
        <v>865</v>
      </c>
      <c r="C474" s="719">
        <v>3267.22</v>
      </c>
      <c r="D474" s="719">
        <v>1083.7</v>
      </c>
      <c r="E474" s="719">
        <v>4350.92</v>
      </c>
      <c r="F474" s="718" t="s">
        <v>2231</v>
      </c>
      <c r="G474" s="718" t="s">
        <v>2281</v>
      </c>
      <c r="H474" s="719"/>
      <c r="I474" s="720"/>
      <c r="J474" s="720"/>
      <c r="K474" s="720"/>
      <c r="L474" s="149" t="str">
        <f t="shared" si="35"/>
        <v>53C</v>
      </c>
      <c r="M474" s="150" t="str">
        <f t="shared" si="36"/>
        <v>VEH. COMPAGNIE - USAGE BMW</v>
      </c>
      <c r="N474" s="151">
        <f>+IF(OR($Q474=Parametres!$G$2,$Q474=Parametres!$G$3),I474,C474)</f>
        <v>3267.22</v>
      </c>
      <c r="O474" s="151">
        <f>+IF(OR($Q474=Parametres!$G$2,$Q474=Parametres!$G$3),J474,D474)</f>
        <v>1083.7</v>
      </c>
      <c r="P474" s="151">
        <f>+IF(OR($Q474=Parametres!$G$2,$Q474=Parametres!$G$3),K474,E474)</f>
        <v>4350.92</v>
      </c>
      <c r="Q474" s="150" t="str">
        <f t="shared" si="37"/>
        <v>7-Dépenses</v>
      </c>
      <c r="R474" s="149" t="str">
        <f t="shared" si="38"/>
        <v>53</v>
      </c>
      <c r="S474" s="150">
        <f t="shared" si="39"/>
        <v>0</v>
      </c>
      <c r="T474" s="152" t="str">
        <f>+VLOOKUP($L474,Data_Validation!$A:$D,1,0)</f>
        <v>53C</v>
      </c>
      <c r="U474" s="152" t="str">
        <f>+VLOOKUP($L474,Data_Validation!$A:$D,3,0)</f>
        <v>Véhicules usagés</v>
      </c>
      <c r="V474" s="152" t="str">
        <f>+VLOOKUP($L474,Data_Validation!$A:$D,4,0)</f>
        <v>Frais véhicules de cie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1694</v>
      </c>
      <c r="B475" s="718" t="s">
        <v>896</v>
      </c>
      <c r="C475" s="720">
        <v>5390.02</v>
      </c>
      <c r="D475" s="720">
        <v>1774.52</v>
      </c>
      <c r="E475" s="720">
        <v>7164.54</v>
      </c>
      <c r="F475" s="718" t="s">
        <v>2231</v>
      </c>
      <c r="G475" s="718" t="s">
        <v>2281</v>
      </c>
      <c r="H475" s="666"/>
      <c r="I475" s="665"/>
      <c r="J475" s="665"/>
      <c r="K475" s="665"/>
      <c r="L475" s="149" t="str">
        <f t="shared" si="35"/>
        <v>53E</v>
      </c>
      <c r="M475" s="150" t="str">
        <f t="shared" si="36"/>
        <v>VEH. COMPAGNIE - SERV. BMW</v>
      </c>
      <c r="N475" s="151">
        <f>+IF(OR($Q475=Parametres!$G$2,$Q475=Parametres!$G$3),I475,C475)</f>
        <v>5390.02</v>
      </c>
      <c r="O475" s="151">
        <f>+IF(OR($Q475=Parametres!$G$2,$Q475=Parametres!$G$3),J475,D475)</f>
        <v>1774.52</v>
      </c>
      <c r="P475" s="151">
        <f>+IF(OR($Q475=Parametres!$G$2,$Q475=Parametres!$G$3),K475,E475)</f>
        <v>7164.54</v>
      </c>
      <c r="Q475" s="150" t="str">
        <f t="shared" si="37"/>
        <v>7-Dépenses</v>
      </c>
      <c r="R475" s="149" t="str">
        <f t="shared" si="38"/>
        <v>53</v>
      </c>
      <c r="S475" s="150">
        <f t="shared" si="39"/>
        <v>0</v>
      </c>
      <c r="T475" s="152" t="str">
        <f>+VLOOKUP($L475,Data_Validation!$A:$D,1,0)</f>
        <v>53E</v>
      </c>
      <c r="U475" s="152" t="str">
        <f>+VLOOKUP($L475,Data_Validation!$A:$D,3,0)</f>
        <v>Service</v>
      </c>
      <c r="V475" s="152" t="str">
        <f>+VLOOKUP($L475,Data_Validation!$A:$D,4,0)</f>
        <v>Frais véhicules de cie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1667</v>
      </c>
      <c r="B476" s="718" t="s">
        <v>871</v>
      </c>
      <c r="C476" s="720">
        <v>3546.66</v>
      </c>
      <c r="D476" s="720">
        <v>1156.1500000000001</v>
      </c>
      <c r="E476" s="720">
        <v>4702.8100000000004</v>
      </c>
      <c r="F476" s="718" t="s">
        <v>2231</v>
      </c>
      <c r="G476" s="718" t="s">
        <v>2281</v>
      </c>
      <c r="H476" s="673"/>
      <c r="I476" s="672"/>
      <c r="J476" s="672"/>
      <c r="K476" s="672"/>
      <c r="L476" s="149" t="str">
        <f t="shared" si="35"/>
        <v>53G</v>
      </c>
      <c r="M476" s="150" t="str">
        <f t="shared" si="36"/>
        <v>VEH. COMPAGNIE - PIECE BMW</v>
      </c>
      <c r="N476" s="151">
        <f>+IF(OR($Q476=Parametres!$G$2,$Q476=Parametres!$G$3),I476,C476)</f>
        <v>3546.66</v>
      </c>
      <c r="O476" s="151">
        <f>+IF(OR($Q476=Parametres!$G$2,$Q476=Parametres!$G$3),J476,D476)</f>
        <v>1156.1500000000001</v>
      </c>
      <c r="P476" s="151">
        <f>+IF(OR($Q476=Parametres!$G$2,$Q476=Parametres!$G$3),K476,E476)</f>
        <v>4702.8100000000004</v>
      </c>
      <c r="Q476" s="150" t="str">
        <f t="shared" si="37"/>
        <v>7-Dépenses</v>
      </c>
      <c r="R476" s="149" t="str">
        <f t="shared" si="38"/>
        <v>53</v>
      </c>
      <c r="S476" s="150">
        <f t="shared" si="39"/>
        <v>0</v>
      </c>
      <c r="T476" s="152" t="str">
        <f>+VLOOKUP($L476,Data_Validation!$A:$D,1,0)</f>
        <v>53G</v>
      </c>
      <c r="U476" s="152" t="str">
        <f>+VLOOKUP($L476,Data_Validation!$A:$D,3,0)</f>
        <v>pièces</v>
      </c>
      <c r="V476" s="152" t="str">
        <f>+VLOOKUP($L476,Data_Validation!$A:$D,4,0)</f>
        <v>Frais véhicules de cie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1619</v>
      </c>
      <c r="B477" s="718" t="s">
        <v>805</v>
      </c>
      <c r="C477" s="720">
        <v>443.28</v>
      </c>
      <c r="D477" s="720">
        <v>144.5</v>
      </c>
      <c r="E477" s="720">
        <v>587.78</v>
      </c>
      <c r="F477" s="718" t="s">
        <v>2231</v>
      </c>
      <c r="G477" s="718" t="s">
        <v>2281</v>
      </c>
      <c r="H477" s="673"/>
      <c r="I477" s="672"/>
      <c r="J477" s="672"/>
      <c r="K477" s="672"/>
      <c r="L477" s="149" t="str">
        <f t="shared" si="35"/>
        <v>53I</v>
      </c>
      <c r="M477" s="150" t="str">
        <f t="shared" si="36"/>
        <v>VEH. COMPAGNIE - CARROSSERIE BMW</v>
      </c>
      <c r="N477" s="151">
        <f>+IF(OR($Q477=Parametres!$G$2,$Q477=Parametres!$G$3),I477,C477)</f>
        <v>443.28</v>
      </c>
      <c r="O477" s="151">
        <f>+IF(OR($Q477=Parametres!$G$2,$Q477=Parametres!$G$3),J477,D477)</f>
        <v>144.5</v>
      </c>
      <c r="P477" s="151">
        <f>+IF(OR($Q477=Parametres!$G$2,$Q477=Parametres!$G$3),K477,E477)</f>
        <v>587.78</v>
      </c>
      <c r="Q477" s="150" t="str">
        <f t="shared" si="37"/>
        <v>7-Dépenses</v>
      </c>
      <c r="R477" s="149" t="str">
        <f t="shared" si="38"/>
        <v>53</v>
      </c>
      <c r="S477" s="150">
        <f t="shared" si="39"/>
        <v>0</v>
      </c>
      <c r="T477" s="152" t="str">
        <f>+VLOOKUP($L477,Data_Validation!$A:$D,1,0)</f>
        <v>53I</v>
      </c>
      <c r="U477" s="152" t="str">
        <f>+VLOOKUP($L477,Data_Validation!$A:$D,3,0)</f>
        <v>carrosserie</v>
      </c>
      <c r="V477" s="152" t="str">
        <f>+VLOOKUP($L477,Data_Validation!$A:$D,4,0)</f>
        <v>Frais véhicules de cie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1169</v>
      </c>
      <c r="B478" s="718" t="s">
        <v>1170</v>
      </c>
      <c r="C478" s="719">
        <v>-8725</v>
      </c>
      <c r="D478" s="719">
        <v>-3420</v>
      </c>
      <c r="E478" s="719">
        <v>-12145</v>
      </c>
      <c r="F478" s="718" t="s">
        <v>2231</v>
      </c>
      <c r="G478" s="718" t="s">
        <v>2257</v>
      </c>
      <c r="H478" s="719"/>
      <c r="I478" s="720"/>
      <c r="J478" s="720"/>
      <c r="K478" s="720"/>
      <c r="L478" s="149" t="str">
        <f t="shared" si="35"/>
        <v>54E</v>
      </c>
      <c r="M478" s="150" t="str">
        <f t="shared" si="36"/>
        <v>REV BMW CANADA MOBILITY - SERV BMW</v>
      </c>
      <c r="N478" s="151">
        <f>+IF(OR($Q478=Parametres!$G$2,$Q478=Parametres!$G$3),I478,C478)</f>
        <v>-8725</v>
      </c>
      <c r="O478" s="151">
        <f>+IF(OR($Q478=Parametres!$G$2,$Q478=Parametres!$G$3),J478,D478)</f>
        <v>-3420</v>
      </c>
      <c r="P478" s="151">
        <f>+IF(OR($Q478=Parametres!$G$2,$Q478=Parametres!$G$3),K478,E478)</f>
        <v>-12145</v>
      </c>
      <c r="Q478" s="150" t="str">
        <f t="shared" si="37"/>
        <v>7-Dépenses</v>
      </c>
      <c r="R478" s="149" t="str">
        <f t="shared" si="38"/>
        <v>54</v>
      </c>
      <c r="S478" s="150">
        <f t="shared" si="39"/>
        <v>0</v>
      </c>
      <c r="T478" s="152" t="str">
        <f>+VLOOKUP($L478,Data_Validation!$A:$D,1,0)</f>
        <v>54E</v>
      </c>
      <c r="U478" s="152" t="str">
        <f>+VLOOKUP($L478,Data_Validation!$A:$D,3,0)</f>
        <v>Service</v>
      </c>
      <c r="V478" s="152" t="str">
        <f>+VLOOKUP($L478,Data_Validation!$A:$D,4,0)</f>
        <v>Frais véhicules de cie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1171</v>
      </c>
      <c r="B479" s="718" t="s">
        <v>1172</v>
      </c>
      <c r="C479" s="719">
        <v>-8725</v>
      </c>
      <c r="D479" s="719">
        <v>-3420</v>
      </c>
      <c r="E479" s="719">
        <v>-12145</v>
      </c>
      <c r="F479" s="718" t="s">
        <v>2231</v>
      </c>
      <c r="G479" s="718" t="s">
        <v>2257</v>
      </c>
      <c r="H479" s="719"/>
      <c r="I479" s="720"/>
      <c r="J479" s="720"/>
      <c r="K479" s="720"/>
      <c r="L479" s="149" t="str">
        <f t="shared" si="35"/>
        <v>54G</v>
      </c>
      <c r="M479" s="150" t="str">
        <f t="shared" si="36"/>
        <v>REV BMW CANADA MOBILITY - PIECES BMW</v>
      </c>
      <c r="N479" s="151">
        <f>+IF(OR($Q479=Parametres!$G$2,$Q479=Parametres!$G$3),I479,C479)</f>
        <v>-8725</v>
      </c>
      <c r="O479" s="151">
        <f>+IF(OR($Q479=Parametres!$G$2,$Q479=Parametres!$G$3),J479,D479)</f>
        <v>-3420</v>
      </c>
      <c r="P479" s="151">
        <f>+IF(OR($Q479=Parametres!$G$2,$Q479=Parametres!$G$3),K479,E479)</f>
        <v>-12145</v>
      </c>
      <c r="Q479" s="150" t="str">
        <f t="shared" si="37"/>
        <v>7-Dépenses</v>
      </c>
      <c r="R479" s="149" t="str">
        <f t="shared" si="38"/>
        <v>54</v>
      </c>
      <c r="S479" s="150">
        <f t="shared" si="39"/>
        <v>0</v>
      </c>
      <c r="T479" s="152" t="str">
        <f>+VLOOKUP($L479,Data_Validation!$A:$D,1,0)</f>
        <v>54G</v>
      </c>
      <c r="U479" s="152" t="str">
        <f>+VLOOKUP($L479,Data_Validation!$A:$D,3,0)</f>
        <v>pièces</v>
      </c>
      <c r="V479" s="152" t="str">
        <f>+VLOOKUP($L479,Data_Validation!$A:$D,4,0)</f>
        <v>Frais véhicules de cie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1692</v>
      </c>
      <c r="B480" s="718" t="s">
        <v>856</v>
      </c>
      <c r="C480" s="720">
        <v>1310.19</v>
      </c>
      <c r="D480" s="720">
        <v>431.9</v>
      </c>
      <c r="E480" s="720">
        <v>1742.09</v>
      </c>
      <c r="F480" s="718" t="s">
        <v>2231</v>
      </c>
      <c r="G480" s="718" t="s">
        <v>2272</v>
      </c>
      <c r="H480" s="673"/>
      <c r="I480" s="673"/>
      <c r="J480" s="673"/>
      <c r="K480" s="673"/>
      <c r="L480" s="149" t="str">
        <f t="shared" si="35"/>
        <v>60A</v>
      </c>
      <c r="M480" s="150" t="str">
        <f t="shared" si="36"/>
        <v>FOURNITURES BUREAU - NEUF BMW</v>
      </c>
      <c r="N480" s="151">
        <f>+IF(OR($Q480=Parametres!$G$2,$Q480=Parametres!$G$3),I480,C480)</f>
        <v>1310.19</v>
      </c>
      <c r="O480" s="151">
        <f>+IF(OR($Q480=Parametres!$G$2,$Q480=Parametres!$G$3),J480,D480)</f>
        <v>431.9</v>
      </c>
      <c r="P480" s="151">
        <f>+IF(OR($Q480=Parametres!$G$2,$Q480=Parametres!$G$3),K480,E480)</f>
        <v>1742.09</v>
      </c>
      <c r="Q480" s="150" t="str">
        <f t="shared" si="37"/>
        <v>7-Dépenses</v>
      </c>
      <c r="R480" s="149" t="str">
        <f t="shared" si="38"/>
        <v>60</v>
      </c>
      <c r="S480" s="150">
        <f t="shared" si="39"/>
        <v>0</v>
      </c>
      <c r="T480" s="152" t="str">
        <f>+VLOOKUP($L480,Data_Validation!$A:$D,1,0)</f>
        <v>60A</v>
      </c>
      <c r="U480" s="152" t="str">
        <f>+VLOOKUP($L480,Data_Validation!$A:$D,3,0)</f>
        <v>Véhicules neufs</v>
      </c>
      <c r="V480" s="152" t="str">
        <f>+VLOOKUP($L480,Data_Validation!$A:$D,4,0)</f>
        <v>papeterie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1633</v>
      </c>
      <c r="B481" s="718" t="s">
        <v>813</v>
      </c>
      <c r="C481" s="720">
        <v>440.08</v>
      </c>
      <c r="D481" s="720">
        <v>104.08</v>
      </c>
      <c r="E481" s="720">
        <v>544.16</v>
      </c>
      <c r="F481" s="718" t="s">
        <v>2231</v>
      </c>
      <c r="G481" s="718" t="s">
        <v>2272</v>
      </c>
      <c r="H481" s="673"/>
      <c r="I481" s="672"/>
      <c r="J481" s="672"/>
      <c r="K481" s="672"/>
      <c r="L481" s="149" t="str">
        <f t="shared" si="35"/>
        <v>60C</v>
      </c>
      <c r="M481" s="150" t="str">
        <f t="shared" si="36"/>
        <v>FOURNITURES BUREAU - USAGE BMW</v>
      </c>
      <c r="N481" s="151">
        <f>+IF(OR($Q481=Parametres!$G$2,$Q481=Parametres!$G$3),I481,C481)</f>
        <v>440.08</v>
      </c>
      <c r="O481" s="504">
        <f>+IF(OR($Q481=Parametres!$G$2,$Q481=Parametres!$G$3),J481,D481)</f>
        <v>104.08</v>
      </c>
      <c r="P481" s="151">
        <f>+IF(OR($Q481=Parametres!$G$2,$Q481=Parametres!$G$3),K481,E481)</f>
        <v>544.16</v>
      </c>
      <c r="Q481" s="150" t="str">
        <f t="shared" si="37"/>
        <v>7-Dépenses</v>
      </c>
      <c r="R481" s="149" t="str">
        <f t="shared" si="38"/>
        <v>60</v>
      </c>
      <c r="S481" s="150">
        <f t="shared" si="39"/>
        <v>0</v>
      </c>
      <c r="T481" s="152" t="str">
        <f>+VLOOKUP($L481,Data_Validation!$A:$D,1,0)</f>
        <v>60C</v>
      </c>
      <c r="U481" s="152" t="str">
        <f>+VLOOKUP($L481,Data_Validation!$A:$D,3,0)</f>
        <v>Véhicules usagés</v>
      </c>
      <c r="V481" s="152" t="str">
        <f>+VLOOKUP($L481,Data_Validation!$A:$D,4,0)</f>
        <v>papeterie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1669</v>
      </c>
      <c r="B482" s="718" t="s">
        <v>827</v>
      </c>
      <c r="C482" s="720">
        <v>1122.43</v>
      </c>
      <c r="D482" s="720">
        <v>464.49</v>
      </c>
      <c r="E482" s="720">
        <v>1586.92</v>
      </c>
      <c r="F482" s="718" t="s">
        <v>2231</v>
      </c>
      <c r="G482" s="718" t="s">
        <v>2272</v>
      </c>
      <c r="H482" s="609"/>
      <c r="I482" s="609"/>
      <c r="J482" s="609"/>
      <c r="K482" s="609"/>
      <c r="L482" s="149" t="str">
        <f t="shared" si="35"/>
        <v>60E</v>
      </c>
      <c r="M482" s="150" t="str">
        <f t="shared" si="36"/>
        <v>FOURNITURES BUREAU - SERV. BMW</v>
      </c>
      <c r="N482" s="151">
        <f>+IF(OR($Q482=Parametres!$G$2,$Q482=Parametres!$G$3),I482,C482)</f>
        <v>1122.43</v>
      </c>
      <c r="O482" s="151">
        <f>+IF(OR($Q482=Parametres!$G$2,$Q482=Parametres!$G$3),J482,D482)</f>
        <v>464.49</v>
      </c>
      <c r="P482" s="151">
        <f>+IF(OR($Q482=Parametres!$G$2,$Q482=Parametres!$G$3),K482,E482)</f>
        <v>1586.92</v>
      </c>
      <c r="Q482" s="150" t="str">
        <f t="shared" si="37"/>
        <v>7-Dépenses</v>
      </c>
      <c r="R482" s="149" t="str">
        <f t="shared" si="38"/>
        <v>60</v>
      </c>
      <c r="S482" s="150">
        <f t="shared" si="39"/>
        <v>0</v>
      </c>
      <c r="T482" s="152" t="str">
        <f>+VLOOKUP($L482,Data_Validation!$A:$D,1,0)</f>
        <v>60E</v>
      </c>
      <c r="U482" s="152" t="str">
        <f>+VLOOKUP($L482,Data_Validation!$A:$D,3,0)</f>
        <v>Service</v>
      </c>
      <c r="V482" s="152" t="str">
        <f>+VLOOKUP($L482,Data_Validation!$A:$D,4,0)</f>
        <v>papeterie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1663</v>
      </c>
      <c r="B483" s="718" t="s">
        <v>830</v>
      </c>
      <c r="C483" s="719">
        <v>1118.81</v>
      </c>
      <c r="D483" s="719">
        <v>183.86</v>
      </c>
      <c r="E483" s="719">
        <v>1302.67</v>
      </c>
      <c r="F483" s="718" t="s">
        <v>2231</v>
      </c>
      <c r="G483" s="718" t="s">
        <v>2272</v>
      </c>
      <c r="H483" s="719"/>
      <c r="I483" s="720"/>
      <c r="J483" s="720"/>
      <c r="K483" s="720"/>
      <c r="L483" s="149" t="str">
        <f t="shared" si="35"/>
        <v>60G</v>
      </c>
      <c r="M483" s="150" t="str">
        <f t="shared" si="36"/>
        <v>FOURNITURES BUREAU - PIECE BMW</v>
      </c>
      <c r="N483" s="151">
        <f>+IF(OR($Q483=Parametres!$G$2,$Q483=Parametres!$G$3),I483,C483)</f>
        <v>1118.81</v>
      </c>
      <c r="O483" s="151">
        <f>+IF(OR($Q483=Parametres!$G$2,$Q483=Parametres!$G$3),J483,D483)</f>
        <v>183.86</v>
      </c>
      <c r="P483" s="151">
        <f>+IF(OR($Q483=Parametres!$G$2,$Q483=Parametres!$G$3),K483,E483)</f>
        <v>1302.67</v>
      </c>
      <c r="Q483" s="150" t="str">
        <f t="shared" si="37"/>
        <v>7-Dépenses</v>
      </c>
      <c r="R483" s="149" t="str">
        <f t="shared" si="38"/>
        <v>60</v>
      </c>
      <c r="S483" s="150">
        <f t="shared" si="39"/>
        <v>0</v>
      </c>
      <c r="T483" s="152" t="str">
        <f>+VLOOKUP($L483,Data_Validation!$A:$D,1,0)</f>
        <v>60G</v>
      </c>
      <c r="U483" s="152" t="str">
        <f>+VLOOKUP($L483,Data_Validation!$A:$D,3,0)</f>
        <v>pièces</v>
      </c>
      <c r="V483" s="152" t="str">
        <f>+VLOOKUP($L483,Data_Validation!$A:$D,4,0)</f>
        <v>papeterie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1617</v>
      </c>
      <c r="B484" s="718" t="s">
        <v>780</v>
      </c>
      <c r="C484" s="720">
        <v>54.16</v>
      </c>
      <c r="D484" s="720">
        <v>22.98</v>
      </c>
      <c r="E484" s="720">
        <v>77.14</v>
      </c>
      <c r="F484" s="718" t="s">
        <v>2231</v>
      </c>
      <c r="G484" s="718" t="s">
        <v>2272</v>
      </c>
      <c r="H484" s="673"/>
      <c r="I484" s="673"/>
      <c r="J484" s="673"/>
      <c r="K484" s="673"/>
      <c r="L484" s="149" t="str">
        <f t="shared" si="35"/>
        <v>60I</v>
      </c>
      <c r="M484" s="508" t="str">
        <f t="shared" si="36"/>
        <v>FOURNITURES BUREAU - CARROSSERIE BMW</v>
      </c>
      <c r="N484" s="151">
        <f>+IF(OR($Q484=Parametres!$G$2,$Q484=Parametres!$G$3),I484,C484)</f>
        <v>54.16</v>
      </c>
      <c r="O484" s="509">
        <f>+IF(OR($Q484=Parametres!$G$2,$Q484=Parametres!$G$3),J484,D484)</f>
        <v>22.98</v>
      </c>
      <c r="P484" s="510">
        <f>+IF(OR($Q484=Parametres!$G$2,$Q484=Parametres!$G$3),K484,E484)</f>
        <v>77.14</v>
      </c>
      <c r="Q484" s="150" t="str">
        <f t="shared" si="37"/>
        <v>7-Dépenses</v>
      </c>
      <c r="R484" s="149" t="str">
        <f t="shared" si="38"/>
        <v>60</v>
      </c>
      <c r="S484" s="150">
        <f t="shared" si="39"/>
        <v>0</v>
      </c>
      <c r="T484" s="152" t="str">
        <f>+VLOOKUP($L484,Data_Validation!$A:$D,1,0)</f>
        <v>60I</v>
      </c>
      <c r="U484" s="152" t="str">
        <f>+VLOOKUP($L484,Data_Validation!$A:$D,3,0)</f>
        <v>carrosserie</v>
      </c>
      <c r="V484" s="152" t="str">
        <f>+VLOOKUP($L484,Data_Validation!$A:$D,4,0)</f>
        <v>papeterie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1455</v>
      </c>
      <c r="B485" s="718" t="s">
        <v>683</v>
      </c>
      <c r="C485" s="720">
        <v>7.5</v>
      </c>
      <c r="D485" s="720">
        <v>2.4900000000000002</v>
      </c>
      <c r="E485" s="720">
        <v>9.99</v>
      </c>
      <c r="F485" s="718" t="s">
        <v>2231</v>
      </c>
      <c r="G485" s="718" t="s">
        <v>2261</v>
      </c>
      <c r="H485" s="673"/>
      <c r="I485" s="672"/>
      <c r="J485" s="672"/>
      <c r="K485" s="672"/>
      <c r="L485" s="149" t="str">
        <f t="shared" si="35"/>
        <v>61A</v>
      </c>
      <c r="M485" s="150" t="str">
        <f t="shared" si="36"/>
        <v>AUTRES FOURNITURES - NEUF BMW</v>
      </c>
      <c r="N485" s="151">
        <f>+IF(OR($Q485=Parametres!$G$2,$Q485=Parametres!$G$3),I485,C485)</f>
        <v>7.5</v>
      </c>
      <c r="O485" s="151">
        <f>+IF(OR($Q485=Parametres!$G$2,$Q485=Parametres!$G$3),J485,D485)</f>
        <v>2.4900000000000002</v>
      </c>
      <c r="P485" s="151">
        <f>+IF(OR($Q485=Parametres!$G$2,$Q485=Parametres!$G$3),K485,E485)</f>
        <v>9.99</v>
      </c>
      <c r="Q485" s="150" t="str">
        <f t="shared" si="37"/>
        <v>7-Dépenses</v>
      </c>
      <c r="R485" s="149" t="str">
        <f t="shared" si="38"/>
        <v>61</v>
      </c>
      <c r="S485" s="150">
        <f t="shared" si="39"/>
        <v>0</v>
      </c>
      <c r="T485" s="152" t="str">
        <f>+VLOOKUP($L485,Data_Validation!$A:$D,1,0)</f>
        <v>61A</v>
      </c>
      <c r="U485" s="152" t="str">
        <f>+VLOOKUP($L485,Data_Validation!$A:$D,3,0)</f>
        <v>Véhicules neufs</v>
      </c>
      <c r="V485" s="152" t="str">
        <f>+VLOOKUP($L485,Data_Validation!$A:$D,4,0)</f>
        <v>fournitures autres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1456</v>
      </c>
      <c r="B486" s="718" t="s">
        <v>684</v>
      </c>
      <c r="C486" s="719">
        <v>5</v>
      </c>
      <c r="D486" s="719">
        <v>0</v>
      </c>
      <c r="E486" s="719">
        <v>5</v>
      </c>
      <c r="F486" s="718" t="s">
        <v>2231</v>
      </c>
      <c r="G486" s="718" t="s">
        <v>2261</v>
      </c>
      <c r="H486" s="719"/>
      <c r="I486" s="720"/>
      <c r="J486" s="720"/>
      <c r="K486" s="720"/>
      <c r="L486" s="149" t="str">
        <f t="shared" si="35"/>
        <v>61C</v>
      </c>
      <c r="M486" s="150" t="str">
        <f t="shared" si="36"/>
        <v>AUTRES FOURNITURES - USAGE BMW</v>
      </c>
      <c r="N486" s="151">
        <f>+IF(OR($Q486=Parametres!$G$2,$Q486=Parametres!$G$3),I486,C486)</f>
        <v>5</v>
      </c>
      <c r="O486" s="151">
        <f>+IF(OR($Q486=Parametres!$G$2,$Q486=Parametres!$G$3),J486,D486)</f>
        <v>0</v>
      </c>
      <c r="P486" s="151">
        <f>+IF(OR($Q486=Parametres!$G$2,$Q486=Parametres!$G$3),K486,E486)</f>
        <v>5</v>
      </c>
      <c r="Q486" s="150" t="str">
        <f t="shared" si="37"/>
        <v>7-Dépenses</v>
      </c>
      <c r="R486" s="149" t="str">
        <f t="shared" si="38"/>
        <v>61</v>
      </c>
      <c r="S486" s="150">
        <f t="shared" si="39"/>
        <v>0</v>
      </c>
      <c r="T486" s="152" t="str">
        <f>+VLOOKUP($L486,Data_Validation!$A:$D,1,0)</f>
        <v>61C</v>
      </c>
      <c r="U486" s="152" t="str">
        <f>+VLOOKUP($L486,Data_Validation!$A:$D,3,0)</f>
        <v>Véhicules usagés</v>
      </c>
      <c r="V486" s="152" t="str">
        <f>+VLOOKUP($L486,Data_Validation!$A:$D,4,0)</f>
        <v>fournitures autres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1725</v>
      </c>
      <c r="B487" s="718" t="s">
        <v>792</v>
      </c>
      <c r="C487" s="720">
        <v>4293.2299999999996</v>
      </c>
      <c r="D487" s="720">
        <v>-28.96</v>
      </c>
      <c r="E487" s="720">
        <v>4264.2700000000004</v>
      </c>
      <c r="F487" s="718" t="s">
        <v>2231</v>
      </c>
      <c r="G487" s="718" t="s">
        <v>2261</v>
      </c>
      <c r="H487" s="666"/>
      <c r="I487" s="665"/>
      <c r="J487" s="665"/>
      <c r="K487" s="665"/>
      <c r="L487" s="149" t="str">
        <f t="shared" si="35"/>
        <v>61E</v>
      </c>
      <c r="M487" s="150" t="str">
        <f t="shared" si="36"/>
        <v>AUTRES FOURNITURES - SERV. BMW</v>
      </c>
      <c r="N487" s="151">
        <f>+IF(OR($Q487=Parametres!$G$2,$Q487=Parametres!$G$3),I487,C487)</f>
        <v>4293.2299999999996</v>
      </c>
      <c r="O487" s="151">
        <f>+IF(OR($Q487=Parametres!$G$2,$Q487=Parametres!$G$3),J487,D487)</f>
        <v>-28.96</v>
      </c>
      <c r="P487" s="151">
        <f>+IF(OR($Q487=Parametres!$G$2,$Q487=Parametres!$G$3),K487,E487)</f>
        <v>4264.2700000000004</v>
      </c>
      <c r="Q487" s="150" t="str">
        <f t="shared" si="37"/>
        <v>7-Dépenses</v>
      </c>
      <c r="R487" s="149" t="str">
        <f t="shared" si="38"/>
        <v>61</v>
      </c>
      <c r="S487" s="150">
        <f t="shared" si="39"/>
        <v>0</v>
      </c>
      <c r="T487" s="152" t="str">
        <f>+VLOOKUP($L487,Data_Validation!$A:$D,1,0)</f>
        <v>61E</v>
      </c>
      <c r="U487" s="152" t="str">
        <f>+VLOOKUP($L487,Data_Validation!$A:$D,3,0)</f>
        <v>Service</v>
      </c>
      <c r="V487" s="152" t="str">
        <f>+VLOOKUP($L487,Data_Validation!$A:$D,4,0)</f>
        <v>fournitures autres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1457</v>
      </c>
      <c r="B488" s="718" t="s">
        <v>685</v>
      </c>
      <c r="C488" s="720">
        <v>1.25</v>
      </c>
      <c r="D488" s="720">
        <v>0</v>
      </c>
      <c r="E488" s="720">
        <v>1.25</v>
      </c>
      <c r="F488" s="718" t="s">
        <v>2231</v>
      </c>
      <c r="G488" s="718" t="s">
        <v>2261</v>
      </c>
      <c r="H488" s="673"/>
      <c r="I488" s="672"/>
      <c r="J488" s="672"/>
      <c r="K488" s="672"/>
      <c r="L488" s="149" t="str">
        <f t="shared" si="35"/>
        <v>61G</v>
      </c>
      <c r="M488" s="150" t="str">
        <f t="shared" si="36"/>
        <v>AUTRES FOURNITURES - PIECE BMW</v>
      </c>
      <c r="N488" s="151">
        <f>+IF(OR($Q488=Parametres!$G$2,$Q488=Parametres!$G$3),I488,C488)</f>
        <v>1.25</v>
      </c>
      <c r="O488" s="151">
        <f>+IF(OR($Q488=Parametres!$G$2,$Q488=Parametres!$G$3),J488,D488)</f>
        <v>0</v>
      </c>
      <c r="P488" s="151">
        <f>+IF(OR($Q488=Parametres!$G$2,$Q488=Parametres!$G$3),K488,E488)</f>
        <v>1.25</v>
      </c>
      <c r="Q488" s="150" t="str">
        <f t="shared" si="37"/>
        <v>7-Dépenses</v>
      </c>
      <c r="R488" s="149" t="str">
        <f t="shared" si="38"/>
        <v>61</v>
      </c>
      <c r="S488" s="150">
        <f t="shared" si="39"/>
        <v>0</v>
      </c>
      <c r="T488" s="152" t="str">
        <f>+VLOOKUP($L488,Data_Validation!$A:$D,1,0)</f>
        <v>61G</v>
      </c>
      <c r="U488" s="152" t="str">
        <f>+VLOOKUP($L488,Data_Validation!$A:$D,3,0)</f>
        <v>pièces</v>
      </c>
      <c r="V488" s="152" t="str">
        <f>+VLOOKUP($L488,Data_Validation!$A:$D,4,0)</f>
        <v>fournitures autres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1198</v>
      </c>
      <c r="B489" s="718" t="s">
        <v>843</v>
      </c>
      <c r="C489" s="720">
        <v>1406.02</v>
      </c>
      <c r="D489" s="720">
        <v>198.58</v>
      </c>
      <c r="E489" s="720">
        <v>1604.6</v>
      </c>
      <c r="F489" s="718" t="s">
        <v>2231</v>
      </c>
      <c r="G489" s="718" t="s">
        <v>2268</v>
      </c>
      <c r="H489" s="666"/>
      <c r="I489" s="665"/>
      <c r="J489" s="665"/>
      <c r="K489" s="665"/>
      <c r="L489" s="149" t="str">
        <f t="shared" si="35"/>
        <v>63E</v>
      </c>
      <c r="M489" s="150" t="str">
        <f t="shared" si="36"/>
        <v>AJUST. GARANTIE - SERV. BMW</v>
      </c>
      <c r="N489" s="151">
        <f>+IF(OR($Q489=Parametres!$G$2,$Q489=Parametres!$G$3),I489,C489)</f>
        <v>1406.02</v>
      </c>
      <c r="O489" s="151">
        <f>+IF(OR($Q489=Parametres!$G$2,$Q489=Parametres!$G$3),J489,D489)</f>
        <v>198.58</v>
      </c>
      <c r="P489" s="151">
        <f>+IF(OR($Q489=Parametres!$G$2,$Q489=Parametres!$G$3),K489,E489)</f>
        <v>1604.6</v>
      </c>
      <c r="Q489" s="150" t="str">
        <f t="shared" si="37"/>
        <v>7-Dépenses</v>
      </c>
      <c r="R489" s="149" t="str">
        <f t="shared" si="38"/>
        <v>63</v>
      </c>
      <c r="S489" s="150">
        <f t="shared" si="39"/>
        <v>0</v>
      </c>
      <c r="T489" s="152" t="str">
        <f>+VLOOKUP($L489,Data_Validation!$A:$D,1,0)</f>
        <v>63E</v>
      </c>
      <c r="U489" s="152" t="str">
        <f>+VLOOKUP($L489,Data_Validation!$A:$D,3,0)</f>
        <v>Service</v>
      </c>
      <c r="V489" s="152" t="str">
        <f>+VLOOKUP($L489,Data_Validation!$A:$D,4,0)</f>
        <v>service gratuit 2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1461</v>
      </c>
      <c r="B490" s="718" t="s">
        <v>798</v>
      </c>
      <c r="C490" s="720">
        <v>728.29</v>
      </c>
      <c r="D490" s="720">
        <v>1905.23</v>
      </c>
      <c r="E490" s="720">
        <v>2633.52</v>
      </c>
      <c r="F490" s="718" t="s">
        <v>2231</v>
      </c>
      <c r="G490" s="718" t="s">
        <v>2268</v>
      </c>
      <c r="H490" s="673"/>
      <c r="I490" s="672"/>
      <c r="J490" s="672"/>
      <c r="K490" s="672"/>
      <c r="L490" s="149" t="str">
        <f t="shared" si="35"/>
        <v>63G</v>
      </c>
      <c r="M490" s="150" t="str">
        <f t="shared" si="36"/>
        <v>AJUST. GARANTIE - PIECE BMW</v>
      </c>
      <c r="N490" s="151">
        <f>+IF(OR($Q490=Parametres!$G$2,$Q490=Parametres!$G$3),I490,C490)</f>
        <v>728.29</v>
      </c>
      <c r="O490" s="151">
        <f>+IF(OR($Q490=Parametres!$G$2,$Q490=Parametres!$G$3),J490,D490)</f>
        <v>1905.23</v>
      </c>
      <c r="P490" s="151">
        <f>+IF(OR($Q490=Parametres!$G$2,$Q490=Parametres!$G$3),K490,E490)</f>
        <v>2633.52</v>
      </c>
      <c r="Q490" s="150" t="str">
        <f t="shared" si="37"/>
        <v>7-Dépenses</v>
      </c>
      <c r="R490" s="149" t="str">
        <f t="shared" si="38"/>
        <v>63</v>
      </c>
      <c r="S490" s="150">
        <f t="shared" si="39"/>
        <v>0</v>
      </c>
      <c r="T490" s="152" t="str">
        <f>+VLOOKUP($L490,Data_Validation!$A:$D,1,0)</f>
        <v>63G</v>
      </c>
      <c r="U490" s="152" t="str">
        <f>+VLOOKUP($L490,Data_Validation!$A:$D,3,0)</f>
        <v>pièces</v>
      </c>
      <c r="V490" s="152" t="str">
        <f>+VLOOKUP($L490,Data_Validation!$A:$D,4,0)</f>
        <v>service gratuit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1640</v>
      </c>
      <c r="B491" s="718" t="s">
        <v>897</v>
      </c>
      <c r="C491" s="720">
        <v>1857.2</v>
      </c>
      <c r="D491" s="720">
        <v>806.97</v>
      </c>
      <c r="E491" s="720">
        <v>2664.17</v>
      </c>
      <c r="F491" s="718" t="s">
        <v>2231</v>
      </c>
      <c r="G491" s="718" t="s">
        <v>2260</v>
      </c>
      <c r="H491" s="673"/>
      <c r="I491" s="672"/>
      <c r="J491" s="672"/>
      <c r="K491" s="672"/>
      <c r="L491" s="149" t="str">
        <f t="shared" si="35"/>
        <v>68A</v>
      </c>
      <c r="M491" s="150" t="str">
        <f t="shared" si="36"/>
        <v>TRAV. GRACIEUX - NEUF BMW</v>
      </c>
      <c r="N491" s="151">
        <f>+IF(OR($Q491=Parametres!$G$2,$Q491=Parametres!$G$3),I491,C491)</f>
        <v>1857.2</v>
      </c>
      <c r="O491" s="151">
        <f>+IF(OR($Q491=Parametres!$G$2,$Q491=Parametres!$G$3),J491,D491)</f>
        <v>806.97</v>
      </c>
      <c r="P491" s="151">
        <f>+IF(OR($Q491=Parametres!$G$2,$Q491=Parametres!$G$3),K491,E491)</f>
        <v>2664.17</v>
      </c>
      <c r="Q491" s="150" t="str">
        <f t="shared" si="37"/>
        <v>7-Dépenses</v>
      </c>
      <c r="R491" s="149" t="str">
        <f t="shared" si="38"/>
        <v>68</v>
      </c>
      <c r="S491" s="150">
        <f t="shared" si="39"/>
        <v>0</v>
      </c>
      <c r="T491" s="152" t="str">
        <f>+VLOOKUP($L491,Data_Validation!$A:$D,1,0)</f>
        <v>68A</v>
      </c>
      <c r="U491" s="152" t="str">
        <f>+VLOOKUP($L491,Data_Validation!$A:$D,3,0)</f>
        <v>Véhicules neufs</v>
      </c>
      <c r="V491" s="152" t="str">
        <f>+VLOOKUP($L491,Data_Validation!$A:$D,4,0)</f>
        <v>service gratuit 1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1650</v>
      </c>
      <c r="B492" s="718" t="s">
        <v>894</v>
      </c>
      <c r="C492" s="719">
        <v>4410.18</v>
      </c>
      <c r="D492" s="719">
        <v>534.29</v>
      </c>
      <c r="E492" s="719">
        <v>4944.47</v>
      </c>
      <c r="F492" s="718" t="s">
        <v>2231</v>
      </c>
      <c r="G492" s="718" t="s">
        <v>2260</v>
      </c>
      <c r="H492" s="719"/>
      <c r="I492" s="720"/>
      <c r="J492" s="720"/>
      <c r="K492" s="720"/>
      <c r="L492" s="149" t="str">
        <f t="shared" si="35"/>
        <v>68C</v>
      </c>
      <c r="M492" s="150" t="str">
        <f t="shared" si="36"/>
        <v>TRAV. GRACIEUX - USAGE BMW</v>
      </c>
      <c r="N492" s="151">
        <f>+IF(OR($Q492=Parametres!$G$2,$Q492=Parametres!$G$3),I492,C492)</f>
        <v>4410.18</v>
      </c>
      <c r="O492" s="151">
        <f>+IF(OR($Q492=Parametres!$G$2,$Q492=Parametres!$G$3),J492,D492)</f>
        <v>534.29</v>
      </c>
      <c r="P492" s="151">
        <f>+IF(OR($Q492=Parametres!$G$2,$Q492=Parametres!$G$3),K492,E492)</f>
        <v>4944.47</v>
      </c>
      <c r="Q492" s="150" t="str">
        <f t="shared" si="37"/>
        <v>7-Dépenses</v>
      </c>
      <c r="R492" s="149" t="str">
        <f t="shared" si="38"/>
        <v>68</v>
      </c>
      <c r="S492" s="150">
        <f t="shared" si="39"/>
        <v>0</v>
      </c>
      <c r="T492" s="152" t="str">
        <f>+VLOOKUP($L492,Data_Validation!$A:$D,1,0)</f>
        <v>68C</v>
      </c>
      <c r="U492" s="152" t="str">
        <f>+VLOOKUP($L492,Data_Validation!$A:$D,3,0)</f>
        <v>Véhicules usagés</v>
      </c>
      <c r="V492" s="152" t="str">
        <f>+VLOOKUP($L492,Data_Validation!$A:$D,4,0)</f>
        <v>service gratuit 1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1114</v>
      </c>
      <c r="B493" s="718" t="s">
        <v>930</v>
      </c>
      <c r="C493" s="720">
        <v>4694.82</v>
      </c>
      <c r="D493" s="720">
        <v>2314.92</v>
      </c>
      <c r="E493" s="720">
        <v>7009.74</v>
      </c>
      <c r="F493" s="718" t="s">
        <v>2231</v>
      </c>
      <c r="G493" s="718" t="s">
        <v>2260</v>
      </c>
      <c r="H493" s="666"/>
      <c r="I493" s="665"/>
      <c r="J493" s="665"/>
      <c r="K493" s="665"/>
      <c r="L493" s="149" t="str">
        <f t="shared" si="35"/>
        <v>68E</v>
      </c>
      <c r="M493" s="150" t="str">
        <f t="shared" si="36"/>
        <v>TRAV. GRACIEUX - SERV. BMW</v>
      </c>
      <c r="N493" s="151">
        <f>+IF(OR($Q493=Parametres!$G$2,$Q493=Parametres!$G$3),I493,C493)</f>
        <v>4694.82</v>
      </c>
      <c r="O493" s="151">
        <f>+IF(OR($Q493=Parametres!$G$2,$Q493=Parametres!$G$3),J493,D493)</f>
        <v>2314.92</v>
      </c>
      <c r="P493" s="151">
        <f>+IF(OR($Q493=Parametres!$G$2,$Q493=Parametres!$G$3),K493,E493)</f>
        <v>7009.74</v>
      </c>
      <c r="Q493" s="150" t="str">
        <f t="shared" si="37"/>
        <v>7-Dépenses</v>
      </c>
      <c r="R493" s="149" t="str">
        <f t="shared" si="38"/>
        <v>68</v>
      </c>
      <c r="S493" s="150">
        <f t="shared" si="39"/>
        <v>0</v>
      </c>
      <c r="T493" s="152" t="str">
        <f>+VLOOKUP($L493,Data_Validation!$A:$D,1,0)</f>
        <v>68E</v>
      </c>
      <c r="U493" s="152" t="str">
        <f>+VLOOKUP($L493,Data_Validation!$A:$D,3,0)</f>
        <v>Service</v>
      </c>
      <c r="V493" s="152" t="str">
        <f>+VLOOKUP($L493,Data_Validation!$A:$D,4,0)</f>
        <v>service gratuit 2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1639</v>
      </c>
      <c r="B494" s="718" t="s">
        <v>874</v>
      </c>
      <c r="C494" s="720">
        <v>1488.86</v>
      </c>
      <c r="D494" s="720">
        <v>971.71</v>
      </c>
      <c r="E494" s="720">
        <v>2460.5700000000002</v>
      </c>
      <c r="F494" s="718" t="s">
        <v>2231</v>
      </c>
      <c r="G494" s="718" t="s">
        <v>2260</v>
      </c>
      <c r="H494" s="666"/>
      <c r="I494" s="665"/>
      <c r="J494" s="665"/>
      <c r="K494" s="665"/>
      <c r="L494" s="149" t="str">
        <f t="shared" si="35"/>
        <v>68G</v>
      </c>
      <c r="M494" s="150" t="str">
        <f t="shared" si="36"/>
        <v>TRAV. GRACIEUX - PIECE BMW</v>
      </c>
      <c r="N494" s="151">
        <f>+IF(OR($Q494=Parametres!$G$2,$Q494=Parametres!$G$3),I494,C494)</f>
        <v>1488.86</v>
      </c>
      <c r="O494" s="151">
        <f>+IF(OR($Q494=Parametres!$G$2,$Q494=Parametres!$G$3),J494,D494)</f>
        <v>971.71</v>
      </c>
      <c r="P494" s="151">
        <f>+IF(OR($Q494=Parametres!$G$2,$Q494=Parametres!$G$3),K494,E494)</f>
        <v>2460.5700000000002</v>
      </c>
      <c r="Q494" s="150" t="str">
        <f t="shared" si="37"/>
        <v>7-Dépenses</v>
      </c>
      <c r="R494" s="149" t="str">
        <f t="shared" si="38"/>
        <v>68</v>
      </c>
      <c r="S494" s="150">
        <f t="shared" si="39"/>
        <v>0</v>
      </c>
      <c r="T494" s="152" t="str">
        <f>+VLOOKUP($L494,Data_Validation!$A:$D,1,0)</f>
        <v>68G</v>
      </c>
      <c r="U494" s="152" t="str">
        <f>+VLOOKUP($L494,Data_Validation!$A:$D,3,0)</f>
        <v>pièces</v>
      </c>
      <c r="V494" s="152" t="str">
        <f>+VLOOKUP($L494,Data_Validation!$A:$D,4,0)</f>
        <v>service gratuit 2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1472</v>
      </c>
      <c r="B495" s="718" t="s">
        <v>687</v>
      </c>
      <c r="C495" s="720">
        <v>53.97</v>
      </c>
      <c r="D495" s="720">
        <v>35.700000000000003</v>
      </c>
      <c r="E495" s="720">
        <v>89.67</v>
      </c>
      <c r="F495" s="718" t="s">
        <v>2231</v>
      </c>
      <c r="G495" s="718" t="s">
        <v>2260</v>
      </c>
      <c r="H495" s="666"/>
      <c r="I495" s="665"/>
      <c r="J495" s="665"/>
      <c r="K495" s="665"/>
      <c r="L495" s="149" t="str">
        <f t="shared" si="35"/>
        <v>68I</v>
      </c>
      <c r="M495" s="150" t="str">
        <f t="shared" si="36"/>
        <v>TRAV. GRACIEUX - CARROSSERIE BMW</v>
      </c>
      <c r="N495" s="151">
        <f>+IF(OR($Q495=Parametres!$G$2,$Q495=Parametres!$G$3),I495,C495)</f>
        <v>53.97</v>
      </c>
      <c r="O495" s="151">
        <f>+IF(OR($Q495=Parametres!$G$2,$Q495=Parametres!$G$3),J495,D495)</f>
        <v>35.700000000000003</v>
      </c>
      <c r="P495" s="151">
        <f>+IF(OR($Q495=Parametres!$G$2,$Q495=Parametres!$G$3),K495,E495)</f>
        <v>89.67</v>
      </c>
      <c r="Q495" s="150" t="str">
        <f t="shared" si="37"/>
        <v>7-Dépenses</v>
      </c>
      <c r="R495" s="149" t="str">
        <f t="shared" si="38"/>
        <v>68</v>
      </c>
      <c r="S495" s="150">
        <f t="shared" si="39"/>
        <v>0</v>
      </c>
      <c r="T495" s="152" t="str">
        <f>+VLOOKUP($L495,Data_Validation!$A:$D,1,0)</f>
        <v>68I</v>
      </c>
      <c r="U495" s="152" t="str">
        <f>+VLOOKUP($L495,Data_Validation!$A:$D,3,0)</f>
        <v>carrosserie</v>
      </c>
      <c r="V495" s="152" t="str">
        <f>+VLOOKUP($L495,Data_Validation!$A:$D,4,0)</f>
        <v>service gratuit 2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1641</v>
      </c>
      <c r="B496" s="718" t="s">
        <v>914</v>
      </c>
      <c r="C496" s="719">
        <v>13492.28</v>
      </c>
      <c r="D496" s="719">
        <v>4537.54</v>
      </c>
      <c r="E496" s="719">
        <v>18029.82</v>
      </c>
      <c r="F496" s="718" t="s">
        <v>2231</v>
      </c>
      <c r="G496" s="718" t="s">
        <v>2287</v>
      </c>
      <c r="H496" s="719"/>
      <c r="I496" s="720"/>
      <c r="J496" s="720"/>
      <c r="K496" s="720"/>
      <c r="L496" s="149" t="str">
        <f t="shared" si="35"/>
        <v>69A</v>
      </c>
      <c r="M496" s="150" t="str">
        <f t="shared" si="36"/>
        <v>FRAIS INFORMATIQUE - NEUF BMW</v>
      </c>
      <c r="N496" s="151">
        <f>+IF(OR($Q496=Parametres!$G$2,$Q496=Parametres!$G$3),I496,C496)</f>
        <v>13492.28</v>
      </c>
      <c r="O496" s="504">
        <f>+IF(OR($Q496=Parametres!$G$2,$Q496=Parametres!$G$3),J496,D496)</f>
        <v>4537.54</v>
      </c>
      <c r="P496" s="151">
        <f>+IF(OR($Q496=Parametres!$G$2,$Q496=Parametres!$G$3),K496,E496)</f>
        <v>18029.82</v>
      </c>
      <c r="Q496" s="150" t="str">
        <f t="shared" si="37"/>
        <v>7-Dépenses</v>
      </c>
      <c r="R496" s="149" t="str">
        <f t="shared" si="38"/>
        <v>69</v>
      </c>
      <c r="S496" s="150">
        <f t="shared" si="39"/>
        <v>0</v>
      </c>
      <c r="T496" s="152" t="str">
        <f>+VLOOKUP($L496,Data_Validation!$A:$D,1,0)</f>
        <v>69A</v>
      </c>
      <c r="U496" s="152" t="str">
        <f>+VLOOKUP($L496,Data_Validation!$A:$D,3,0)</f>
        <v>Véhicules neufs</v>
      </c>
      <c r="V496" s="152" t="str">
        <f>+VLOOKUP($L496,Data_Validation!$A:$D,4,0)</f>
        <v>informatique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1632</v>
      </c>
      <c r="B497" s="718" t="s">
        <v>877</v>
      </c>
      <c r="C497" s="720">
        <v>3828.3</v>
      </c>
      <c r="D497" s="720">
        <v>1295.0999999999999</v>
      </c>
      <c r="E497" s="720">
        <v>5123.3999999999996</v>
      </c>
      <c r="F497" s="718" t="s">
        <v>2231</v>
      </c>
      <c r="G497" s="718" t="s">
        <v>2287</v>
      </c>
      <c r="H497" s="607"/>
      <c r="I497" s="608"/>
      <c r="J497" s="608"/>
      <c r="K497" s="608"/>
      <c r="L497" s="149" t="str">
        <f t="shared" si="35"/>
        <v>69C</v>
      </c>
      <c r="M497" s="150" t="str">
        <f t="shared" si="36"/>
        <v>FRAIS INFORMATIQUE - USAGE BMW</v>
      </c>
      <c r="N497" s="151">
        <f>+IF(OR($Q497=Parametres!$G$2,$Q497=Parametres!$G$3),I497,C497)</f>
        <v>3828.3</v>
      </c>
      <c r="O497" s="504">
        <f>+IF(OR($Q497=Parametres!$G$2,$Q497=Parametres!$G$3),J497,D497)</f>
        <v>1295.0999999999999</v>
      </c>
      <c r="P497" s="151">
        <f>+IF(OR($Q497=Parametres!$G$2,$Q497=Parametres!$G$3),K497,E497)</f>
        <v>5123.3999999999996</v>
      </c>
      <c r="Q497" s="150" t="str">
        <f t="shared" si="37"/>
        <v>7-Dépenses</v>
      </c>
      <c r="R497" s="149" t="str">
        <f t="shared" si="38"/>
        <v>69</v>
      </c>
      <c r="S497" s="150">
        <f t="shared" si="39"/>
        <v>0</v>
      </c>
      <c r="T497" s="152" t="str">
        <f>+VLOOKUP($L497,Data_Validation!$A:$D,1,0)</f>
        <v>69C</v>
      </c>
      <c r="U497" s="152" t="str">
        <f>+VLOOKUP($L497,Data_Validation!$A:$D,3,0)</f>
        <v>Véhicules usagés</v>
      </c>
      <c r="V497" s="152" t="str">
        <f>+VLOOKUP($L497,Data_Validation!$A:$D,4,0)</f>
        <v>informatique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1767</v>
      </c>
      <c r="B498" s="718" t="s">
        <v>932</v>
      </c>
      <c r="C498" s="720">
        <v>16426.259999999998</v>
      </c>
      <c r="D498" s="720">
        <v>5548.89</v>
      </c>
      <c r="E498" s="720">
        <v>21975.15</v>
      </c>
      <c r="F498" s="718" t="s">
        <v>2231</v>
      </c>
      <c r="G498" s="718" t="s">
        <v>2287</v>
      </c>
      <c r="H498" s="666"/>
      <c r="I498" s="665"/>
      <c r="J498" s="665"/>
      <c r="K498" s="665"/>
      <c r="L498" s="149" t="str">
        <f t="shared" si="35"/>
        <v>69E</v>
      </c>
      <c r="M498" s="150" t="str">
        <f t="shared" si="36"/>
        <v>FRAIS INFORMATIQUE - SERV. BMW</v>
      </c>
      <c r="N498" s="151">
        <f>+IF(OR($Q498=Parametres!$G$2,$Q498=Parametres!$G$3),I498,C498)</f>
        <v>16426.259999999998</v>
      </c>
      <c r="O498" s="151">
        <f>+IF(OR($Q498=Parametres!$G$2,$Q498=Parametres!$G$3),J498,D498)</f>
        <v>5548.89</v>
      </c>
      <c r="P498" s="151">
        <f>+IF(OR($Q498=Parametres!$G$2,$Q498=Parametres!$G$3),K498,E498)</f>
        <v>21975.15</v>
      </c>
      <c r="Q498" s="150" t="str">
        <f t="shared" si="37"/>
        <v>7-Dépenses</v>
      </c>
      <c r="R498" s="149" t="str">
        <f t="shared" si="38"/>
        <v>69</v>
      </c>
      <c r="S498" s="150">
        <f t="shared" si="39"/>
        <v>0</v>
      </c>
      <c r="T498" s="152" t="str">
        <f>+VLOOKUP($L498,Data_Validation!$A:$D,1,0)</f>
        <v>69E</v>
      </c>
      <c r="U498" s="152" t="str">
        <f>+VLOOKUP($L498,Data_Validation!$A:$D,3,0)</f>
        <v>Service</v>
      </c>
      <c r="V498" s="152" t="str">
        <f>+VLOOKUP($L498,Data_Validation!$A:$D,4,0)</f>
        <v>informatique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1670</v>
      </c>
      <c r="B499" s="718" t="s">
        <v>885</v>
      </c>
      <c r="C499" s="720">
        <v>5261.07</v>
      </c>
      <c r="D499" s="720">
        <v>1777.19</v>
      </c>
      <c r="E499" s="720">
        <v>7038.26</v>
      </c>
      <c r="F499" s="718" t="s">
        <v>2231</v>
      </c>
      <c r="G499" s="718" t="s">
        <v>2287</v>
      </c>
      <c r="H499" s="607"/>
      <c r="I499" s="608"/>
      <c r="J499" s="608"/>
      <c r="K499" s="608"/>
      <c r="L499" s="149" t="str">
        <f t="shared" si="35"/>
        <v>69G</v>
      </c>
      <c r="M499" s="150" t="str">
        <f t="shared" si="36"/>
        <v>FRAIS INFORMATIQUE - PIECE BMW</v>
      </c>
      <c r="N499" s="151">
        <f>+IF(OR($Q499=Parametres!$G$2,$Q499=Parametres!$G$3),I499,C499)</f>
        <v>5261.07</v>
      </c>
      <c r="O499" s="151">
        <f>+IF(OR($Q499=Parametres!$G$2,$Q499=Parametres!$G$3),J499,D499)</f>
        <v>1777.19</v>
      </c>
      <c r="P499" s="151">
        <f>+IF(OR($Q499=Parametres!$G$2,$Q499=Parametres!$G$3),K499,E499)</f>
        <v>7038.26</v>
      </c>
      <c r="Q499" s="150" t="str">
        <f t="shared" si="37"/>
        <v>7-Dépenses</v>
      </c>
      <c r="R499" s="149" t="str">
        <f t="shared" si="38"/>
        <v>69</v>
      </c>
      <c r="S499" s="150">
        <f t="shared" si="39"/>
        <v>0</v>
      </c>
      <c r="T499" s="152" t="str">
        <f>+VLOOKUP($L499,Data_Validation!$A:$D,1,0)</f>
        <v>69G</v>
      </c>
      <c r="U499" s="152" t="str">
        <f>+VLOOKUP($L499,Data_Validation!$A:$D,3,0)</f>
        <v>pièces</v>
      </c>
      <c r="V499" s="152" t="str">
        <f>+VLOOKUP($L499,Data_Validation!$A:$D,4,0)</f>
        <v>informatique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1242</v>
      </c>
      <c r="B500" s="718" t="s">
        <v>855</v>
      </c>
      <c r="C500" s="720">
        <v>645.79999999999995</v>
      </c>
      <c r="D500" s="720">
        <v>216.24</v>
      </c>
      <c r="E500" s="720">
        <v>862.04</v>
      </c>
      <c r="F500" s="718" t="s">
        <v>2231</v>
      </c>
      <c r="G500" s="718" t="s">
        <v>2287</v>
      </c>
      <c r="H500" s="719"/>
      <c r="I500" s="719"/>
      <c r="J500" s="719"/>
      <c r="K500" s="719"/>
      <c r="L500" s="149" t="str">
        <f t="shared" si="35"/>
        <v>69I</v>
      </c>
      <c r="M500" s="150" t="str">
        <f t="shared" si="36"/>
        <v>FRAIS INFORMATIQUE - CARROSSERIE BMW</v>
      </c>
      <c r="N500" s="151">
        <f>+IF(OR($Q500=Parametres!$G$2,$Q500=Parametres!$G$3),I500,C500)</f>
        <v>645.79999999999995</v>
      </c>
      <c r="O500" s="151">
        <f>+IF(OR($Q500=Parametres!$G$2,$Q500=Parametres!$G$3),J500,D500)</f>
        <v>216.24</v>
      </c>
      <c r="P500" s="151">
        <f>+IF(OR($Q500=Parametres!$G$2,$Q500=Parametres!$G$3),K500,E500)</f>
        <v>862.04</v>
      </c>
      <c r="Q500" s="150" t="str">
        <f t="shared" si="37"/>
        <v>7-Dépenses</v>
      </c>
      <c r="R500" s="149" t="str">
        <f t="shared" si="38"/>
        <v>69</v>
      </c>
      <c r="S500" s="150">
        <f t="shared" si="39"/>
        <v>0</v>
      </c>
      <c r="T500" s="152" t="str">
        <f>+VLOOKUP($L500,Data_Validation!$A:$D,1,0)</f>
        <v>69I</v>
      </c>
      <c r="U500" s="152" t="str">
        <f>+VLOOKUP($L500,Data_Validation!$A:$D,3,0)</f>
        <v>carrosserie</v>
      </c>
      <c r="V500" s="152" t="str">
        <f>+VLOOKUP($L500,Data_Validation!$A:$D,4,0)</f>
        <v>informatique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1751</v>
      </c>
      <c r="B501" s="718" t="s">
        <v>960</v>
      </c>
      <c r="C501" s="720">
        <v>9180.1200000000008</v>
      </c>
      <c r="D501" s="720">
        <v>3008.26</v>
      </c>
      <c r="E501" s="720">
        <v>12188.38</v>
      </c>
      <c r="F501" s="718" t="s">
        <v>2231</v>
      </c>
      <c r="G501" s="718" t="s">
        <v>2284</v>
      </c>
      <c r="H501" s="719"/>
      <c r="I501" s="719"/>
      <c r="J501" s="719"/>
      <c r="K501" s="719"/>
      <c r="L501" s="149" t="str">
        <f t="shared" si="35"/>
        <v>70A</v>
      </c>
      <c r="M501" s="150" t="str">
        <f t="shared" si="36"/>
        <v>SERV. EXTERIEURS - NEUF BMW</v>
      </c>
      <c r="N501" s="151">
        <f>+IF(OR($Q501=Parametres!$G$2,$Q501=Parametres!$G$3),I501,C501)</f>
        <v>9180.1200000000008</v>
      </c>
      <c r="O501" s="151">
        <f>+IF(OR($Q501=Parametres!$G$2,$Q501=Parametres!$G$3),J501,D501)</f>
        <v>3008.26</v>
      </c>
      <c r="P501" s="151">
        <f>+IF(OR($Q501=Parametres!$G$2,$Q501=Parametres!$G$3),K501,E501)</f>
        <v>12188.38</v>
      </c>
      <c r="Q501" s="150" t="str">
        <f t="shared" si="37"/>
        <v>7-Dépenses</v>
      </c>
      <c r="R501" s="149" t="str">
        <f t="shared" si="38"/>
        <v>70</v>
      </c>
      <c r="S501" s="150">
        <f t="shared" si="39"/>
        <v>0</v>
      </c>
      <c r="T501" s="152" t="str">
        <f>+VLOOKUP($L501,Data_Validation!$A:$D,1,0)</f>
        <v>70A</v>
      </c>
      <c r="U501" s="152" t="str">
        <f>+VLOOKUP($L501,Data_Validation!$A:$D,3,0)</f>
        <v>Véhicules neufs</v>
      </c>
      <c r="V501" s="152" t="str">
        <f>+VLOOKUP($L501,Data_Validation!$A:$D,4,0)</f>
        <v>services extérieurs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852</v>
      </c>
      <c r="C502" s="720">
        <v>2110.4299999999998</v>
      </c>
      <c r="D502" s="720">
        <v>758.85</v>
      </c>
      <c r="E502" s="720">
        <v>2869.28</v>
      </c>
      <c r="F502" s="718" t="s">
        <v>2231</v>
      </c>
      <c r="G502" s="718" t="s">
        <v>2284</v>
      </c>
      <c r="H502" s="607"/>
      <c r="I502" s="609"/>
      <c r="J502" s="609"/>
      <c r="K502" s="609"/>
      <c r="L502" s="149" t="str">
        <f t="shared" si="35"/>
        <v>70C</v>
      </c>
      <c r="M502" s="150" t="str">
        <f t="shared" si="36"/>
        <v>SERV. EXTERIEURS - USAGE BMW</v>
      </c>
      <c r="N502" s="151">
        <f>+IF(OR($Q502=Parametres!$G$2,$Q502=Parametres!$G$3),I502,C502)</f>
        <v>2110.4299999999998</v>
      </c>
      <c r="O502" s="151">
        <f>+IF(OR($Q502=Parametres!$G$2,$Q502=Parametres!$G$3),J502,D502)</f>
        <v>758.85</v>
      </c>
      <c r="P502" s="151">
        <f>+IF(OR($Q502=Parametres!$G$2,$Q502=Parametres!$G$3),K502,E502)</f>
        <v>2869.28</v>
      </c>
      <c r="Q502" s="150" t="str">
        <f t="shared" si="37"/>
        <v>7-Dépenses</v>
      </c>
      <c r="R502" s="149" t="str">
        <f t="shared" si="38"/>
        <v>70</v>
      </c>
      <c r="S502" s="150">
        <f t="shared" si="39"/>
        <v>0</v>
      </c>
      <c r="T502" s="152" t="str">
        <f>+VLOOKUP($L502,Data_Validation!$A:$D,1,0)</f>
        <v>70C</v>
      </c>
      <c r="U502" s="152" t="str">
        <f>+VLOOKUP($L502,Data_Validation!$A:$D,3,0)</f>
        <v>Véhicules usagés</v>
      </c>
      <c r="V502" s="152" t="str">
        <f>+VLOOKUP($L502,Data_Validation!$A:$D,4,0)</f>
        <v>services extérieurs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1800</v>
      </c>
      <c r="B503" s="718" t="s">
        <v>934</v>
      </c>
      <c r="C503" s="720">
        <v>14775.09</v>
      </c>
      <c r="D503" s="720">
        <v>5229</v>
      </c>
      <c r="E503" s="720">
        <v>20004.09</v>
      </c>
      <c r="F503" s="718" t="s">
        <v>2231</v>
      </c>
      <c r="G503" s="718" t="s">
        <v>2284</v>
      </c>
      <c r="H503" s="673"/>
      <c r="I503" s="672"/>
      <c r="J503" s="672"/>
      <c r="K503" s="672"/>
      <c r="L503" s="149" t="str">
        <f t="shared" si="35"/>
        <v>70E</v>
      </c>
      <c r="M503" s="150" t="str">
        <f t="shared" si="36"/>
        <v>SERV. EXTERIEURS - SERV. BMW</v>
      </c>
      <c r="N503" s="151">
        <f>+IF(OR($Q503=Parametres!$G$2,$Q503=Parametres!$G$3),I503,C503)</f>
        <v>14775.09</v>
      </c>
      <c r="O503" s="151">
        <f>+IF(OR($Q503=Parametres!$G$2,$Q503=Parametres!$G$3),J503,D503)</f>
        <v>5229</v>
      </c>
      <c r="P503" s="151">
        <f>+IF(OR($Q503=Parametres!$G$2,$Q503=Parametres!$G$3),K503,E503)</f>
        <v>20004.09</v>
      </c>
      <c r="Q503" s="150" t="str">
        <f t="shared" si="37"/>
        <v>7-Dépenses</v>
      </c>
      <c r="R503" s="149" t="str">
        <f t="shared" si="38"/>
        <v>70</v>
      </c>
      <c r="S503" s="150">
        <f t="shared" si="39"/>
        <v>0</v>
      </c>
      <c r="T503" s="152" t="str">
        <f>+VLOOKUP($L503,Data_Validation!$A:$D,1,0)</f>
        <v>70E</v>
      </c>
      <c r="U503" s="152" t="str">
        <f>+VLOOKUP($L503,Data_Validation!$A:$D,3,0)</f>
        <v>Service</v>
      </c>
      <c r="V503" s="152" t="str">
        <f>+VLOOKUP($L503,Data_Validation!$A:$D,4,0)</f>
        <v>services extérieurs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1735</v>
      </c>
      <c r="B504" s="718" t="s">
        <v>921</v>
      </c>
      <c r="C504" s="720">
        <v>3852.96</v>
      </c>
      <c r="D504" s="720">
        <v>1131.92</v>
      </c>
      <c r="E504" s="720">
        <v>4984.88</v>
      </c>
      <c r="F504" s="718" t="s">
        <v>2231</v>
      </c>
      <c r="G504" s="718" t="s">
        <v>2284</v>
      </c>
      <c r="H504" s="666"/>
      <c r="I504" s="665"/>
      <c r="J504" s="665"/>
      <c r="K504" s="665"/>
      <c r="L504" s="149" t="str">
        <f t="shared" si="35"/>
        <v>70G</v>
      </c>
      <c r="M504" s="150" t="str">
        <f t="shared" si="36"/>
        <v>SERV. EXTERIEURS - PIECE BMW</v>
      </c>
      <c r="N504" s="151">
        <f>+IF(OR($Q504=Parametres!$G$2,$Q504=Parametres!$G$3),I504,C504)</f>
        <v>3852.96</v>
      </c>
      <c r="O504" s="151">
        <f>+IF(OR($Q504=Parametres!$G$2,$Q504=Parametres!$G$3),J504,D504)</f>
        <v>1131.92</v>
      </c>
      <c r="P504" s="151">
        <f>+IF(OR($Q504=Parametres!$G$2,$Q504=Parametres!$G$3),K504,E504)</f>
        <v>4984.88</v>
      </c>
      <c r="Q504" s="150" t="str">
        <f t="shared" si="37"/>
        <v>7-Dépenses</v>
      </c>
      <c r="R504" s="149" t="str">
        <f t="shared" si="38"/>
        <v>70</v>
      </c>
      <c r="S504" s="150">
        <f t="shared" si="39"/>
        <v>0</v>
      </c>
      <c r="T504" s="152" t="str">
        <f>+VLOOKUP($L504,Data_Validation!$A:$D,1,0)</f>
        <v>70G</v>
      </c>
      <c r="U504" s="152" t="str">
        <f>+VLOOKUP($L504,Data_Validation!$A:$D,3,0)</f>
        <v>pièces</v>
      </c>
      <c r="V504" s="152" t="str">
        <f>+VLOOKUP($L504,Data_Validation!$A:$D,4,0)</f>
        <v>services extérieurs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1630</v>
      </c>
      <c r="B505" s="718" t="s">
        <v>810</v>
      </c>
      <c r="C505" s="720">
        <v>501.07</v>
      </c>
      <c r="D505" s="720">
        <v>155.81</v>
      </c>
      <c r="E505" s="720">
        <v>656.88</v>
      </c>
      <c r="F505" s="718" t="s">
        <v>2231</v>
      </c>
      <c r="G505" s="718" t="s">
        <v>2284</v>
      </c>
      <c r="H505" s="607"/>
      <c r="I505" s="609"/>
      <c r="J505" s="609"/>
      <c r="K505" s="609"/>
      <c r="L505" s="149" t="str">
        <f t="shared" si="35"/>
        <v>70I</v>
      </c>
      <c r="M505" s="150" t="str">
        <f t="shared" si="36"/>
        <v>SERV. EXTERIEURS - CARROSSERIE BMW</v>
      </c>
      <c r="N505" s="151">
        <f>+IF(OR($Q505=Parametres!$G$2,$Q505=Parametres!$G$3),I505,C505)</f>
        <v>501.07</v>
      </c>
      <c r="O505" s="151">
        <f>+IF(OR($Q505=Parametres!$G$2,$Q505=Parametres!$G$3),J505,D505)</f>
        <v>155.81</v>
      </c>
      <c r="P505" s="151">
        <f>+IF(OR($Q505=Parametres!$G$2,$Q505=Parametres!$G$3),K505,E505)</f>
        <v>656.88</v>
      </c>
      <c r="Q505" s="150" t="str">
        <f t="shared" si="37"/>
        <v>7-Dépenses</v>
      </c>
      <c r="R505" s="149" t="str">
        <f t="shared" si="38"/>
        <v>70</v>
      </c>
      <c r="S505" s="150">
        <f t="shared" si="39"/>
        <v>0</v>
      </c>
      <c r="T505" s="152" t="str">
        <f>+VLOOKUP($L505,Data_Validation!$A:$D,1,0)</f>
        <v>70I</v>
      </c>
      <c r="U505" s="152" t="str">
        <f>+VLOOKUP($L505,Data_Validation!$A:$D,3,0)</f>
        <v>carrosserie</v>
      </c>
      <c r="V505" s="152" t="str">
        <f>+VLOOKUP($L505,Data_Validation!$A:$D,4,0)</f>
        <v>services extérieurs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2871</v>
      </c>
      <c r="B506" s="718" t="s">
        <v>2860</v>
      </c>
      <c r="C506" s="720">
        <v>1475</v>
      </c>
      <c r="D506" s="720">
        <v>600</v>
      </c>
      <c r="E506" s="720">
        <v>2075</v>
      </c>
      <c r="F506" s="718" t="s">
        <v>2231</v>
      </c>
      <c r="G506" s="718" t="s">
        <v>2284</v>
      </c>
      <c r="H506" s="673"/>
      <c r="I506" s="672"/>
      <c r="J506" s="672"/>
      <c r="K506" s="672"/>
      <c r="L506" s="149" t="str">
        <f t="shared" si="35"/>
        <v>70L</v>
      </c>
      <c r="M506" s="150" t="str">
        <f t="shared" si="36"/>
        <v>CAMION PIECES - PIECES BMW</v>
      </c>
      <c r="N506" s="151">
        <f>+IF(OR($Q506=Parametres!$G$2,$Q506=Parametres!$G$3),I506,C506)</f>
        <v>1475</v>
      </c>
      <c r="O506" s="151">
        <f>+IF(OR($Q506=Parametres!$G$2,$Q506=Parametres!$G$3),J506,D506)</f>
        <v>600</v>
      </c>
      <c r="P506" s="151">
        <f>+IF(OR($Q506=Parametres!$G$2,$Q506=Parametres!$G$3),K506,E506)</f>
        <v>2075</v>
      </c>
      <c r="Q506" s="150" t="str">
        <f t="shared" si="37"/>
        <v>7-Dépenses</v>
      </c>
      <c r="R506" s="149" t="str">
        <f t="shared" si="38"/>
        <v>70</v>
      </c>
      <c r="S506" s="150">
        <f t="shared" si="39"/>
        <v>0</v>
      </c>
      <c r="T506" s="152" t="str">
        <f>+VLOOKUP($L506,Data_Validation!$A:$D,1,0)</f>
        <v>70L</v>
      </c>
      <c r="U506" s="152" t="str">
        <f>+VLOOKUP($L506,Data_Validation!$A:$D,3,0)</f>
        <v>Pièces</v>
      </c>
      <c r="V506" s="152" t="str">
        <f>+VLOOKUP($L506,Data_Validation!$A:$D,4,0)</f>
        <v>Services extérieurs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1157</v>
      </c>
      <c r="B507" s="718" t="s">
        <v>801</v>
      </c>
      <c r="C507" s="720">
        <v>2505.3000000000002</v>
      </c>
      <c r="D507" s="720">
        <v>1481.23</v>
      </c>
      <c r="E507" s="720">
        <v>3986.53</v>
      </c>
      <c r="F507" s="718" t="s">
        <v>2231</v>
      </c>
      <c r="G507" s="718" t="s">
        <v>2269</v>
      </c>
      <c r="H507" s="673"/>
      <c r="I507" s="673"/>
      <c r="J507" s="673"/>
      <c r="K507" s="673"/>
      <c r="L507" s="149" t="str">
        <f t="shared" si="35"/>
        <v>71A</v>
      </c>
      <c r="M507" s="150" t="str">
        <f t="shared" si="36"/>
        <v>FRAIS REPRESENTATION - NEUF BMW</v>
      </c>
      <c r="N507" s="151">
        <f>+IF(OR($Q507=Parametres!$G$2,$Q507=Parametres!$G$3),I507,C507)</f>
        <v>2505.3000000000002</v>
      </c>
      <c r="O507" s="151">
        <f>+IF(OR($Q507=Parametres!$G$2,$Q507=Parametres!$G$3),J507,D507)</f>
        <v>1481.23</v>
      </c>
      <c r="P507" s="151">
        <f>+IF(OR($Q507=Parametres!$G$2,$Q507=Parametres!$G$3),K507,E507)</f>
        <v>3986.53</v>
      </c>
      <c r="Q507" s="150" t="str">
        <f t="shared" si="37"/>
        <v>7-Dépenses</v>
      </c>
      <c r="R507" s="149" t="str">
        <f t="shared" si="38"/>
        <v>71</v>
      </c>
      <c r="S507" s="150">
        <f t="shared" si="39"/>
        <v>0</v>
      </c>
      <c r="T507" s="152" t="str">
        <f>+VLOOKUP($L507,Data_Validation!$A:$D,1,0)</f>
        <v>71A</v>
      </c>
      <c r="U507" s="152" t="str">
        <f>+VLOOKUP($L507,Data_Validation!$A:$D,3,0)</f>
        <v>Véhicules neufs</v>
      </c>
      <c r="V507" s="152" t="str">
        <f>+VLOOKUP($L507,Data_Validation!$A:$D,4,0)</f>
        <v>Frais de déplacement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1202</v>
      </c>
      <c r="B508" s="718" t="s">
        <v>797</v>
      </c>
      <c r="C508" s="720">
        <v>613.9</v>
      </c>
      <c r="D508" s="720">
        <v>394.46</v>
      </c>
      <c r="E508" s="720">
        <v>1008.36</v>
      </c>
      <c r="F508" s="718" t="s">
        <v>2231</v>
      </c>
      <c r="G508" s="718" t="s">
        <v>2269</v>
      </c>
      <c r="H508" s="609"/>
      <c r="I508" s="609"/>
      <c r="J508" s="609"/>
      <c r="K508" s="609"/>
      <c r="L508" s="149" t="str">
        <f t="shared" si="35"/>
        <v>71C</v>
      </c>
      <c r="M508" s="150" t="str">
        <f t="shared" si="36"/>
        <v>FRAIS REPRESENTATION - USAGE BMW</v>
      </c>
      <c r="N508" s="151">
        <f>+IF(OR($Q508=Parametres!$G$2,$Q508=Parametres!$G$3),I508,C508)</f>
        <v>613.9</v>
      </c>
      <c r="O508" s="151">
        <f>+IF(OR($Q508=Parametres!$G$2,$Q508=Parametres!$G$3),J508,D508)</f>
        <v>394.46</v>
      </c>
      <c r="P508" s="151">
        <f>+IF(OR($Q508=Parametres!$G$2,$Q508=Parametres!$G$3),K508,E508)</f>
        <v>1008.36</v>
      </c>
      <c r="Q508" s="150" t="str">
        <f t="shared" si="37"/>
        <v>7-Dépenses</v>
      </c>
      <c r="R508" s="149" t="str">
        <f t="shared" si="38"/>
        <v>71</v>
      </c>
      <c r="S508" s="150">
        <f t="shared" si="39"/>
        <v>0</v>
      </c>
      <c r="T508" s="152" t="str">
        <f>+VLOOKUP($L508,Data_Validation!$A:$D,1,0)</f>
        <v>71C</v>
      </c>
      <c r="U508" s="152" t="str">
        <f>+VLOOKUP($L508,Data_Validation!$A:$D,3,0)</f>
        <v>Véhicules usagés</v>
      </c>
      <c r="V508" s="152" t="str">
        <f>+VLOOKUP($L508,Data_Validation!$A:$D,4,0)</f>
        <v>Frais de déplacement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1183</v>
      </c>
      <c r="B509" s="718" t="s">
        <v>791</v>
      </c>
      <c r="C509" s="720">
        <v>4375.6499999999996</v>
      </c>
      <c r="D509" s="720">
        <v>885.31</v>
      </c>
      <c r="E509" s="720">
        <v>5260.96</v>
      </c>
      <c r="F509" s="718" t="s">
        <v>2231</v>
      </c>
      <c r="G509" s="718" t="s">
        <v>2269</v>
      </c>
      <c r="H509" s="719"/>
      <c r="I509" s="719"/>
      <c r="J509" s="719"/>
      <c r="K509" s="719"/>
      <c r="L509" s="149" t="str">
        <f t="shared" si="35"/>
        <v>71E</v>
      </c>
      <c r="M509" s="150" t="str">
        <f t="shared" si="36"/>
        <v>FRAIS REPRESENTATION - SERV. BMW</v>
      </c>
      <c r="N509" s="151">
        <f>+IF(OR($Q509=Parametres!$G$2,$Q509=Parametres!$G$3),I509,C509)</f>
        <v>4375.6499999999996</v>
      </c>
      <c r="O509" s="151">
        <f>+IF(OR($Q509=Parametres!$G$2,$Q509=Parametres!$G$3),J509,D509)</f>
        <v>885.31</v>
      </c>
      <c r="P509" s="151">
        <f>+IF(OR($Q509=Parametres!$G$2,$Q509=Parametres!$G$3),K509,E509)</f>
        <v>5260.96</v>
      </c>
      <c r="Q509" s="150" t="str">
        <f t="shared" si="37"/>
        <v>7-Dépenses</v>
      </c>
      <c r="R509" s="149" t="str">
        <f t="shared" si="38"/>
        <v>71</v>
      </c>
      <c r="S509" s="150">
        <f t="shared" si="39"/>
        <v>0</v>
      </c>
      <c r="T509" s="152" t="str">
        <f>+VLOOKUP($L509,Data_Validation!$A:$D,1,0)</f>
        <v>71E</v>
      </c>
      <c r="U509" s="152" t="str">
        <f>+VLOOKUP($L509,Data_Validation!$A:$D,3,0)</f>
        <v>Service</v>
      </c>
      <c r="V509" s="152" t="str">
        <f>+VLOOKUP($L509,Data_Validation!$A:$D,4,0)</f>
        <v>Frais de déplacement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1181</v>
      </c>
      <c r="B510" s="718" t="s">
        <v>779</v>
      </c>
      <c r="C510" s="720">
        <v>1087.5</v>
      </c>
      <c r="D510" s="720">
        <v>626.54</v>
      </c>
      <c r="E510" s="720">
        <v>1714.04</v>
      </c>
      <c r="F510" s="718" t="s">
        <v>2231</v>
      </c>
      <c r="G510" s="718" t="s">
        <v>2269</v>
      </c>
      <c r="H510" s="673"/>
      <c r="I510" s="672"/>
      <c r="J510" s="672"/>
      <c r="K510" s="672"/>
      <c r="L510" s="149" t="str">
        <f t="shared" si="35"/>
        <v>71G</v>
      </c>
      <c r="M510" s="150" t="str">
        <f t="shared" si="36"/>
        <v>FRAIS REPRESENTATION - PIECE BMW</v>
      </c>
      <c r="N510" s="151">
        <f>+IF(OR($Q510=Parametres!$G$2,$Q510=Parametres!$G$3),I510,C510)</f>
        <v>1087.5</v>
      </c>
      <c r="O510" s="151">
        <f>+IF(OR($Q510=Parametres!$G$2,$Q510=Parametres!$G$3),J510,D510)</f>
        <v>626.54</v>
      </c>
      <c r="P510" s="151">
        <f>+IF(OR($Q510=Parametres!$G$2,$Q510=Parametres!$G$3),K510,E510)</f>
        <v>1714.04</v>
      </c>
      <c r="Q510" s="150" t="str">
        <f t="shared" si="37"/>
        <v>7-Dépenses</v>
      </c>
      <c r="R510" s="149" t="str">
        <f t="shared" si="38"/>
        <v>71</v>
      </c>
      <c r="S510" s="150">
        <f t="shared" si="39"/>
        <v>0</v>
      </c>
      <c r="T510" s="152" t="str">
        <f>+VLOOKUP($L510,Data_Validation!$A:$D,1,0)</f>
        <v>71G</v>
      </c>
      <c r="U510" s="152" t="str">
        <f>+VLOOKUP($L510,Data_Validation!$A:$D,3,0)</f>
        <v>pièces</v>
      </c>
      <c r="V510" s="152" t="str">
        <f>+VLOOKUP($L510,Data_Validation!$A:$D,4,0)</f>
        <v>Frais de déplacement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1224</v>
      </c>
      <c r="B511" s="718" t="s">
        <v>767</v>
      </c>
      <c r="C511" s="720">
        <v>131.96</v>
      </c>
      <c r="D511" s="720">
        <v>71.25</v>
      </c>
      <c r="E511" s="720">
        <v>203.21</v>
      </c>
      <c r="F511" s="718" t="s">
        <v>2231</v>
      </c>
      <c r="G511" s="718" t="s">
        <v>2269</v>
      </c>
      <c r="H511" s="673"/>
      <c r="I511" s="672"/>
      <c r="J511" s="672"/>
      <c r="K511" s="672"/>
      <c r="L511" s="149" t="str">
        <f t="shared" si="35"/>
        <v>71I</v>
      </c>
      <c r="M511" s="150" t="str">
        <f t="shared" si="36"/>
        <v>FRAIS REPRESENTATION - CARROSSERIE BMW</v>
      </c>
      <c r="N511" s="151">
        <f>+IF(OR($Q511=Parametres!$G$2,$Q511=Parametres!$G$3),I511,C511)</f>
        <v>131.96</v>
      </c>
      <c r="O511" s="151">
        <f>+IF(OR($Q511=Parametres!$G$2,$Q511=Parametres!$G$3),J511,D511)</f>
        <v>71.25</v>
      </c>
      <c r="P511" s="151">
        <f>+IF(OR($Q511=Parametres!$G$2,$Q511=Parametres!$G$3),K511,E511)</f>
        <v>203.21</v>
      </c>
      <c r="Q511" s="150" t="str">
        <f t="shared" si="37"/>
        <v>7-Dépenses</v>
      </c>
      <c r="R511" s="149" t="str">
        <f t="shared" si="38"/>
        <v>71</v>
      </c>
      <c r="S511" s="150">
        <f t="shared" si="39"/>
        <v>0</v>
      </c>
      <c r="T511" s="152" t="str">
        <f>+VLOOKUP($L511,Data_Validation!$A:$D,1,0)</f>
        <v>71I</v>
      </c>
      <c r="U511" s="152" t="str">
        <f>+VLOOKUP($L511,Data_Validation!$A:$D,3,0)</f>
        <v>carrosserie</v>
      </c>
      <c r="V511" s="152" t="str">
        <f>+VLOOKUP($L511,Data_Validation!$A:$D,4,0)</f>
        <v>Frais de déplacement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1234</v>
      </c>
      <c r="B512" s="718" t="s">
        <v>809</v>
      </c>
      <c r="C512" s="720">
        <v>382.05</v>
      </c>
      <c r="D512" s="720">
        <v>309.60000000000002</v>
      </c>
      <c r="E512" s="720">
        <v>691.65</v>
      </c>
      <c r="F512" s="718" t="s">
        <v>2231</v>
      </c>
      <c r="G512" s="718" t="s">
        <v>2266</v>
      </c>
      <c r="H512" s="607"/>
      <c r="I512" s="609"/>
      <c r="J512" s="609"/>
      <c r="K512" s="609"/>
      <c r="L512" s="149" t="str">
        <f t="shared" si="35"/>
        <v>72A</v>
      </c>
      <c r="M512" s="150" t="str">
        <f t="shared" si="36"/>
        <v>COTIS. &amp; ABONN. - NEUF BMW</v>
      </c>
      <c r="N512" s="151">
        <f>+IF(OR($Q512=Parametres!$G$2,$Q512=Parametres!$G$3),I512,C512)</f>
        <v>382.05</v>
      </c>
      <c r="O512" s="151">
        <f>+IF(OR($Q512=Parametres!$G$2,$Q512=Parametres!$G$3),J512,D512)</f>
        <v>309.60000000000002</v>
      </c>
      <c r="P512" s="151">
        <f>+IF(OR($Q512=Parametres!$G$2,$Q512=Parametres!$G$3),K512,E512)</f>
        <v>691.65</v>
      </c>
      <c r="Q512" s="150" t="str">
        <f t="shared" si="37"/>
        <v>7-Dépenses</v>
      </c>
      <c r="R512" s="149" t="str">
        <f t="shared" si="38"/>
        <v>72</v>
      </c>
      <c r="S512" s="150">
        <f t="shared" si="39"/>
        <v>0</v>
      </c>
      <c r="T512" s="152" t="str">
        <f>+VLOOKUP($L512,Data_Validation!$A:$D,1,0)</f>
        <v>72A</v>
      </c>
      <c r="U512" s="152" t="str">
        <f>+VLOOKUP($L512,Data_Validation!$A:$D,3,0)</f>
        <v>Véhicules neufs</v>
      </c>
      <c r="V512" s="152" t="str">
        <f>+VLOOKUP($L512,Data_Validation!$A:$D,4,0)</f>
        <v>divers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1240</v>
      </c>
      <c r="B513" s="718" t="s">
        <v>777</v>
      </c>
      <c r="C513" s="720">
        <v>84.9</v>
      </c>
      <c r="D513" s="720">
        <v>68.8</v>
      </c>
      <c r="E513" s="720">
        <v>153.69999999999999</v>
      </c>
      <c r="F513" s="718" t="s">
        <v>2231</v>
      </c>
      <c r="G513" s="718" t="s">
        <v>2266</v>
      </c>
      <c r="H513" s="673"/>
      <c r="I513" s="672"/>
      <c r="J513" s="672"/>
      <c r="K513" s="672"/>
      <c r="L513" s="149" t="str">
        <f t="shared" si="35"/>
        <v>72C</v>
      </c>
      <c r="M513" s="150" t="str">
        <f t="shared" si="36"/>
        <v>COTIS. &amp; ABONN. - USAGE BMW</v>
      </c>
      <c r="N513" s="151">
        <f>+IF(OR($Q513=Parametres!$G$2,$Q513=Parametres!$G$3),I513,C513)</f>
        <v>84.9</v>
      </c>
      <c r="O513" s="151">
        <f>+IF(OR($Q513=Parametres!$G$2,$Q513=Parametres!$G$3),J513,D513)</f>
        <v>68.8</v>
      </c>
      <c r="P513" s="151">
        <f>+IF(OR($Q513=Parametres!$G$2,$Q513=Parametres!$G$3),K513,E513)</f>
        <v>153.69999999999999</v>
      </c>
      <c r="Q513" s="150" t="str">
        <f t="shared" si="37"/>
        <v>7-Dépenses</v>
      </c>
      <c r="R513" s="149" t="str">
        <f t="shared" si="38"/>
        <v>72</v>
      </c>
      <c r="S513" s="150">
        <f t="shared" si="39"/>
        <v>0</v>
      </c>
      <c r="T513" s="152" t="str">
        <f>+VLOOKUP($L513,Data_Validation!$A:$D,1,0)</f>
        <v>72C</v>
      </c>
      <c r="U513" s="152" t="str">
        <f>+VLOOKUP($L513,Data_Validation!$A:$D,3,0)</f>
        <v>Véhicules usagés</v>
      </c>
      <c r="V513" s="152" t="str">
        <f>+VLOOKUP($L513,Data_Validation!$A:$D,4,0)</f>
        <v>divers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1237</v>
      </c>
      <c r="B514" s="718" t="s">
        <v>795</v>
      </c>
      <c r="C514" s="720">
        <v>191.04</v>
      </c>
      <c r="D514" s="720">
        <v>154.81</v>
      </c>
      <c r="E514" s="720">
        <v>345.85</v>
      </c>
      <c r="F514" s="718" t="s">
        <v>2231</v>
      </c>
      <c r="G514" s="718" t="s">
        <v>2266</v>
      </c>
      <c r="H514" s="673"/>
      <c r="I514" s="672"/>
      <c r="J514" s="672"/>
      <c r="K514" s="672"/>
      <c r="L514" s="149" t="str">
        <f t="shared" ref="L514:L577" si="40">+B514</f>
        <v>72E</v>
      </c>
      <c r="M514" s="150" t="str">
        <f t="shared" ref="M514:M577" si="41">+A514</f>
        <v>COTIS. &amp; ABONN. - SERV. BMW</v>
      </c>
      <c r="N514" s="151">
        <f>+IF(OR($Q514=Parametres!$G$2,$Q514=Parametres!$G$3),I514,C514)</f>
        <v>191.04</v>
      </c>
      <c r="O514" s="151">
        <f>+IF(OR($Q514=Parametres!$G$2,$Q514=Parametres!$G$3),J514,D514)</f>
        <v>154.81</v>
      </c>
      <c r="P514" s="151">
        <f>+IF(OR($Q514=Parametres!$G$2,$Q514=Parametres!$G$3),K514,E514)</f>
        <v>345.85</v>
      </c>
      <c r="Q514" s="150" t="str">
        <f t="shared" ref="Q514:Q577" si="42">+F514</f>
        <v>7-Dépenses</v>
      </c>
      <c r="R514" s="149" t="str">
        <f t="shared" ref="R514:R577" si="43">+G514</f>
        <v>72</v>
      </c>
      <c r="S514" s="150">
        <f t="shared" ref="S514:S577" si="44">+H514</f>
        <v>0</v>
      </c>
      <c r="T514" s="152" t="str">
        <f>+VLOOKUP($L514,Data_Validation!$A:$D,1,0)</f>
        <v>72E</v>
      </c>
      <c r="U514" s="152" t="str">
        <f>+VLOOKUP($L514,Data_Validation!$A:$D,3,0)</f>
        <v>Service</v>
      </c>
      <c r="V514" s="152" t="str">
        <f>+VLOOKUP($L514,Data_Validation!$A:$D,4,0)</f>
        <v>divers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1238</v>
      </c>
      <c r="B515" s="718" t="s">
        <v>793</v>
      </c>
      <c r="C515" s="720">
        <v>169.8</v>
      </c>
      <c r="D515" s="720">
        <v>137.6</v>
      </c>
      <c r="E515" s="720">
        <v>307.39999999999998</v>
      </c>
      <c r="F515" s="718" t="s">
        <v>2231</v>
      </c>
      <c r="G515" s="718" t="s">
        <v>2266</v>
      </c>
      <c r="H515" s="666"/>
      <c r="I515" s="665"/>
      <c r="J515" s="665"/>
      <c r="K515" s="665"/>
      <c r="L515" s="149" t="str">
        <f t="shared" si="40"/>
        <v>72G</v>
      </c>
      <c r="M515" s="150" t="str">
        <f t="shared" si="41"/>
        <v>COTIS. &amp; ABONN. - PIECE BMW</v>
      </c>
      <c r="N515" s="151">
        <f>+IF(OR($Q515=Parametres!$G$2,$Q515=Parametres!$G$3),I515,C515)</f>
        <v>169.8</v>
      </c>
      <c r="O515" s="151">
        <f>+IF(OR($Q515=Parametres!$G$2,$Q515=Parametres!$G$3),J515,D515)</f>
        <v>137.6</v>
      </c>
      <c r="P515" s="151">
        <f>+IF(OR($Q515=Parametres!$G$2,$Q515=Parametres!$G$3),K515,E515)</f>
        <v>307.39999999999998</v>
      </c>
      <c r="Q515" s="150" t="str">
        <f t="shared" si="42"/>
        <v>7-Dépenses</v>
      </c>
      <c r="R515" s="149" t="str">
        <f t="shared" si="43"/>
        <v>72</v>
      </c>
      <c r="S515" s="150">
        <f t="shared" si="44"/>
        <v>0</v>
      </c>
      <c r="T515" s="152" t="str">
        <f>+VLOOKUP($L515,Data_Validation!$A:$D,1,0)</f>
        <v>72G</v>
      </c>
      <c r="U515" s="152" t="str">
        <f>+VLOOKUP($L515,Data_Validation!$A:$D,3,0)</f>
        <v>pièces</v>
      </c>
      <c r="V515" s="152" t="str">
        <f>+VLOOKUP($L515,Data_Validation!$A:$D,4,0)</f>
        <v>divers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1243</v>
      </c>
      <c r="B516" s="718" t="s">
        <v>769</v>
      </c>
      <c r="C516" s="720">
        <v>21.21</v>
      </c>
      <c r="D516" s="720">
        <v>17.190000000000001</v>
      </c>
      <c r="E516" s="720">
        <v>38.4</v>
      </c>
      <c r="F516" s="718" t="s">
        <v>2231</v>
      </c>
      <c r="G516" s="718" t="s">
        <v>2266</v>
      </c>
      <c r="H516" s="666"/>
      <c r="I516" s="665"/>
      <c r="J516" s="665"/>
      <c r="K516" s="665"/>
      <c r="L516" s="149" t="str">
        <f t="shared" si="40"/>
        <v>72I</v>
      </c>
      <c r="M516" s="150" t="str">
        <f t="shared" si="41"/>
        <v>COTIS. &amp; ABONN. - CARROSSIER BMW</v>
      </c>
      <c r="N516" s="151">
        <f>+IF(OR($Q516=Parametres!$G$2,$Q516=Parametres!$G$3),I516,C516)</f>
        <v>21.21</v>
      </c>
      <c r="O516" s="151">
        <f>+IF(OR($Q516=Parametres!$G$2,$Q516=Parametres!$G$3),J516,D516)</f>
        <v>17.190000000000001</v>
      </c>
      <c r="P516" s="151">
        <f>+IF(OR($Q516=Parametres!$G$2,$Q516=Parametres!$G$3),K516,E516)</f>
        <v>38.4</v>
      </c>
      <c r="Q516" s="150" t="str">
        <f t="shared" si="42"/>
        <v>7-Dépenses</v>
      </c>
      <c r="R516" s="149" t="str">
        <f t="shared" si="43"/>
        <v>72</v>
      </c>
      <c r="S516" s="150">
        <f t="shared" si="44"/>
        <v>0</v>
      </c>
      <c r="T516" s="152" t="str">
        <f>+VLOOKUP($L516,Data_Validation!$A:$D,1,0)</f>
        <v>72I</v>
      </c>
      <c r="U516" s="152" t="str">
        <f>+VLOOKUP($L516,Data_Validation!$A:$D,3,0)</f>
        <v>carrosserie</v>
      </c>
      <c r="V516" s="152" t="str">
        <f>+VLOOKUP($L516,Data_Validation!$A:$D,4,0)</f>
        <v>divers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1731</v>
      </c>
      <c r="B517" s="718" t="s">
        <v>927</v>
      </c>
      <c r="C517" s="720">
        <v>5974.01</v>
      </c>
      <c r="D517" s="720">
        <v>4388.05</v>
      </c>
      <c r="E517" s="720">
        <v>10362.06</v>
      </c>
      <c r="F517" s="718" t="s">
        <v>2231</v>
      </c>
      <c r="G517" s="718" t="s">
        <v>2285</v>
      </c>
      <c r="H517" s="673"/>
      <c r="I517" s="673"/>
      <c r="J517" s="673"/>
      <c r="K517" s="673"/>
      <c r="L517" s="149" t="str">
        <f t="shared" si="40"/>
        <v>73A</v>
      </c>
      <c r="M517" s="150" t="str">
        <f t="shared" si="41"/>
        <v>REMISE CARTE CREDIT - NEUF BMW</v>
      </c>
      <c r="N517" s="151">
        <f>+IF(OR($Q517=Parametres!$G$2,$Q517=Parametres!$G$3),I517,C517)</f>
        <v>5974.01</v>
      </c>
      <c r="O517" s="151">
        <f>+IF(OR($Q517=Parametres!$G$2,$Q517=Parametres!$G$3),J517,D517)</f>
        <v>4388.05</v>
      </c>
      <c r="P517" s="151">
        <f>+IF(OR($Q517=Parametres!$G$2,$Q517=Parametres!$G$3),K517,E517)</f>
        <v>10362.06</v>
      </c>
      <c r="Q517" s="150" t="str">
        <f t="shared" si="42"/>
        <v>7-Dépenses</v>
      </c>
      <c r="R517" s="149" t="str">
        <f t="shared" si="43"/>
        <v>73</v>
      </c>
      <c r="S517" s="150">
        <f t="shared" si="44"/>
        <v>0</v>
      </c>
      <c r="T517" s="152" t="str">
        <f>+VLOOKUP($L517,Data_Validation!$A:$D,1,0)</f>
        <v>73A</v>
      </c>
      <c r="U517" s="152" t="str">
        <f>+VLOOKUP($L517,Data_Validation!$A:$D,3,0)</f>
        <v>Véhicules neufs</v>
      </c>
      <c r="V517" s="152" t="str">
        <f>+VLOOKUP($L517,Data_Validation!$A:$D,4,0)</f>
        <v>frais bancaires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1668</v>
      </c>
      <c r="B518" s="718" t="s">
        <v>864</v>
      </c>
      <c r="C518" s="720">
        <v>1327.56</v>
      </c>
      <c r="D518" s="720">
        <v>975.13</v>
      </c>
      <c r="E518" s="720">
        <v>2302.69</v>
      </c>
      <c r="F518" s="718" t="s">
        <v>2231</v>
      </c>
      <c r="G518" s="718" t="s">
        <v>2285</v>
      </c>
      <c r="H518" s="666"/>
      <c r="I518" s="665"/>
      <c r="J518" s="665"/>
      <c r="K518" s="665"/>
      <c r="L518" s="149" t="str">
        <f t="shared" si="40"/>
        <v>73C</v>
      </c>
      <c r="M518" s="150" t="str">
        <f t="shared" si="41"/>
        <v>REMISE CARTE CREDIT - USAGE BMW</v>
      </c>
      <c r="N518" s="151">
        <f>+IF(OR($Q518=Parametres!$G$2,$Q518=Parametres!$G$3),I518,C518)</f>
        <v>1327.56</v>
      </c>
      <c r="O518" s="151">
        <f>+IF(OR($Q518=Parametres!$G$2,$Q518=Parametres!$G$3),J518,D518)</f>
        <v>975.13</v>
      </c>
      <c r="P518" s="151">
        <f>+IF(OR($Q518=Parametres!$G$2,$Q518=Parametres!$G$3),K518,E518)</f>
        <v>2302.69</v>
      </c>
      <c r="Q518" s="150" t="str">
        <f t="shared" si="42"/>
        <v>7-Dépenses</v>
      </c>
      <c r="R518" s="149" t="str">
        <f t="shared" si="43"/>
        <v>73</v>
      </c>
      <c r="S518" s="150">
        <f t="shared" si="44"/>
        <v>0</v>
      </c>
      <c r="T518" s="152" t="str">
        <f>+VLOOKUP($L518,Data_Validation!$A:$D,1,0)</f>
        <v>73C</v>
      </c>
      <c r="U518" s="152" t="str">
        <f>+VLOOKUP($L518,Data_Validation!$A:$D,3,0)</f>
        <v>Véhicules usagés</v>
      </c>
      <c r="V518" s="152" t="str">
        <f>+VLOOKUP($L518,Data_Validation!$A:$D,4,0)</f>
        <v>frais bancaires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1693</v>
      </c>
      <c r="B519" s="718" t="s">
        <v>900</v>
      </c>
      <c r="C519" s="720">
        <v>2987.01</v>
      </c>
      <c r="D519" s="720">
        <v>2194.0300000000002</v>
      </c>
      <c r="E519" s="720">
        <v>5181.04</v>
      </c>
      <c r="F519" s="718" t="s">
        <v>2231</v>
      </c>
      <c r="G519" s="718" t="s">
        <v>2285</v>
      </c>
      <c r="H519" s="673"/>
      <c r="I519" s="672"/>
      <c r="J519" s="672"/>
      <c r="K519" s="672"/>
      <c r="L519" s="149" t="str">
        <f t="shared" si="40"/>
        <v>73E</v>
      </c>
      <c r="M519" s="150" t="str">
        <f t="shared" si="41"/>
        <v>REMISE CARTE CREDIT - SERV. BMW</v>
      </c>
      <c r="N519" s="151">
        <f>+IF(OR($Q519=Parametres!$G$2,$Q519=Parametres!$G$3),I519,C519)</f>
        <v>2987.01</v>
      </c>
      <c r="O519" s="151">
        <f>+IF(OR($Q519=Parametres!$G$2,$Q519=Parametres!$G$3),J519,D519)</f>
        <v>2194.0300000000002</v>
      </c>
      <c r="P519" s="151">
        <f>+IF(OR($Q519=Parametres!$G$2,$Q519=Parametres!$G$3),K519,E519)</f>
        <v>5181.04</v>
      </c>
      <c r="Q519" s="150" t="str">
        <f t="shared" si="42"/>
        <v>7-Dépenses</v>
      </c>
      <c r="R519" s="149" t="str">
        <f t="shared" si="43"/>
        <v>73</v>
      </c>
      <c r="S519" s="150">
        <f t="shared" si="44"/>
        <v>0</v>
      </c>
      <c r="T519" s="152" t="str">
        <f>+VLOOKUP($L519,Data_Validation!$A:$D,1,0)</f>
        <v>73E</v>
      </c>
      <c r="U519" s="152" t="str">
        <f>+VLOOKUP($L519,Data_Validation!$A:$D,3,0)</f>
        <v>Service</v>
      </c>
      <c r="V519" s="152" t="str">
        <f>+VLOOKUP($L519,Data_Validation!$A:$D,4,0)</f>
        <v>frais bancaires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1691</v>
      </c>
      <c r="B520" s="718" t="s">
        <v>892</v>
      </c>
      <c r="C520" s="720">
        <v>2655.09</v>
      </c>
      <c r="D520" s="720">
        <v>1950.25</v>
      </c>
      <c r="E520" s="720">
        <v>4605.34</v>
      </c>
      <c r="F520" s="718" t="s">
        <v>2231</v>
      </c>
      <c r="G520" s="718" t="s">
        <v>2285</v>
      </c>
      <c r="H520" s="673"/>
      <c r="I520" s="672"/>
      <c r="J520" s="672"/>
      <c r="K520" s="672"/>
      <c r="L520" s="149" t="str">
        <f t="shared" si="40"/>
        <v>73G</v>
      </c>
      <c r="M520" s="150" t="str">
        <f t="shared" si="41"/>
        <v>REMISE CARTE CREDIT - PIECE BMW</v>
      </c>
      <c r="N520" s="151">
        <f>+IF(OR($Q520=Parametres!$G$2,$Q520=Parametres!$G$3),I520,C520)</f>
        <v>2655.09</v>
      </c>
      <c r="O520" s="151">
        <f>+IF(OR($Q520=Parametres!$G$2,$Q520=Parametres!$G$3),J520,D520)</f>
        <v>1950.25</v>
      </c>
      <c r="P520" s="151">
        <f>+IF(OR($Q520=Parametres!$G$2,$Q520=Parametres!$G$3),K520,E520)</f>
        <v>4605.34</v>
      </c>
      <c r="Q520" s="150" t="str">
        <f t="shared" si="42"/>
        <v>7-Dépenses</v>
      </c>
      <c r="R520" s="149" t="str">
        <f t="shared" si="43"/>
        <v>73</v>
      </c>
      <c r="S520" s="150">
        <f t="shared" si="44"/>
        <v>0</v>
      </c>
      <c r="T520" s="152" t="str">
        <f>+VLOOKUP($L520,Data_Validation!$A:$D,1,0)</f>
        <v>73G</v>
      </c>
      <c r="U520" s="152" t="str">
        <f>+VLOOKUP($L520,Data_Validation!$A:$D,3,0)</f>
        <v>pièces</v>
      </c>
      <c r="V520" s="152" t="str">
        <f>+VLOOKUP($L520,Data_Validation!$A:$D,4,0)</f>
        <v>frais bancaires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1625</v>
      </c>
      <c r="B521" s="718" t="s">
        <v>824</v>
      </c>
      <c r="C521" s="720">
        <v>331.91</v>
      </c>
      <c r="D521" s="720">
        <v>243.76</v>
      </c>
      <c r="E521" s="720">
        <v>575.66999999999996</v>
      </c>
      <c r="F521" s="718" t="s">
        <v>2231</v>
      </c>
      <c r="G521" s="718" t="s">
        <v>2285</v>
      </c>
      <c r="H521" s="607"/>
      <c r="I521" s="153"/>
      <c r="J521" s="153"/>
      <c r="K521" s="153"/>
      <c r="L521" s="149" t="str">
        <f t="shared" si="40"/>
        <v>73I</v>
      </c>
      <c r="M521" s="150" t="str">
        <f t="shared" si="41"/>
        <v>REMISE CARTE CREDIT - CARROSSERIE BMW</v>
      </c>
      <c r="N521" s="151">
        <f>+IF(OR($Q521=Parametres!$G$2,$Q521=Parametres!$G$3),I521,C521)</f>
        <v>331.91</v>
      </c>
      <c r="O521" s="151">
        <f>+IF(OR($Q521=Parametres!$G$2,$Q521=Parametres!$G$3),J521,D521)</f>
        <v>243.76</v>
      </c>
      <c r="P521" s="151">
        <f>+IF(OR($Q521=Parametres!$G$2,$Q521=Parametres!$G$3),K521,E521)</f>
        <v>575.66999999999996</v>
      </c>
      <c r="Q521" s="150" t="str">
        <f t="shared" si="42"/>
        <v>7-Dépenses</v>
      </c>
      <c r="R521" s="149" t="str">
        <f t="shared" si="43"/>
        <v>73</v>
      </c>
      <c r="S521" s="150">
        <f t="shared" si="44"/>
        <v>0</v>
      </c>
      <c r="T521" s="152" t="str">
        <f>+VLOOKUP($L521,Data_Validation!$A:$D,1,0)</f>
        <v>73I</v>
      </c>
      <c r="U521" s="152" t="str">
        <f>+VLOOKUP($L521,Data_Validation!$A:$D,3,0)</f>
        <v>carrosserie</v>
      </c>
      <c r="V521" s="152" t="str">
        <f>+VLOOKUP($L521,Data_Validation!$A:$D,4,0)</f>
        <v>frais bancaires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1772</v>
      </c>
      <c r="B522" s="718" t="s">
        <v>916</v>
      </c>
      <c r="C522" s="720">
        <v>8514.9</v>
      </c>
      <c r="D522" s="720">
        <v>2838.3</v>
      </c>
      <c r="E522" s="720">
        <v>11353.2</v>
      </c>
      <c r="F522" s="718" t="s">
        <v>2231</v>
      </c>
      <c r="G522" s="718" t="s">
        <v>2286</v>
      </c>
      <c r="H522" s="607"/>
      <c r="I522" s="609"/>
      <c r="J522" s="609"/>
      <c r="K522" s="609"/>
      <c r="L522" s="149" t="str">
        <f t="shared" si="40"/>
        <v>74A</v>
      </c>
      <c r="M522" s="150" t="str">
        <f t="shared" si="41"/>
        <v>FRAIS LEGAUX &amp; CTB - NEUF BMW</v>
      </c>
      <c r="N522" s="151">
        <f>+IF(OR($Q522=Parametres!$G$2,$Q522=Parametres!$G$3),I522,C522)</f>
        <v>8514.9</v>
      </c>
      <c r="O522" s="504">
        <f>+IF(OR($Q522=Parametres!$G$2,$Q522=Parametres!$G$3),J522,D522)</f>
        <v>2838.3</v>
      </c>
      <c r="P522" s="151">
        <f>+IF(OR($Q522=Parametres!$G$2,$Q522=Parametres!$G$3),K522,E522)</f>
        <v>11353.2</v>
      </c>
      <c r="Q522" s="150" t="str">
        <f t="shared" si="42"/>
        <v>7-Dépenses</v>
      </c>
      <c r="R522" s="149" t="str">
        <f t="shared" si="43"/>
        <v>74</v>
      </c>
      <c r="S522" s="150">
        <f t="shared" si="44"/>
        <v>0</v>
      </c>
      <c r="T522" s="152" t="str">
        <f>+VLOOKUP($L522,Data_Validation!$A:$D,1,0)</f>
        <v>74A</v>
      </c>
      <c r="U522" s="152" t="str">
        <f>+VLOOKUP($L522,Data_Validation!$A:$D,3,0)</f>
        <v>Véhicules neufs</v>
      </c>
      <c r="V522" s="152" t="str">
        <f>+VLOOKUP($L522,Data_Validation!$A:$D,4,0)</f>
        <v>honoraires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1683</v>
      </c>
      <c r="B523" s="718" t="s">
        <v>854</v>
      </c>
      <c r="C523" s="720">
        <v>1892.19</v>
      </c>
      <c r="D523" s="720">
        <v>630.73</v>
      </c>
      <c r="E523" s="720">
        <v>2522.92</v>
      </c>
      <c r="F523" s="718" t="s">
        <v>2231</v>
      </c>
      <c r="G523" s="718" t="s">
        <v>2286</v>
      </c>
      <c r="H523" s="609"/>
      <c r="I523" s="608"/>
      <c r="J523" s="608"/>
      <c r="K523" s="608"/>
      <c r="L523" s="149" t="str">
        <f t="shared" si="40"/>
        <v>74C</v>
      </c>
      <c r="M523" s="150" t="str">
        <f t="shared" si="41"/>
        <v>FRAIS LEGAUX &amp; CTB - USAGE BMW</v>
      </c>
      <c r="N523" s="151">
        <f>+IF(OR($Q523=Parametres!$G$2,$Q523=Parametres!$G$3),I523,C523)</f>
        <v>1892.19</v>
      </c>
      <c r="O523" s="504">
        <f>+IF(OR($Q523=Parametres!$G$2,$Q523=Parametres!$G$3),J523,D523)</f>
        <v>630.73</v>
      </c>
      <c r="P523" s="151">
        <f>+IF(OR($Q523=Parametres!$G$2,$Q523=Parametres!$G$3),K523,E523)</f>
        <v>2522.92</v>
      </c>
      <c r="Q523" s="150" t="str">
        <f t="shared" si="42"/>
        <v>7-Dépenses</v>
      </c>
      <c r="R523" s="149" t="str">
        <f t="shared" si="43"/>
        <v>74</v>
      </c>
      <c r="S523" s="150">
        <f t="shared" si="44"/>
        <v>0</v>
      </c>
      <c r="T523" s="152" t="str">
        <f>+VLOOKUP($L523,Data_Validation!$A:$D,1,0)</f>
        <v>74C</v>
      </c>
      <c r="U523" s="152" t="str">
        <f>+VLOOKUP($L523,Data_Validation!$A:$D,3,0)</f>
        <v>Véhicules usagés</v>
      </c>
      <c r="V523" s="152" t="str">
        <f>+VLOOKUP($L523,Data_Validation!$A:$D,4,0)</f>
        <v>honoraires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1727</v>
      </c>
      <c r="B524" s="718" t="s">
        <v>889</v>
      </c>
      <c r="C524" s="719">
        <v>4257.4799999999996</v>
      </c>
      <c r="D524" s="719">
        <v>1419.16</v>
      </c>
      <c r="E524" s="719">
        <v>5676.64</v>
      </c>
      <c r="F524" s="718" t="s">
        <v>2231</v>
      </c>
      <c r="G524" s="718" t="s">
        <v>2286</v>
      </c>
      <c r="H524" s="719"/>
      <c r="I524" s="720"/>
      <c r="J524" s="720"/>
      <c r="K524" s="720"/>
      <c r="L524" s="149" t="str">
        <f t="shared" si="40"/>
        <v>74E</v>
      </c>
      <c r="M524" s="150" t="str">
        <f t="shared" si="41"/>
        <v>FRAIS LEGAUX &amp; CTB - SERV. BMW</v>
      </c>
      <c r="N524" s="151">
        <f>+IF(OR($Q524=Parametres!$G$2,$Q524=Parametres!$G$3),I524,C524)</f>
        <v>4257.4799999999996</v>
      </c>
      <c r="O524" s="151">
        <f>+IF(OR($Q524=Parametres!$G$2,$Q524=Parametres!$G$3),J524,D524)</f>
        <v>1419.16</v>
      </c>
      <c r="P524" s="151">
        <f>+IF(OR($Q524=Parametres!$G$2,$Q524=Parametres!$G$3),K524,E524)</f>
        <v>5676.64</v>
      </c>
      <c r="Q524" s="150" t="str">
        <f t="shared" si="42"/>
        <v>7-Dépenses</v>
      </c>
      <c r="R524" s="149" t="str">
        <f t="shared" si="43"/>
        <v>74</v>
      </c>
      <c r="S524" s="150">
        <f t="shared" si="44"/>
        <v>0</v>
      </c>
      <c r="T524" s="152" t="str">
        <f>+VLOOKUP($L524,Data_Validation!$A:$E,1,0)</f>
        <v>74E</v>
      </c>
      <c r="U524" s="152" t="str">
        <f>+VLOOKUP($L524,Data_Validation!$A:$E,3,0)</f>
        <v>Service</v>
      </c>
      <c r="V524" s="152" t="str">
        <f>+VLOOKUP($L524,Data_Validation!$A:$E,4,0)</f>
        <v>honoraires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1719</v>
      </c>
      <c r="B525" s="718" t="s">
        <v>883</v>
      </c>
      <c r="C525" s="720">
        <v>3784.41</v>
      </c>
      <c r="D525" s="720">
        <v>1261.47</v>
      </c>
      <c r="E525" s="720">
        <v>5045.88</v>
      </c>
      <c r="F525" s="718" t="s">
        <v>2231</v>
      </c>
      <c r="G525" s="718" t="s">
        <v>2286</v>
      </c>
      <c r="H525" s="607"/>
      <c r="I525" s="153"/>
      <c r="J525" s="153"/>
      <c r="K525" s="153"/>
      <c r="L525" s="149" t="str">
        <f t="shared" si="40"/>
        <v>74G</v>
      </c>
      <c r="M525" s="150" t="str">
        <f t="shared" si="41"/>
        <v>FRAIS LEGAUX &amp; CTB - PIECE BMW</v>
      </c>
      <c r="N525" s="151">
        <f>+IF(OR($Q525=Parametres!$G$2,$Q525=Parametres!$G$3),I525,C525)</f>
        <v>3784.41</v>
      </c>
      <c r="O525" s="151">
        <f>+IF(OR($Q525=Parametres!$G$2,$Q525=Parametres!$G$3),J525,D525)</f>
        <v>1261.47</v>
      </c>
      <c r="P525" s="151">
        <f>+IF(OR($Q525=Parametres!$G$2,$Q525=Parametres!$G$3),K525,E525)</f>
        <v>5045.88</v>
      </c>
      <c r="Q525" s="150" t="str">
        <f t="shared" si="42"/>
        <v>7-Dépenses</v>
      </c>
      <c r="R525" s="149" t="str">
        <f t="shared" si="43"/>
        <v>74</v>
      </c>
      <c r="S525" s="150">
        <f t="shared" si="44"/>
        <v>0</v>
      </c>
      <c r="T525" s="152" t="str">
        <f>+VLOOKUP($L525,Data_Validation!$A:$D,1,0)</f>
        <v>74G</v>
      </c>
      <c r="U525" s="152" t="str">
        <f>+VLOOKUP($L525,Data_Validation!$A:$D,3,0)</f>
        <v>pièces</v>
      </c>
      <c r="V525" s="152" t="str">
        <f>+VLOOKUP($L525,Data_Validation!$A:$D,4,0)</f>
        <v>honoraires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1638</v>
      </c>
      <c r="B526" s="718" t="s">
        <v>815</v>
      </c>
      <c r="C526" s="720">
        <v>473.01</v>
      </c>
      <c r="D526" s="720">
        <v>157.66999999999999</v>
      </c>
      <c r="E526" s="720">
        <v>630.67999999999995</v>
      </c>
      <c r="F526" s="718" t="s">
        <v>2231</v>
      </c>
      <c r="G526" s="718" t="s">
        <v>2286</v>
      </c>
      <c r="H526" s="609"/>
      <c r="I526" s="608"/>
      <c r="J526" s="608"/>
      <c r="K526" s="608"/>
      <c r="L526" s="149" t="str">
        <f t="shared" si="40"/>
        <v>74I</v>
      </c>
      <c r="M526" s="150" t="str">
        <f t="shared" si="41"/>
        <v>FRAIS LEGAUX &amp; CTB - CARROSSERIE BMW</v>
      </c>
      <c r="N526" s="151">
        <f>+IF(OR($Q526=Parametres!$G$2,$Q526=Parametres!$G$3),I526,C526)</f>
        <v>473.01</v>
      </c>
      <c r="O526" s="151">
        <f>+IF(OR($Q526=Parametres!$G$2,$Q526=Parametres!$G$3),J526,D526)</f>
        <v>157.66999999999999</v>
      </c>
      <c r="P526" s="151">
        <f>+IF(OR($Q526=Parametres!$G$2,$Q526=Parametres!$G$3),K526,E526)</f>
        <v>630.67999999999995</v>
      </c>
      <c r="Q526" s="150" t="str">
        <f t="shared" si="42"/>
        <v>7-Dépenses</v>
      </c>
      <c r="R526" s="149" t="str">
        <f t="shared" si="43"/>
        <v>74</v>
      </c>
      <c r="S526" s="150">
        <f t="shared" si="44"/>
        <v>0</v>
      </c>
      <c r="T526" s="152" t="str">
        <f>+VLOOKUP($L526,Data_Validation!$A:$D,1,0)</f>
        <v>74I</v>
      </c>
      <c r="U526" s="152" t="str">
        <f>+VLOOKUP($L526,Data_Validation!$A:$D,3,0)</f>
        <v>carrosserie</v>
      </c>
      <c r="V526" s="152" t="str">
        <f>+VLOOKUP($L526,Data_Validation!$A:$D,4,0)</f>
        <v>honoraires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1672</v>
      </c>
      <c r="B527" s="718" t="s">
        <v>835</v>
      </c>
      <c r="C527" s="720">
        <v>661.89</v>
      </c>
      <c r="D527" s="720">
        <v>235.92</v>
      </c>
      <c r="E527" s="720">
        <v>897.81</v>
      </c>
      <c r="F527" s="718" t="s">
        <v>2231</v>
      </c>
      <c r="G527" s="718" t="s">
        <v>2262</v>
      </c>
      <c r="H527" s="609"/>
      <c r="I527" s="608"/>
      <c r="J527" s="608"/>
      <c r="K527" s="608"/>
      <c r="L527" s="149" t="str">
        <f t="shared" si="40"/>
        <v>75A</v>
      </c>
      <c r="M527" s="150" t="str">
        <f t="shared" si="41"/>
        <v>TELEPHONE - NEUF BMW</v>
      </c>
      <c r="N527" s="151">
        <f>+IF(OR($Q527=Parametres!$G$2,$Q527=Parametres!$G$3),I527,C527)</f>
        <v>661.89</v>
      </c>
      <c r="O527" s="151">
        <f>+IF(OR($Q527=Parametres!$G$2,$Q527=Parametres!$G$3),J527,D527)</f>
        <v>235.92</v>
      </c>
      <c r="P527" s="151">
        <f>+IF(OR($Q527=Parametres!$G$2,$Q527=Parametres!$G$3),K527,E527)</f>
        <v>897.81</v>
      </c>
      <c r="Q527" s="150" t="str">
        <f t="shared" si="42"/>
        <v>7-Dépenses</v>
      </c>
      <c r="R527" s="149" t="str">
        <f t="shared" si="43"/>
        <v>75</v>
      </c>
      <c r="S527" s="150">
        <f t="shared" si="44"/>
        <v>0</v>
      </c>
      <c r="T527" s="152" t="str">
        <f>+VLOOKUP($L527,Data_Validation!$A:$D,1,0)</f>
        <v>75A</v>
      </c>
      <c r="U527" s="152" t="str">
        <f>+VLOOKUP($L527,Data_Validation!$A:$D,3,0)</f>
        <v>Véhicules neufs</v>
      </c>
      <c r="V527" s="152" t="str">
        <f>+VLOOKUP($L527,Data_Validation!$A:$D,4,0)</f>
        <v>Téléphone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1628</v>
      </c>
      <c r="B528" s="718" t="s">
        <v>799</v>
      </c>
      <c r="C528" s="720">
        <v>243.14</v>
      </c>
      <c r="D528" s="720">
        <v>81.98</v>
      </c>
      <c r="E528" s="720">
        <v>325.12</v>
      </c>
      <c r="F528" s="718" t="s">
        <v>2231</v>
      </c>
      <c r="G528" s="718" t="s">
        <v>2262</v>
      </c>
      <c r="H528" s="673"/>
      <c r="I528" s="672"/>
      <c r="J528" s="672"/>
      <c r="K528" s="672"/>
      <c r="L528" s="149" t="str">
        <f t="shared" si="40"/>
        <v>75C</v>
      </c>
      <c r="M528" s="150" t="str">
        <f t="shared" si="41"/>
        <v>TELEPHONE - USAGE BMW</v>
      </c>
      <c r="N528" s="151">
        <f>+IF(OR($Q528=Parametres!$G$2,$Q528=Parametres!$G$3),I528,C528)</f>
        <v>243.14</v>
      </c>
      <c r="O528" s="151">
        <f>+IF(OR($Q528=Parametres!$G$2,$Q528=Parametres!$G$3),J528,D528)</f>
        <v>81.98</v>
      </c>
      <c r="P528" s="151">
        <f>+IF(OR($Q528=Parametres!$G$2,$Q528=Parametres!$G$3),K528,E528)</f>
        <v>325.12</v>
      </c>
      <c r="Q528" s="150" t="str">
        <f t="shared" si="42"/>
        <v>7-Dépenses</v>
      </c>
      <c r="R528" s="149" t="str">
        <f t="shared" si="43"/>
        <v>75</v>
      </c>
      <c r="S528" s="150">
        <f t="shared" si="44"/>
        <v>0</v>
      </c>
      <c r="T528" s="152" t="str">
        <f>+VLOOKUP($L528,Data_Validation!$A:$D,1,0)</f>
        <v>75C</v>
      </c>
      <c r="U528" s="152" t="str">
        <f>+VLOOKUP($L528,Data_Validation!$A:$D,3,0)</f>
        <v>Véhicules usagés</v>
      </c>
      <c r="V528" s="152" t="str">
        <f>+VLOOKUP($L528,Data_Validation!$A:$D,4,0)</f>
        <v>Téléphone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1659</v>
      </c>
      <c r="B529" s="718" t="s">
        <v>822</v>
      </c>
      <c r="C529" s="720">
        <v>318.95999999999998</v>
      </c>
      <c r="D529" s="720">
        <v>114.27</v>
      </c>
      <c r="E529" s="720">
        <v>433.23</v>
      </c>
      <c r="F529" s="718" t="s">
        <v>2231</v>
      </c>
      <c r="G529" s="718" t="s">
        <v>2262</v>
      </c>
      <c r="H529" s="673"/>
      <c r="I529" s="673"/>
      <c r="J529" s="673"/>
      <c r="K529" s="673"/>
      <c r="L529" s="149" t="str">
        <f t="shared" si="40"/>
        <v>75E</v>
      </c>
      <c r="M529" s="150" t="str">
        <f t="shared" si="41"/>
        <v>TELEPHONE - SERV. BMW</v>
      </c>
      <c r="N529" s="151">
        <f>+IF(OR($Q529=Parametres!$G$2,$Q529=Parametres!$G$3),I529,C529)</f>
        <v>318.95999999999998</v>
      </c>
      <c r="O529" s="151">
        <f>+IF(OR($Q529=Parametres!$G$2,$Q529=Parametres!$G$3),J529,D529)</f>
        <v>114.27</v>
      </c>
      <c r="P529" s="151">
        <f>+IF(OR($Q529=Parametres!$G$2,$Q529=Parametres!$G$3),K529,E529)</f>
        <v>433.23</v>
      </c>
      <c r="Q529" s="150" t="str">
        <f t="shared" si="42"/>
        <v>7-Dépenses</v>
      </c>
      <c r="R529" s="149" t="str">
        <f t="shared" si="43"/>
        <v>75</v>
      </c>
      <c r="S529" s="150">
        <f t="shared" si="44"/>
        <v>0</v>
      </c>
      <c r="T529" s="152" t="str">
        <f>+VLOOKUP($L529,Data_Validation!$A:$D,1,0)</f>
        <v>75E</v>
      </c>
      <c r="U529" s="152" t="str">
        <f>+VLOOKUP($L529,Data_Validation!$A:$D,3,0)</f>
        <v>Service</v>
      </c>
      <c r="V529" s="152" t="str">
        <f>+VLOOKUP($L529,Data_Validation!$A:$D,4,0)</f>
        <v>Téléphone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1649</v>
      </c>
      <c r="B530" s="718" t="s">
        <v>817</v>
      </c>
      <c r="C530" s="720">
        <v>342.24</v>
      </c>
      <c r="D530" s="720">
        <v>119.64</v>
      </c>
      <c r="E530" s="720">
        <v>461.88</v>
      </c>
      <c r="F530" s="718" t="s">
        <v>2231</v>
      </c>
      <c r="G530" s="718" t="s">
        <v>2262</v>
      </c>
      <c r="H530" s="673"/>
      <c r="I530" s="672"/>
      <c r="J530" s="672"/>
      <c r="K530" s="672"/>
      <c r="L530" s="149" t="str">
        <f t="shared" si="40"/>
        <v>75G</v>
      </c>
      <c r="M530" s="150" t="str">
        <f t="shared" si="41"/>
        <v>TELEPHONE - PIECE BMW</v>
      </c>
      <c r="N530" s="151">
        <f>+IF(OR($Q530=Parametres!$G$2,$Q530=Parametres!$G$3),I530,C530)</f>
        <v>342.24</v>
      </c>
      <c r="O530" s="151">
        <f>+IF(OR($Q530=Parametres!$G$2,$Q530=Parametres!$G$3),J530,D530)</f>
        <v>119.64</v>
      </c>
      <c r="P530" s="151">
        <f>+IF(OR($Q530=Parametres!$G$2,$Q530=Parametres!$G$3),K530,E530)</f>
        <v>461.88</v>
      </c>
      <c r="Q530" s="150" t="str">
        <f t="shared" si="42"/>
        <v>7-Dépenses</v>
      </c>
      <c r="R530" s="149" t="str">
        <f t="shared" si="43"/>
        <v>75</v>
      </c>
      <c r="S530" s="150">
        <f t="shared" si="44"/>
        <v>0</v>
      </c>
      <c r="T530" s="152" t="str">
        <f>+VLOOKUP($L530,Data_Validation!$A:$D,1,0)</f>
        <v>75G</v>
      </c>
      <c r="U530" s="152" t="str">
        <f>+VLOOKUP($L530,Data_Validation!$A:$D,3,0)</f>
        <v>pièces</v>
      </c>
      <c r="V530" s="152" t="str">
        <f>+VLOOKUP($L530,Data_Validation!$A:$D,4,0)</f>
        <v>Téléphone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1614</v>
      </c>
      <c r="B531" s="718" t="s">
        <v>774</v>
      </c>
      <c r="C531" s="720">
        <v>24.77</v>
      </c>
      <c r="D531" s="720">
        <v>9.42</v>
      </c>
      <c r="E531" s="720">
        <v>34.19</v>
      </c>
      <c r="F531" s="718" t="s">
        <v>2231</v>
      </c>
      <c r="G531" s="718" t="s">
        <v>2262</v>
      </c>
      <c r="H531" s="673"/>
      <c r="I531" s="672"/>
      <c r="J531" s="672"/>
      <c r="K531" s="672"/>
      <c r="L531" s="149" t="str">
        <f t="shared" si="40"/>
        <v>75I</v>
      </c>
      <c r="M531" s="150" t="str">
        <f t="shared" si="41"/>
        <v>TELEPHONE - CARROSSERIE BMW</v>
      </c>
      <c r="N531" s="151">
        <f>+IF(OR($Q531=Parametres!$G$2,$Q531=Parametres!$G$3),I531,C531)</f>
        <v>24.77</v>
      </c>
      <c r="O531" s="151">
        <f>+IF(OR($Q531=Parametres!$G$2,$Q531=Parametres!$G$3),J531,D531)</f>
        <v>9.42</v>
      </c>
      <c r="P531" s="151">
        <f>+IF(OR($Q531=Parametres!$G$2,$Q531=Parametres!$G$3),K531,E531)</f>
        <v>34.19</v>
      </c>
      <c r="Q531" s="150" t="str">
        <f t="shared" si="42"/>
        <v>7-Dépenses</v>
      </c>
      <c r="R531" s="149" t="str">
        <f t="shared" si="43"/>
        <v>75</v>
      </c>
      <c r="S531" s="150">
        <f t="shared" si="44"/>
        <v>0</v>
      </c>
      <c r="T531" s="152" t="str">
        <f>+VLOOKUP($L531,Data_Validation!$A:$D,1,0)</f>
        <v>75I</v>
      </c>
      <c r="U531" s="152" t="str">
        <f>+VLOOKUP($L531,Data_Validation!$A:$D,3,0)</f>
        <v>carrosserie</v>
      </c>
      <c r="V531" s="152" t="str">
        <f>+VLOOKUP($L531,Data_Validation!$A:$D,4,0)</f>
        <v>Téléphone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1146</v>
      </c>
      <c r="B532" s="718" t="s">
        <v>890</v>
      </c>
      <c r="C532" s="720">
        <v>49.65</v>
      </c>
      <c r="D532" s="720">
        <v>518.23</v>
      </c>
      <c r="E532" s="720">
        <v>567.88</v>
      </c>
      <c r="F532" s="718" t="s">
        <v>2231</v>
      </c>
      <c r="G532" s="718" t="s">
        <v>2273</v>
      </c>
      <c r="H532" s="673"/>
      <c r="I532" s="672"/>
      <c r="J532" s="672"/>
      <c r="K532" s="672"/>
      <c r="L532" s="149" t="str">
        <f t="shared" si="40"/>
        <v>76A</v>
      </c>
      <c r="M532" s="150" t="str">
        <f t="shared" si="41"/>
        <v>FORMATION - NEUF BMW</v>
      </c>
      <c r="N532" s="151">
        <f>+IF(OR($Q532=Parametres!$G$2,$Q532=Parametres!$G$3),I532,C532)</f>
        <v>49.65</v>
      </c>
      <c r="O532" s="151">
        <f>+IF(OR($Q532=Parametres!$G$2,$Q532=Parametres!$G$3),J532,D532)</f>
        <v>518.23</v>
      </c>
      <c r="P532" s="151">
        <f>+IF(OR($Q532=Parametres!$G$2,$Q532=Parametres!$G$3),K532,E532)</f>
        <v>567.88</v>
      </c>
      <c r="Q532" s="150" t="str">
        <f t="shared" si="42"/>
        <v>7-Dépenses</v>
      </c>
      <c r="R532" s="149" t="str">
        <f t="shared" si="43"/>
        <v>76</v>
      </c>
      <c r="S532" s="150">
        <f t="shared" si="44"/>
        <v>0</v>
      </c>
      <c r="T532" s="152" t="str">
        <f>+VLOOKUP($L532,Data_Validation!$A:$D,1,0)</f>
        <v>76A</v>
      </c>
      <c r="U532" s="152" t="str">
        <f>+VLOOKUP($L532,Data_Validation!$A:$D,3,0)</f>
        <v>Véhicules neufs</v>
      </c>
      <c r="V532" s="152" t="str">
        <f>+VLOOKUP($L532,Data_Validation!$A:$D,4,0)</f>
        <v>Formation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1195</v>
      </c>
      <c r="B533" s="718" t="s">
        <v>834</v>
      </c>
      <c r="C533" s="719">
        <v>11.04</v>
      </c>
      <c r="D533" s="719">
        <v>65.39</v>
      </c>
      <c r="E533" s="719">
        <v>76.430000000000007</v>
      </c>
      <c r="F533" s="718" t="s">
        <v>2231</v>
      </c>
      <c r="G533" s="718" t="s">
        <v>2273</v>
      </c>
      <c r="H533" s="719"/>
      <c r="I533" s="720"/>
      <c r="J533" s="720"/>
      <c r="K533" s="720"/>
      <c r="L533" s="149" t="str">
        <f t="shared" si="40"/>
        <v>76C</v>
      </c>
      <c r="M533" s="150" t="str">
        <f t="shared" si="41"/>
        <v>FORMATION - USAGE BMW</v>
      </c>
      <c r="N533" s="151">
        <f>+IF(OR($Q533=Parametres!$G$2,$Q533=Parametres!$G$3),I533,C533)</f>
        <v>11.04</v>
      </c>
      <c r="O533" s="151">
        <f>+IF(OR($Q533=Parametres!$G$2,$Q533=Parametres!$G$3),J533,D533)</f>
        <v>65.39</v>
      </c>
      <c r="P533" s="151">
        <f>+IF(OR($Q533=Parametres!$G$2,$Q533=Parametres!$G$3),K533,E533)</f>
        <v>76.430000000000007</v>
      </c>
      <c r="Q533" s="150" t="str">
        <f t="shared" si="42"/>
        <v>7-Dépenses</v>
      </c>
      <c r="R533" s="149" t="str">
        <f t="shared" si="43"/>
        <v>76</v>
      </c>
      <c r="S533" s="150">
        <f t="shared" si="44"/>
        <v>0</v>
      </c>
      <c r="T533" s="152" t="str">
        <f>+VLOOKUP($L533,Data_Validation!$A:$D,1,0)</f>
        <v>76C</v>
      </c>
      <c r="U533" s="152" t="str">
        <f>+VLOOKUP($L533,Data_Validation!$A:$D,3,0)</f>
        <v>Véhicules usagés</v>
      </c>
      <c r="V533" s="152" t="str">
        <f>+VLOOKUP($L533,Data_Validation!$A:$D,4,0)</f>
        <v>Formation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1173</v>
      </c>
      <c r="B534" s="718" t="s">
        <v>869</v>
      </c>
      <c r="C534" s="719">
        <v>3009.03</v>
      </c>
      <c r="D534" s="719">
        <v>147.12</v>
      </c>
      <c r="E534" s="719">
        <v>3156.15</v>
      </c>
      <c r="F534" s="718" t="s">
        <v>2231</v>
      </c>
      <c r="G534" s="718" t="s">
        <v>2273</v>
      </c>
      <c r="H534" s="719"/>
      <c r="I534" s="720"/>
      <c r="J534" s="720"/>
      <c r="K534" s="720"/>
      <c r="L534" s="149" t="str">
        <f t="shared" si="40"/>
        <v>76E</v>
      </c>
      <c r="M534" s="150" t="str">
        <f t="shared" si="41"/>
        <v>FORMATION - SERV. BMW</v>
      </c>
      <c r="N534" s="151">
        <f>+IF(OR($Q534=Parametres!$G$2,$Q534=Parametres!$G$3),I534,C534)</f>
        <v>3009.03</v>
      </c>
      <c r="O534" s="505">
        <f>+IF(OR($Q534=Parametres!$G$2,$Q534=Parametres!$G$3),J534,D534)</f>
        <v>147.12</v>
      </c>
      <c r="P534" s="151">
        <f>+IF(OR($Q534=Parametres!$G$2,$Q534=Parametres!$G$3),K534,E534)</f>
        <v>3156.15</v>
      </c>
      <c r="Q534" s="150" t="str">
        <f t="shared" si="42"/>
        <v>7-Dépenses</v>
      </c>
      <c r="R534" s="149" t="str">
        <f t="shared" si="43"/>
        <v>76</v>
      </c>
      <c r="S534" s="150">
        <f t="shared" si="44"/>
        <v>0</v>
      </c>
      <c r="T534" s="152" t="str">
        <f>+VLOOKUP($L534,Data_Validation!$A:$D,1,0)</f>
        <v>76E</v>
      </c>
      <c r="U534" s="152" t="str">
        <f>+VLOOKUP($L534,Data_Validation!$A:$D,3,0)</f>
        <v>Service</v>
      </c>
      <c r="V534" s="152" t="str">
        <f>+VLOOKUP($L534,Data_Validation!$A:$D,4,0)</f>
        <v>Formation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1175</v>
      </c>
      <c r="B535" s="718" t="s">
        <v>857</v>
      </c>
      <c r="C535" s="720">
        <v>22.07</v>
      </c>
      <c r="D535" s="720">
        <v>130.77000000000001</v>
      </c>
      <c r="E535" s="720">
        <v>152.84</v>
      </c>
      <c r="F535" s="718" t="s">
        <v>2231</v>
      </c>
      <c r="G535" s="718" t="s">
        <v>2273</v>
      </c>
      <c r="H535" s="673"/>
      <c r="I535" s="672"/>
      <c r="J535" s="672"/>
      <c r="K535" s="672"/>
      <c r="L535" s="149" t="str">
        <f t="shared" si="40"/>
        <v>76G</v>
      </c>
      <c r="M535" s="150" t="str">
        <f t="shared" si="41"/>
        <v>FORMATION - PIECE BMW</v>
      </c>
      <c r="N535" s="151">
        <f>+IF(OR($Q535=Parametres!$G$2,$Q535=Parametres!$G$3),I535,C535)</f>
        <v>22.07</v>
      </c>
      <c r="O535" s="151">
        <f>+IF(OR($Q535=Parametres!$G$2,$Q535=Parametres!$G$3),J535,D535)</f>
        <v>130.77000000000001</v>
      </c>
      <c r="P535" s="151">
        <f>+IF(OR($Q535=Parametres!$G$2,$Q535=Parametres!$G$3),K535,E535)</f>
        <v>152.84</v>
      </c>
      <c r="Q535" s="150" t="str">
        <f t="shared" si="42"/>
        <v>7-Dépenses</v>
      </c>
      <c r="R535" s="149" t="str">
        <f t="shared" si="43"/>
        <v>76</v>
      </c>
      <c r="S535" s="150">
        <f t="shared" si="44"/>
        <v>0</v>
      </c>
      <c r="T535" s="152" t="str">
        <f>+VLOOKUP($L535,Data_Validation!$A:$D,1,0)</f>
        <v>76G</v>
      </c>
      <c r="U535" s="152" t="str">
        <f>+VLOOKUP($L535,Data_Validation!$A:$D,3,0)</f>
        <v>pièces</v>
      </c>
      <c r="V535" s="152" t="str">
        <f>+VLOOKUP($L535,Data_Validation!$A:$D,4,0)</f>
        <v>Formation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1220</v>
      </c>
      <c r="B536" s="718" t="s">
        <v>804</v>
      </c>
      <c r="C536" s="720">
        <v>2.74</v>
      </c>
      <c r="D536" s="720">
        <v>16.350000000000001</v>
      </c>
      <c r="E536" s="720">
        <v>19.09</v>
      </c>
      <c r="F536" s="718" t="s">
        <v>2231</v>
      </c>
      <c r="G536" s="718" t="s">
        <v>2273</v>
      </c>
      <c r="H536" s="673"/>
      <c r="I536" s="672"/>
      <c r="J536" s="672"/>
      <c r="K536" s="672"/>
      <c r="L536" s="149" t="str">
        <f t="shared" si="40"/>
        <v>76I</v>
      </c>
      <c r="M536" s="150" t="str">
        <f t="shared" si="41"/>
        <v>FORMATION - CARROSSERIE BMW</v>
      </c>
      <c r="N536" s="151">
        <f>+IF(OR($Q536=Parametres!$G$2,$Q536=Parametres!$G$3),I536,C536)</f>
        <v>2.74</v>
      </c>
      <c r="O536" s="504">
        <f>+IF(OR($Q536=Parametres!$G$2,$Q536=Parametres!$G$3),J536,D536)</f>
        <v>16.350000000000001</v>
      </c>
      <c r="P536" s="151">
        <f>+IF(OR($Q536=Parametres!$G$2,$Q536=Parametres!$G$3),K536,E536)</f>
        <v>19.09</v>
      </c>
      <c r="Q536" s="150" t="str">
        <f t="shared" si="42"/>
        <v>7-Dépenses</v>
      </c>
      <c r="R536" s="149" t="str">
        <f t="shared" si="43"/>
        <v>76</v>
      </c>
      <c r="S536" s="150">
        <f t="shared" si="44"/>
        <v>0</v>
      </c>
      <c r="T536" s="152" t="str">
        <f>+VLOOKUP($L536,Data_Validation!$A:$D,1,0)</f>
        <v>76I</v>
      </c>
      <c r="U536" s="152" t="str">
        <f>+VLOOKUP($L536,Data_Validation!$A:$D,3,0)</f>
        <v>carrosserie</v>
      </c>
      <c r="V536" s="152" t="str">
        <f>+VLOOKUP($L536,Data_Validation!$A:$D,4,0)</f>
        <v>Formation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1138</v>
      </c>
      <c r="B537" s="718" t="s">
        <v>870</v>
      </c>
      <c r="C537" s="719">
        <v>1959.22</v>
      </c>
      <c r="D537" s="719">
        <v>523.35</v>
      </c>
      <c r="E537" s="719">
        <v>2482.5700000000002</v>
      </c>
      <c r="F537" s="718" t="s">
        <v>2231</v>
      </c>
      <c r="G537" s="718" t="s">
        <v>2274</v>
      </c>
      <c r="H537" s="719"/>
      <c r="I537" s="720"/>
      <c r="J537" s="720"/>
      <c r="K537" s="720"/>
      <c r="L537" s="149" t="str">
        <f t="shared" si="40"/>
        <v>77A</v>
      </c>
      <c r="M537" s="150" t="str">
        <f t="shared" si="41"/>
        <v>FRAIS DIVERS - NEUF BMW</v>
      </c>
      <c r="N537" s="151">
        <f>+IF(OR($Q537=Parametres!$G$2,$Q537=Parametres!$G$3),I537,C537)</f>
        <v>1959.22</v>
      </c>
      <c r="O537" s="151">
        <f>+IF(OR($Q537=Parametres!$G$2,$Q537=Parametres!$G$3),J537,D537)</f>
        <v>523.35</v>
      </c>
      <c r="P537" s="151">
        <f>+IF(OR($Q537=Parametres!$G$2,$Q537=Parametres!$G$3),K537,E537)</f>
        <v>2482.5700000000002</v>
      </c>
      <c r="Q537" s="150" t="str">
        <f t="shared" si="42"/>
        <v>7-Dépenses</v>
      </c>
      <c r="R537" s="149" t="str">
        <f t="shared" si="43"/>
        <v>77</v>
      </c>
      <c r="S537" s="150">
        <f t="shared" si="44"/>
        <v>0</v>
      </c>
      <c r="T537" s="152" t="str">
        <f>+VLOOKUP($L537,Data_Validation!$A:$D,1,0)</f>
        <v>77A</v>
      </c>
      <c r="U537" s="152" t="str">
        <f>+VLOOKUP($L537,Data_Validation!$A:$D,3,0)</f>
        <v>Véhicules neufs</v>
      </c>
      <c r="V537" s="152" t="str">
        <f>+VLOOKUP($L537,Data_Validation!$A:$D,4,0)</f>
        <v>divers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1178</v>
      </c>
      <c r="B538" s="718" t="s">
        <v>825</v>
      </c>
      <c r="C538" s="719">
        <v>435.38</v>
      </c>
      <c r="D538" s="719">
        <v>116.3</v>
      </c>
      <c r="E538" s="719">
        <v>551.67999999999995</v>
      </c>
      <c r="F538" s="718" t="s">
        <v>2231</v>
      </c>
      <c r="G538" s="718" t="s">
        <v>2274</v>
      </c>
      <c r="H538" s="719"/>
      <c r="I538" s="720"/>
      <c r="J538" s="720"/>
      <c r="K538" s="720"/>
      <c r="L538" s="149" t="str">
        <f t="shared" si="40"/>
        <v>77C</v>
      </c>
      <c r="M538" s="150" t="str">
        <f t="shared" si="41"/>
        <v>FRAIS DIVERS - USAGE BMW</v>
      </c>
      <c r="N538" s="151">
        <f>+IF(OR($Q538=Parametres!$G$2,$Q538=Parametres!$G$3),I538,C538)</f>
        <v>435.38</v>
      </c>
      <c r="O538" s="504">
        <f>+IF(OR($Q538=Parametres!$G$2,$Q538=Parametres!$G$3),J538,D538)</f>
        <v>116.3</v>
      </c>
      <c r="P538" s="151">
        <f>+IF(OR($Q538=Parametres!$G$2,$Q538=Parametres!$G$3),K538,E538)</f>
        <v>551.67999999999995</v>
      </c>
      <c r="Q538" s="150" t="str">
        <f t="shared" si="42"/>
        <v>7-Dépenses</v>
      </c>
      <c r="R538" s="149" t="str">
        <f t="shared" si="43"/>
        <v>77</v>
      </c>
      <c r="S538" s="150">
        <f t="shared" si="44"/>
        <v>0</v>
      </c>
      <c r="T538" s="152" t="str">
        <f>+VLOOKUP($L538,Data_Validation!$A:$D,1,0)</f>
        <v>77C</v>
      </c>
      <c r="U538" s="152" t="str">
        <f>+VLOOKUP($L538,Data_Validation!$A:$D,3,0)</f>
        <v>Véhicules usagés</v>
      </c>
      <c r="V538" s="152" t="str">
        <f>+VLOOKUP($L538,Data_Validation!$A:$D,4,0)</f>
        <v>divers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1153</v>
      </c>
      <c r="B539" s="718" t="s">
        <v>844</v>
      </c>
      <c r="C539" s="719">
        <v>979.62</v>
      </c>
      <c r="D539" s="719">
        <v>261.68</v>
      </c>
      <c r="E539" s="719">
        <v>1241.3</v>
      </c>
      <c r="F539" s="718" t="s">
        <v>2231</v>
      </c>
      <c r="G539" s="718" t="s">
        <v>2274</v>
      </c>
      <c r="H539" s="719"/>
      <c r="I539" s="720"/>
      <c r="J539" s="720"/>
      <c r="K539" s="720"/>
      <c r="L539" s="149" t="str">
        <f t="shared" si="40"/>
        <v>77E</v>
      </c>
      <c r="M539" s="150" t="str">
        <f t="shared" si="41"/>
        <v>FRAIS DIVERS - SERV. BMW</v>
      </c>
      <c r="N539" s="151">
        <f>+IF(OR($Q539=Parametres!$G$2,$Q539=Parametres!$G$3),I539,C539)</f>
        <v>979.62</v>
      </c>
      <c r="O539" s="151">
        <f>+IF(OR($Q539=Parametres!$G$2,$Q539=Parametres!$G$3),J539,D539)</f>
        <v>261.68</v>
      </c>
      <c r="P539" s="151">
        <f>+IF(OR($Q539=Parametres!$G$2,$Q539=Parametres!$G$3),K539,E539)</f>
        <v>1241.3</v>
      </c>
      <c r="Q539" s="150" t="str">
        <f t="shared" si="42"/>
        <v>7-Dépenses</v>
      </c>
      <c r="R539" s="149" t="str">
        <f t="shared" si="43"/>
        <v>77</v>
      </c>
      <c r="S539" s="150">
        <f t="shared" si="44"/>
        <v>0</v>
      </c>
      <c r="T539" s="152" t="str">
        <f>+VLOOKUP($L539,Data_Validation!$A:$D,1,0)</f>
        <v>77E</v>
      </c>
      <c r="U539" s="152" t="str">
        <f>+VLOOKUP($L539,Data_Validation!$A:$D,3,0)</f>
        <v>Service</v>
      </c>
      <c r="V539" s="152" t="str">
        <f>+VLOOKUP($L539,Data_Validation!$A:$D,4,0)</f>
        <v>divers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1156</v>
      </c>
      <c r="B540" s="718" t="s">
        <v>848</v>
      </c>
      <c r="C540" s="720">
        <v>870.76</v>
      </c>
      <c r="D540" s="720">
        <v>232.6</v>
      </c>
      <c r="E540" s="720">
        <v>1103.3599999999999</v>
      </c>
      <c r="F540" s="718" t="s">
        <v>2231</v>
      </c>
      <c r="G540" s="718" t="s">
        <v>2274</v>
      </c>
      <c r="H540" s="673"/>
      <c r="I540" s="672"/>
      <c r="J540" s="672"/>
      <c r="K540" s="672"/>
      <c r="L540" s="149" t="str">
        <f t="shared" si="40"/>
        <v>77G</v>
      </c>
      <c r="M540" s="150" t="str">
        <f t="shared" si="41"/>
        <v>FRAIS DIVERS - PIECE BMW</v>
      </c>
      <c r="N540" s="151">
        <f>+IF(OR($Q540=Parametres!$G$2,$Q540=Parametres!$G$3),I540,C540)</f>
        <v>870.76</v>
      </c>
      <c r="O540" s="151">
        <f>+IF(OR($Q540=Parametres!$G$2,$Q540=Parametres!$G$3),J540,D540)</f>
        <v>232.6</v>
      </c>
      <c r="P540" s="151">
        <f>+IF(OR($Q540=Parametres!$G$2,$Q540=Parametres!$G$3),K540,E540)</f>
        <v>1103.3599999999999</v>
      </c>
      <c r="Q540" s="150" t="str">
        <f t="shared" si="42"/>
        <v>7-Dépenses</v>
      </c>
      <c r="R540" s="149" t="str">
        <f t="shared" si="43"/>
        <v>77</v>
      </c>
      <c r="S540" s="150">
        <f t="shared" si="44"/>
        <v>0</v>
      </c>
      <c r="T540" s="152" t="str">
        <f>+VLOOKUP($L540,Data_Validation!$A:$D,1,0)</f>
        <v>77G</v>
      </c>
      <c r="U540" s="152" t="str">
        <f>+VLOOKUP($L540,Data_Validation!$A:$D,3,0)</f>
        <v>pièces</v>
      </c>
      <c r="V540" s="152" t="str">
        <f>+VLOOKUP($L540,Data_Validation!$A:$D,4,0)</f>
        <v>divers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1214</v>
      </c>
      <c r="B541" s="718" t="s">
        <v>787</v>
      </c>
      <c r="C541" s="720">
        <v>108.83</v>
      </c>
      <c r="D541" s="720">
        <v>29.07</v>
      </c>
      <c r="E541" s="720">
        <v>137.9</v>
      </c>
      <c r="F541" s="718" t="s">
        <v>2231</v>
      </c>
      <c r="G541" s="718" t="s">
        <v>2274</v>
      </c>
      <c r="H541" s="673"/>
      <c r="I541" s="672"/>
      <c r="J541" s="672"/>
      <c r="K541" s="672"/>
      <c r="L541" s="149" t="str">
        <f t="shared" si="40"/>
        <v>77I</v>
      </c>
      <c r="M541" s="150" t="str">
        <f t="shared" si="41"/>
        <v>FRAIS DIVERS - CARROSSERIE BMW</v>
      </c>
      <c r="N541" s="151">
        <f>+IF(OR($Q541=Parametres!$G$2,$Q541=Parametres!$G$3),I541,C541)</f>
        <v>108.83</v>
      </c>
      <c r="O541" s="151">
        <f>+IF(OR($Q541=Parametres!$G$2,$Q541=Parametres!$G$3),J541,D541)</f>
        <v>29.07</v>
      </c>
      <c r="P541" s="151">
        <f>+IF(OR($Q541=Parametres!$G$2,$Q541=Parametres!$G$3),K541,E541)</f>
        <v>137.9</v>
      </c>
      <c r="Q541" s="150" t="str">
        <f t="shared" si="42"/>
        <v>7-Dépenses</v>
      </c>
      <c r="R541" s="149" t="str">
        <f t="shared" si="43"/>
        <v>77</v>
      </c>
      <c r="S541" s="150">
        <f t="shared" si="44"/>
        <v>0</v>
      </c>
      <c r="T541" s="152" t="str">
        <f>+VLOOKUP($L541,Data_Validation!$A:$D,1,0)</f>
        <v>77I</v>
      </c>
      <c r="U541" s="152" t="str">
        <f>+VLOOKUP($L541,Data_Validation!$A:$D,3,0)</f>
        <v>carrosserie</v>
      </c>
      <c r="V541" s="152" t="str">
        <f>+VLOOKUP($L541,Data_Validation!$A:$D,4,0)</f>
        <v>divers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1656</v>
      </c>
      <c r="B542" s="718" t="s">
        <v>819</v>
      </c>
      <c r="C542" s="719">
        <v>546.89</v>
      </c>
      <c r="D542" s="719">
        <v>258.2</v>
      </c>
      <c r="E542" s="719">
        <v>805.09</v>
      </c>
      <c r="F542" s="718" t="s">
        <v>2231</v>
      </c>
      <c r="G542" s="718" t="s">
        <v>2265</v>
      </c>
      <c r="H542" s="719"/>
      <c r="I542" s="720"/>
      <c r="J542" s="720"/>
      <c r="K542" s="720"/>
      <c r="L542" s="149" t="str">
        <f t="shared" si="40"/>
        <v>78A</v>
      </c>
      <c r="M542" s="150" t="str">
        <f t="shared" si="41"/>
        <v>TRANSPORT - NEUF BMW</v>
      </c>
      <c r="N542" s="151">
        <f>+IF(OR($Q542=Parametres!$G$2,$Q542=Parametres!$G$3),I542,C542)</f>
        <v>546.89</v>
      </c>
      <c r="O542" s="504">
        <f>+IF(OR($Q542=Parametres!$G$2,$Q542=Parametres!$G$3),J542,D542)</f>
        <v>258.2</v>
      </c>
      <c r="P542" s="151">
        <f>+IF(OR($Q542=Parametres!$G$2,$Q542=Parametres!$G$3),K542,E542)</f>
        <v>805.09</v>
      </c>
      <c r="Q542" s="150" t="str">
        <f t="shared" si="42"/>
        <v>7-Dépenses</v>
      </c>
      <c r="R542" s="149" t="str">
        <f t="shared" si="43"/>
        <v>78</v>
      </c>
      <c r="S542" s="150">
        <f t="shared" si="44"/>
        <v>0</v>
      </c>
      <c r="T542" s="152" t="str">
        <f>+VLOOKUP($L542,Data_Validation!$A:$D,1,0)</f>
        <v>78A</v>
      </c>
      <c r="U542" s="152" t="str">
        <f>+VLOOKUP($L542,Data_Validation!$A:$D,3,0)</f>
        <v>Véhicules neufs</v>
      </c>
      <c r="V542" s="152" t="str">
        <f>+VLOOKUP($L542,Data_Validation!$A:$D,4,0)</f>
        <v>Frais postaux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1622</v>
      </c>
      <c r="B543" s="718" t="s">
        <v>783</v>
      </c>
      <c r="C543" s="719">
        <v>379.22</v>
      </c>
      <c r="D543" s="719">
        <v>96.34</v>
      </c>
      <c r="E543" s="719">
        <v>475.56</v>
      </c>
      <c r="F543" s="718" t="s">
        <v>2231</v>
      </c>
      <c r="G543" s="718" t="s">
        <v>2265</v>
      </c>
      <c r="H543" s="719"/>
      <c r="I543" s="720"/>
      <c r="J543" s="720"/>
      <c r="K543" s="720"/>
      <c r="L543" s="149" t="str">
        <f t="shared" si="40"/>
        <v>78C</v>
      </c>
      <c r="M543" s="150" t="str">
        <f t="shared" si="41"/>
        <v>TRANSPORT - USAGE BMW</v>
      </c>
      <c r="N543" s="151">
        <f>+IF(OR($Q543=Parametres!$G$2,$Q543=Parametres!$G$3),I543,C543)</f>
        <v>379.22</v>
      </c>
      <c r="O543" s="504">
        <f>+IF(OR($Q543=Parametres!$G$2,$Q543=Parametres!$G$3),J543,D543)</f>
        <v>96.34</v>
      </c>
      <c r="P543" s="151">
        <f>+IF(OR($Q543=Parametres!$G$2,$Q543=Parametres!$G$3),K543,E543)</f>
        <v>475.56</v>
      </c>
      <c r="Q543" s="150" t="str">
        <f t="shared" si="42"/>
        <v>7-Dépenses</v>
      </c>
      <c r="R543" s="149" t="str">
        <f t="shared" si="43"/>
        <v>78</v>
      </c>
      <c r="S543" s="150">
        <f t="shared" si="44"/>
        <v>0</v>
      </c>
      <c r="T543" s="152" t="str">
        <f>+VLOOKUP($L543,Data_Validation!$A:$D,1,0)</f>
        <v>78C</v>
      </c>
      <c r="U543" s="152" t="str">
        <f>+VLOOKUP($L543,Data_Validation!$A:$D,3,0)</f>
        <v>Véhicules usagés</v>
      </c>
      <c r="V543" s="152" t="str">
        <f>+VLOOKUP($L543,Data_Validation!$A:$D,4,0)</f>
        <v>Frais postaux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1629</v>
      </c>
      <c r="B544" s="718" t="s">
        <v>807</v>
      </c>
      <c r="C544" s="719">
        <v>151.58000000000001</v>
      </c>
      <c r="D544" s="719">
        <v>158.36000000000001</v>
      </c>
      <c r="E544" s="719">
        <v>309.94</v>
      </c>
      <c r="F544" s="718" t="s">
        <v>2231</v>
      </c>
      <c r="G544" s="718" t="s">
        <v>2265</v>
      </c>
      <c r="H544" s="719"/>
      <c r="I544" s="720"/>
      <c r="J544" s="720"/>
      <c r="K544" s="720"/>
      <c r="L544" s="149" t="str">
        <f t="shared" si="40"/>
        <v>78E</v>
      </c>
      <c r="M544" s="150" t="str">
        <f t="shared" si="41"/>
        <v>TRANSPORT - SERV. BMW</v>
      </c>
      <c r="N544" s="151">
        <f>+IF(OR($Q544=Parametres!$G$2,$Q544=Parametres!$G$3),I544,C544)</f>
        <v>151.58000000000001</v>
      </c>
      <c r="O544" s="151">
        <f>+IF(OR($Q544=Parametres!$G$2,$Q544=Parametres!$G$3),J544,D544)</f>
        <v>158.36000000000001</v>
      </c>
      <c r="P544" s="151">
        <f>+IF(OR($Q544=Parametres!$G$2,$Q544=Parametres!$G$3),K544,E544)</f>
        <v>309.94</v>
      </c>
      <c r="Q544" s="150" t="str">
        <f t="shared" si="42"/>
        <v>7-Dépenses</v>
      </c>
      <c r="R544" s="149" t="str">
        <f t="shared" si="43"/>
        <v>78</v>
      </c>
      <c r="S544" s="150">
        <f t="shared" si="44"/>
        <v>0</v>
      </c>
      <c r="T544" s="152" t="str">
        <f>+VLOOKUP($L544,Data_Validation!$A:$D,1,0)</f>
        <v>78E</v>
      </c>
      <c r="U544" s="152" t="str">
        <f>+VLOOKUP($L544,Data_Validation!$A:$D,3,0)</f>
        <v>Service</v>
      </c>
      <c r="V544" s="152" t="str">
        <f>+VLOOKUP($L544,Data_Validation!$A:$D,4,0)</f>
        <v>Frais postaux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1620</v>
      </c>
      <c r="B545" s="718" t="s">
        <v>789</v>
      </c>
      <c r="C545" s="719">
        <v>3123.14</v>
      </c>
      <c r="D545" s="719">
        <v>910.18</v>
      </c>
      <c r="E545" s="719">
        <v>4033.32</v>
      </c>
      <c r="F545" s="718" t="s">
        <v>2231</v>
      </c>
      <c r="G545" s="718" t="s">
        <v>2265</v>
      </c>
      <c r="H545" s="719"/>
      <c r="I545" s="720"/>
      <c r="J545" s="720"/>
      <c r="K545" s="720"/>
      <c r="L545" s="149" t="str">
        <f t="shared" si="40"/>
        <v>78G</v>
      </c>
      <c r="M545" s="150" t="str">
        <f t="shared" si="41"/>
        <v>TRANSPORT - PIECE BMW</v>
      </c>
      <c r="N545" s="151">
        <f>+IF(OR($Q545=Parametres!$G$2,$Q545=Parametres!$G$3),I545,C545)</f>
        <v>3123.14</v>
      </c>
      <c r="O545" s="504">
        <f>+IF(OR($Q545=Parametres!$G$2,$Q545=Parametres!$G$3),J545,D545)</f>
        <v>910.18</v>
      </c>
      <c r="P545" s="151">
        <f>+IF(OR($Q545=Parametres!$G$2,$Q545=Parametres!$G$3),K545,E545)</f>
        <v>4033.32</v>
      </c>
      <c r="Q545" s="150" t="str">
        <f t="shared" si="42"/>
        <v>7-Dépenses</v>
      </c>
      <c r="R545" s="149" t="str">
        <f t="shared" si="43"/>
        <v>78</v>
      </c>
      <c r="S545" s="150">
        <f t="shared" si="44"/>
        <v>0</v>
      </c>
      <c r="T545" s="152" t="str">
        <f>+VLOOKUP($L545,Data_Validation!$A:$D,1,0)</f>
        <v>78G</v>
      </c>
      <c r="U545" s="152" t="str">
        <f>+VLOOKUP($L545,Data_Validation!$A:$D,3,0)</f>
        <v>pièces</v>
      </c>
      <c r="V545" s="152" t="str">
        <f>+VLOOKUP($L545,Data_Validation!$A:$D,4,0)</f>
        <v>Frais postaux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1610</v>
      </c>
      <c r="B546" s="718" t="s">
        <v>771</v>
      </c>
      <c r="C546" s="719">
        <v>9.93</v>
      </c>
      <c r="D546" s="719">
        <v>8.26</v>
      </c>
      <c r="E546" s="719">
        <v>18.190000000000001</v>
      </c>
      <c r="F546" s="718" t="s">
        <v>2231</v>
      </c>
      <c r="G546" s="718" t="s">
        <v>2265</v>
      </c>
      <c r="H546" s="719"/>
      <c r="I546" s="720"/>
      <c r="J546" s="720"/>
      <c r="K546" s="720"/>
      <c r="L546" s="149" t="str">
        <f t="shared" si="40"/>
        <v>78I</v>
      </c>
      <c r="M546" s="150" t="str">
        <f t="shared" si="41"/>
        <v>TRANSPORT - CARROSSERIE BMW</v>
      </c>
      <c r="N546" s="151">
        <f>+IF(OR($Q546=Parametres!$G$2,$Q546=Parametres!$G$3),I546,C546)</f>
        <v>9.93</v>
      </c>
      <c r="O546" s="504">
        <f>+IF(OR($Q546=Parametres!$G$2,$Q546=Parametres!$G$3),J546,D546)</f>
        <v>8.26</v>
      </c>
      <c r="P546" s="151">
        <f>+IF(OR($Q546=Parametres!$G$2,$Q546=Parametres!$G$3),K546,E546)</f>
        <v>18.190000000000001</v>
      </c>
      <c r="Q546" s="150" t="str">
        <f t="shared" si="42"/>
        <v>7-Dépenses</v>
      </c>
      <c r="R546" s="149" t="str">
        <f t="shared" si="43"/>
        <v>78</v>
      </c>
      <c r="S546" s="150">
        <f t="shared" si="44"/>
        <v>0</v>
      </c>
      <c r="T546" s="152" t="str">
        <f>+VLOOKUP($L546,Data_Validation!$A:$D,1,0)</f>
        <v>78I</v>
      </c>
      <c r="U546" s="152" t="str">
        <f>+VLOOKUP($L546,Data_Validation!$A:$D,3,0)</f>
        <v>carrosserie</v>
      </c>
      <c r="V546" s="152" t="str">
        <f>+VLOOKUP($L546,Data_Validation!$A:$D,4,0)</f>
        <v>Frais postaux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1831</v>
      </c>
      <c r="B547" s="718" t="s">
        <v>969</v>
      </c>
      <c r="C547" s="719">
        <v>67500</v>
      </c>
      <c r="D547" s="719">
        <v>22500</v>
      </c>
      <c r="E547" s="719">
        <v>90000</v>
      </c>
      <c r="F547" s="718" t="s">
        <v>2231</v>
      </c>
      <c r="G547" s="718" t="s">
        <v>2295</v>
      </c>
      <c r="H547" s="719"/>
      <c r="I547" s="720"/>
      <c r="J547" s="720"/>
      <c r="K547" s="720"/>
      <c r="L547" s="149" t="str">
        <f t="shared" si="40"/>
        <v>80A</v>
      </c>
      <c r="M547" s="150" t="str">
        <f t="shared" si="41"/>
        <v>LOYER OU EQUIV. - NEUF BMW</v>
      </c>
      <c r="N547" s="151">
        <f>+IF(OR($Q547=Parametres!$G$2,$Q547=Parametres!$G$3),I547,C547)</f>
        <v>67500</v>
      </c>
      <c r="O547" s="504">
        <f>+IF(OR($Q547=Parametres!$G$2,$Q547=Parametres!$G$3),J547,D547)</f>
        <v>22500</v>
      </c>
      <c r="P547" s="151">
        <f>+IF(OR($Q547=Parametres!$G$2,$Q547=Parametres!$G$3),K547,E547)</f>
        <v>90000</v>
      </c>
      <c r="Q547" s="150" t="str">
        <f t="shared" si="42"/>
        <v>7-Dépenses</v>
      </c>
      <c r="R547" s="149" t="str">
        <f t="shared" si="43"/>
        <v>80</v>
      </c>
      <c r="S547" s="150">
        <f t="shared" si="44"/>
        <v>0</v>
      </c>
      <c r="T547" s="152" t="str">
        <f>+VLOOKUP($L547,Data_Validation!$A:$D,1,0)</f>
        <v>80A</v>
      </c>
      <c r="U547" s="152" t="str">
        <f>+VLOOKUP($L547,Data_Validation!$A:$D,3,0)</f>
        <v>Véhicules neufs</v>
      </c>
      <c r="V547" s="152" t="str">
        <f>+VLOOKUP($L547,Data_Validation!$A:$D,4,0)</f>
        <v>loyer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1795</v>
      </c>
      <c r="B548" s="718" t="s">
        <v>929</v>
      </c>
      <c r="C548" s="719">
        <v>15000</v>
      </c>
      <c r="D548" s="719">
        <v>5000</v>
      </c>
      <c r="E548" s="719">
        <v>20000</v>
      </c>
      <c r="F548" s="718" t="s">
        <v>2231</v>
      </c>
      <c r="G548" s="718" t="s">
        <v>2295</v>
      </c>
      <c r="H548" s="719"/>
      <c r="I548" s="720"/>
      <c r="J548" s="720"/>
      <c r="K548" s="720"/>
      <c r="L548" s="149" t="str">
        <f t="shared" si="40"/>
        <v>80C</v>
      </c>
      <c r="M548" s="150" t="str">
        <f t="shared" si="41"/>
        <v>LOYER OU EQUIV. - USAGE BMW</v>
      </c>
      <c r="N548" s="151">
        <f>+IF(OR($Q548=Parametres!$G$2,$Q548=Parametres!$G$3),I548,C548)</f>
        <v>15000</v>
      </c>
      <c r="O548" s="151">
        <f>+IF(OR($Q548=Parametres!$G$2,$Q548=Parametres!$G$3),J548,D548)</f>
        <v>5000</v>
      </c>
      <c r="P548" s="151">
        <f>+IF(OR($Q548=Parametres!$G$2,$Q548=Parametres!$G$3),K548,E548)</f>
        <v>20000</v>
      </c>
      <c r="Q548" s="150" t="str">
        <f t="shared" si="42"/>
        <v>7-Dépenses</v>
      </c>
      <c r="R548" s="149" t="str">
        <f t="shared" si="43"/>
        <v>80</v>
      </c>
      <c r="S548" s="150">
        <f t="shared" si="44"/>
        <v>0</v>
      </c>
      <c r="T548" s="152" t="str">
        <f>+VLOOKUP($L548,Data_Validation!$A:$D,1,0)</f>
        <v>80C</v>
      </c>
      <c r="U548" s="152" t="str">
        <f>+VLOOKUP($L548,Data_Validation!$A:$D,3,0)</f>
        <v>Véhicules usagés</v>
      </c>
      <c r="V548" s="152" t="str">
        <f>+VLOOKUP($L548,Data_Validation!$A:$D,4,0)</f>
        <v>loyer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1819</v>
      </c>
      <c r="B549" s="718" t="s">
        <v>959</v>
      </c>
      <c r="C549" s="719">
        <v>33750</v>
      </c>
      <c r="D549" s="719">
        <v>11250</v>
      </c>
      <c r="E549" s="719">
        <v>45000</v>
      </c>
      <c r="F549" s="718" t="s">
        <v>2231</v>
      </c>
      <c r="G549" s="718" t="s">
        <v>2295</v>
      </c>
      <c r="H549" s="719"/>
      <c r="I549" s="720"/>
      <c r="J549" s="720"/>
      <c r="K549" s="720"/>
      <c r="L549" s="149" t="str">
        <f t="shared" si="40"/>
        <v>80E</v>
      </c>
      <c r="M549" s="150" t="str">
        <f t="shared" si="41"/>
        <v>LOYER OU EQUIV. - SERV. BMW</v>
      </c>
      <c r="N549" s="151">
        <f>+IF(OR($Q549=Parametres!$G$2,$Q549=Parametres!$G$3),I549,C549)</f>
        <v>33750</v>
      </c>
      <c r="O549" s="504">
        <f>+IF(OR($Q549=Parametres!$G$2,$Q549=Parametres!$G$3),J549,D549)</f>
        <v>11250</v>
      </c>
      <c r="P549" s="151">
        <f>+IF(OR($Q549=Parametres!$G$2,$Q549=Parametres!$G$3),K549,E549)</f>
        <v>45000</v>
      </c>
      <c r="Q549" s="150" t="str">
        <f t="shared" si="42"/>
        <v>7-Dépenses</v>
      </c>
      <c r="R549" s="149" t="str">
        <f t="shared" si="43"/>
        <v>80</v>
      </c>
      <c r="S549" s="150">
        <f t="shared" si="44"/>
        <v>0</v>
      </c>
      <c r="T549" s="152" t="str">
        <f>+VLOOKUP($L549,Data_Validation!$A:$D,1,0)</f>
        <v>80E</v>
      </c>
      <c r="U549" s="152" t="str">
        <f>+VLOOKUP($L549,Data_Validation!$A:$D,3,0)</f>
        <v>Service</v>
      </c>
      <c r="V549" s="152" t="str">
        <f>+VLOOKUP($L549,Data_Validation!$A:$D,4,0)</f>
        <v>loyer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1817</v>
      </c>
      <c r="B550" s="718" t="s">
        <v>954</v>
      </c>
      <c r="C550" s="719">
        <v>30000</v>
      </c>
      <c r="D550" s="719">
        <v>10000</v>
      </c>
      <c r="E550" s="719">
        <v>40000</v>
      </c>
      <c r="F550" s="718" t="s">
        <v>2231</v>
      </c>
      <c r="G550" s="718" t="s">
        <v>2295</v>
      </c>
      <c r="H550" s="719"/>
      <c r="I550" s="720"/>
      <c r="J550" s="720"/>
      <c r="K550" s="720"/>
      <c r="L550" s="149" t="str">
        <f t="shared" si="40"/>
        <v>80G</v>
      </c>
      <c r="M550" s="150" t="str">
        <f t="shared" si="41"/>
        <v>LOYER OU EQUIV. - PIECES BMW</v>
      </c>
      <c r="N550" s="151">
        <f>+IF(OR($Q550=Parametres!$G$2,$Q550=Parametres!$G$3),I550,C550)</f>
        <v>30000</v>
      </c>
      <c r="O550" s="504">
        <f>+IF(OR($Q550=Parametres!$G$2,$Q550=Parametres!$G$3),J550,D550)</f>
        <v>10000</v>
      </c>
      <c r="P550" s="151">
        <f>+IF(OR($Q550=Parametres!$G$2,$Q550=Parametres!$G$3),K550,E550)</f>
        <v>40000</v>
      </c>
      <c r="Q550" s="150" t="str">
        <f t="shared" si="42"/>
        <v>7-Dépenses</v>
      </c>
      <c r="R550" s="149" t="str">
        <f t="shared" si="43"/>
        <v>80</v>
      </c>
      <c r="S550" s="150">
        <f t="shared" si="44"/>
        <v>0</v>
      </c>
      <c r="T550" s="152" t="str">
        <f>+VLOOKUP($L550,Data_Validation!$A:$D,1,0)</f>
        <v>80G</v>
      </c>
      <c r="U550" s="152" t="str">
        <f>+VLOOKUP($L550,Data_Validation!$A:$D,3,0)</f>
        <v>pièces</v>
      </c>
      <c r="V550" s="152" t="str">
        <f>+VLOOKUP($L550,Data_Validation!$A:$D,4,0)</f>
        <v>loyer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1717</v>
      </c>
      <c r="B551" s="718" t="s">
        <v>872</v>
      </c>
      <c r="C551" s="719">
        <v>3750</v>
      </c>
      <c r="D551" s="719">
        <v>1250</v>
      </c>
      <c r="E551" s="719">
        <v>5000</v>
      </c>
      <c r="F551" s="718" t="s">
        <v>2231</v>
      </c>
      <c r="G551" s="718" t="s">
        <v>2295</v>
      </c>
      <c r="H551" s="719"/>
      <c r="I551" s="720"/>
      <c r="J551" s="720"/>
      <c r="K551" s="720"/>
      <c r="L551" s="149" t="str">
        <f t="shared" si="40"/>
        <v>80I</v>
      </c>
      <c r="M551" s="150" t="str">
        <f t="shared" si="41"/>
        <v>LOYER OU EQUEV. - CARROSSERIE BMW</v>
      </c>
      <c r="N551" s="151">
        <f>+IF(OR($Q551=Parametres!$G$2,$Q551=Parametres!$G$3),I551,C551)</f>
        <v>3750</v>
      </c>
      <c r="O551" s="151">
        <f>+IF(OR($Q551=Parametres!$G$2,$Q551=Parametres!$G$3),J551,D551)</f>
        <v>1250</v>
      </c>
      <c r="P551" s="151">
        <f>+IF(OR($Q551=Parametres!$G$2,$Q551=Parametres!$G$3),K551,E551)</f>
        <v>5000</v>
      </c>
      <c r="Q551" s="150" t="str">
        <f t="shared" si="42"/>
        <v>7-Dépenses</v>
      </c>
      <c r="R551" s="149" t="str">
        <f t="shared" si="43"/>
        <v>80</v>
      </c>
      <c r="S551" s="150">
        <f t="shared" si="44"/>
        <v>0</v>
      </c>
      <c r="T551" s="152" t="str">
        <f>+VLOOKUP($L551,Data_Validation!$A:$D,1,0)</f>
        <v>80I</v>
      </c>
      <c r="U551" s="152" t="str">
        <f>+VLOOKUP($L551,Data_Validation!$A:$D,3,0)</f>
        <v>carrosserie</v>
      </c>
      <c r="V551" s="152" t="str">
        <f>+VLOOKUP($L551,Data_Validation!$A:$D,4,0)</f>
        <v>loyer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1777</v>
      </c>
      <c r="B552" s="718" t="s">
        <v>1778</v>
      </c>
      <c r="C552" s="719">
        <v>14458.5</v>
      </c>
      <c r="D552" s="719">
        <v>4819.5</v>
      </c>
      <c r="E552" s="719">
        <v>19278</v>
      </c>
      <c r="F552" s="718" t="s">
        <v>2231</v>
      </c>
      <c r="G552" s="718" t="s">
        <v>2288</v>
      </c>
      <c r="H552" s="719"/>
      <c r="I552" s="720"/>
      <c r="J552" s="720"/>
      <c r="K552" s="720"/>
      <c r="L552" s="149" t="str">
        <f t="shared" si="40"/>
        <v>81A</v>
      </c>
      <c r="M552" s="150" t="str">
        <f t="shared" si="41"/>
        <v>AMORT. AMEL. LOC. - NEUF BMW</v>
      </c>
      <c r="N552" s="151">
        <f>+IF(OR($Q552=Parametres!$G$2,$Q552=Parametres!$G$3),I552,C552)</f>
        <v>14458.5</v>
      </c>
      <c r="O552" s="504">
        <f>+IF(OR($Q552=Parametres!$G$2,$Q552=Parametres!$G$3),J552,D552)</f>
        <v>4819.5</v>
      </c>
      <c r="P552" s="151">
        <f>+IF(OR($Q552=Parametres!$G$2,$Q552=Parametres!$G$3),K552,E552)</f>
        <v>19278</v>
      </c>
      <c r="Q552" s="150" t="str">
        <f t="shared" si="42"/>
        <v>7-Dépenses</v>
      </c>
      <c r="R552" s="149" t="str">
        <f t="shared" si="43"/>
        <v>81</v>
      </c>
      <c r="S552" s="150">
        <f t="shared" si="44"/>
        <v>0</v>
      </c>
      <c r="T552" s="152" t="str">
        <f>+VLOOKUP($L552,Data_Validation!$A:$D,1,0)</f>
        <v>81A</v>
      </c>
      <c r="U552" s="152" t="str">
        <f>+VLOOKUP($L552,Data_Validation!$A:$D,3,0)</f>
        <v>Véhicules neufs</v>
      </c>
      <c r="V552" s="152" t="str">
        <f>+VLOOKUP($L552,Data_Validation!$A:$D,4,0)</f>
        <v>Amortissement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1695</v>
      </c>
      <c r="B553" s="718" t="s">
        <v>1696</v>
      </c>
      <c r="C553" s="719">
        <v>3213</v>
      </c>
      <c r="D553" s="719">
        <v>1071</v>
      </c>
      <c r="E553" s="719">
        <v>4284</v>
      </c>
      <c r="F553" s="718" t="s">
        <v>2231</v>
      </c>
      <c r="G553" s="718" t="s">
        <v>2288</v>
      </c>
      <c r="H553" s="719"/>
      <c r="I553" s="720"/>
      <c r="J553" s="720"/>
      <c r="K553" s="720"/>
      <c r="L553" s="149" t="str">
        <f t="shared" si="40"/>
        <v>81C</v>
      </c>
      <c r="M553" s="150" t="str">
        <f t="shared" si="41"/>
        <v>AMORT. AMEL. LOC. - USAGE BMW</v>
      </c>
      <c r="N553" s="151">
        <f>+IF(OR($Q553=Parametres!$G$2,$Q553=Parametres!$G$3),I553,C553)</f>
        <v>3213</v>
      </c>
      <c r="O553" s="504">
        <f>+IF(OR($Q553=Parametres!$G$2,$Q553=Parametres!$G$3),J553,D553)</f>
        <v>1071</v>
      </c>
      <c r="P553" s="151">
        <f>+IF(OR($Q553=Parametres!$G$2,$Q553=Parametres!$G$3),K553,E553)</f>
        <v>4284</v>
      </c>
      <c r="Q553" s="150" t="str">
        <f t="shared" si="42"/>
        <v>7-Dépenses</v>
      </c>
      <c r="R553" s="149" t="str">
        <f t="shared" si="43"/>
        <v>81</v>
      </c>
      <c r="S553" s="150">
        <f t="shared" si="44"/>
        <v>0</v>
      </c>
      <c r="T553" s="152" t="str">
        <f>+VLOOKUP($L553,Data_Validation!$A:$D,1,0)</f>
        <v>81C</v>
      </c>
      <c r="U553" s="152" t="str">
        <f>+VLOOKUP($L553,Data_Validation!$A:$D,3,0)</f>
        <v>Véhicules usagés</v>
      </c>
      <c r="V553" s="152" t="str">
        <f>+VLOOKUP($L553,Data_Validation!$A:$D,4,0)</f>
        <v>Amortissement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1737</v>
      </c>
      <c r="B554" s="718" t="s">
        <v>1738</v>
      </c>
      <c r="C554" s="719">
        <v>7229.25</v>
      </c>
      <c r="D554" s="719">
        <v>2409.75</v>
      </c>
      <c r="E554" s="719">
        <v>9639</v>
      </c>
      <c r="F554" s="718" t="s">
        <v>2231</v>
      </c>
      <c r="G554" s="718" t="s">
        <v>2288</v>
      </c>
      <c r="H554" s="719"/>
      <c r="I554" s="720"/>
      <c r="J554" s="720"/>
      <c r="K554" s="720"/>
      <c r="L554" s="149" t="str">
        <f t="shared" si="40"/>
        <v>81E</v>
      </c>
      <c r="M554" s="150" t="str">
        <f t="shared" si="41"/>
        <v>AMORT. AMEL. LOC. - SERV. BMW</v>
      </c>
      <c r="N554" s="151">
        <f>+IF(OR($Q554=Parametres!$G$2,$Q554=Parametres!$G$3),I554,C554)</f>
        <v>7229.25</v>
      </c>
      <c r="O554" s="504">
        <f>+IF(OR($Q554=Parametres!$G$2,$Q554=Parametres!$G$3),J554,D554)</f>
        <v>2409.75</v>
      </c>
      <c r="P554" s="151">
        <f>+IF(OR($Q554=Parametres!$G$2,$Q554=Parametres!$G$3),K554,E554)</f>
        <v>9639</v>
      </c>
      <c r="Q554" s="150" t="str">
        <f t="shared" si="42"/>
        <v>7-Dépenses</v>
      </c>
      <c r="R554" s="149" t="str">
        <f t="shared" si="43"/>
        <v>81</v>
      </c>
      <c r="S554" s="150">
        <f t="shared" si="44"/>
        <v>0</v>
      </c>
      <c r="T554" s="152" t="str">
        <f>+VLOOKUP($L554,Data_Validation!$A:$D,1,0)</f>
        <v>81E</v>
      </c>
      <c r="U554" s="152" t="str">
        <f>+VLOOKUP($L554,Data_Validation!$A:$D,3,0)</f>
        <v>Service</v>
      </c>
      <c r="V554" s="152" t="str">
        <f>+VLOOKUP($L554,Data_Validation!$A:$D,4,0)</f>
        <v>Amortissement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1732</v>
      </c>
      <c r="B555" s="718" t="s">
        <v>1733</v>
      </c>
      <c r="C555" s="719">
        <v>6426</v>
      </c>
      <c r="D555" s="719">
        <v>2142</v>
      </c>
      <c r="E555" s="719">
        <v>8568</v>
      </c>
      <c r="F555" s="718" t="s">
        <v>2231</v>
      </c>
      <c r="G555" s="718" t="s">
        <v>2288</v>
      </c>
      <c r="H555" s="719"/>
      <c r="I555" s="720"/>
      <c r="J555" s="720"/>
      <c r="K555" s="720"/>
      <c r="L555" s="149" t="str">
        <f t="shared" si="40"/>
        <v>81G</v>
      </c>
      <c r="M555" s="150" t="str">
        <f t="shared" si="41"/>
        <v>AMORT. AMEL. LOC. - PIECE BMW</v>
      </c>
      <c r="N555" s="151">
        <f>+IF(OR($Q555=Parametres!$G$2,$Q555=Parametres!$G$3),I555,C555)</f>
        <v>6426</v>
      </c>
      <c r="O555" s="505">
        <f>+IF(OR($Q555=Parametres!$G$2,$Q555=Parametres!$G$3),J555,D555)</f>
        <v>2142</v>
      </c>
      <c r="P555" s="151">
        <f>+IF(OR($Q555=Parametres!$G$2,$Q555=Parametres!$G$3),K555,E555)</f>
        <v>8568</v>
      </c>
      <c r="Q555" s="150" t="str">
        <f t="shared" si="42"/>
        <v>7-Dépenses</v>
      </c>
      <c r="R555" s="149" t="str">
        <f t="shared" si="43"/>
        <v>81</v>
      </c>
      <c r="S555" s="150">
        <f t="shared" si="44"/>
        <v>0</v>
      </c>
      <c r="T555" s="152" t="str">
        <f>+VLOOKUP($L555,Data_Validation!$A:$D,1,0)</f>
        <v>81G</v>
      </c>
      <c r="U555" s="152" t="str">
        <f>+VLOOKUP($L555,Data_Validation!$A:$D,3,0)</f>
        <v>pièces</v>
      </c>
      <c r="V555" s="152" t="str">
        <f>+VLOOKUP($L555,Data_Validation!$A:$D,4,0)</f>
        <v>Amortissement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1645</v>
      </c>
      <c r="B556" s="718" t="s">
        <v>1646</v>
      </c>
      <c r="C556" s="720">
        <v>803.25</v>
      </c>
      <c r="D556" s="720">
        <v>267.75</v>
      </c>
      <c r="E556" s="720">
        <v>1071</v>
      </c>
      <c r="F556" s="718" t="s">
        <v>2231</v>
      </c>
      <c r="G556" s="718" t="s">
        <v>2288</v>
      </c>
      <c r="H556" s="673"/>
      <c r="I556" s="672"/>
      <c r="J556" s="672"/>
      <c r="K556" s="672"/>
      <c r="L556" s="149" t="str">
        <f t="shared" si="40"/>
        <v>81I</v>
      </c>
      <c r="M556" s="150" t="str">
        <f t="shared" si="41"/>
        <v>AMORT. LOC. - CARROSSERIE BMW</v>
      </c>
      <c r="N556" s="151">
        <f>+IF(OR($Q556=Parametres!$G$2,$Q556=Parametres!$G$3),I556,C556)</f>
        <v>803.25</v>
      </c>
      <c r="O556" s="151">
        <f>+IF(OR($Q556=Parametres!$G$2,$Q556=Parametres!$G$3),J556,D556)</f>
        <v>267.75</v>
      </c>
      <c r="P556" s="151">
        <f>+IF(OR($Q556=Parametres!$G$2,$Q556=Parametres!$G$3),K556,E556)</f>
        <v>1071</v>
      </c>
      <c r="Q556" s="150" t="str">
        <f t="shared" si="42"/>
        <v>7-Dépenses</v>
      </c>
      <c r="R556" s="149" t="str">
        <f t="shared" si="43"/>
        <v>81</v>
      </c>
      <c r="S556" s="150">
        <f t="shared" si="44"/>
        <v>0</v>
      </c>
      <c r="T556" s="152" t="str">
        <f>+VLOOKUP($L556,Data_Validation!$A:$D,1,0)</f>
        <v>81I</v>
      </c>
      <c r="U556" s="152" t="str">
        <f>+VLOOKUP($L556,Data_Validation!$A:$D,3,0)</f>
        <v>carrosserie</v>
      </c>
      <c r="V556" s="152" t="str">
        <f>+VLOOKUP($L556,Data_Validation!$A:$D,4,0)</f>
        <v>Amortissement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1774</v>
      </c>
      <c r="B557" s="718" t="s">
        <v>902</v>
      </c>
      <c r="C557" s="719">
        <v>7927.38</v>
      </c>
      <c r="D557" s="719">
        <v>2642.46</v>
      </c>
      <c r="E557" s="719">
        <v>10569.84</v>
      </c>
      <c r="F557" s="718" t="s">
        <v>2231</v>
      </c>
      <c r="G557" s="718" t="s">
        <v>2283</v>
      </c>
      <c r="H557" s="719"/>
      <c r="I557" s="720"/>
      <c r="J557" s="720"/>
      <c r="K557" s="720"/>
      <c r="L557" s="149" t="str">
        <f t="shared" si="40"/>
        <v>84A</v>
      </c>
      <c r="M557" s="150" t="str">
        <f t="shared" si="41"/>
        <v>TAXES BATISSE - NEUF BMW</v>
      </c>
      <c r="N557" s="151">
        <f>+IF(OR($Q557=Parametres!$G$2,$Q557=Parametres!$G$3),I557,C557)</f>
        <v>7927.38</v>
      </c>
      <c r="O557" s="151">
        <f>+IF(OR($Q557=Parametres!$G$2,$Q557=Parametres!$G$3),J557,D557)</f>
        <v>2642.46</v>
      </c>
      <c r="P557" s="151">
        <f>+IF(OR($Q557=Parametres!$G$2,$Q557=Parametres!$G$3),K557,E557)</f>
        <v>10569.84</v>
      </c>
      <c r="Q557" s="150" t="str">
        <f t="shared" si="42"/>
        <v>7-Dépenses</v>
      </c>
      <c r="R557" s="149" t="str">
        <f t="shared" si="43"/>
        <v>84</v>
      </c>
      <c r="S557" s="150">
        <f t="shared" si="44"/>
        <v>0</v>
      </c>
      <c r="T557" s="152" t="str">
        <f>+VLOOKUP($L557,Data_Validation!$A:$D,1,0)</f>
        <v>84A</v>
      </c>
      <c r="U557" s="152" t="str">
        <f>+VLOOKUP($L557,Data_Validation!$A:$D,3,0)</f>
        <v>Véhicules neufs</v>
      </c>
      <c r="V557" s="152" t="str">
        <f>+VLOOKUP($L557,Data_Validation!$A:$D,4,0)</f>
        <v>Taxes foncières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1687</v>
      </c>
      <c r="B558" s="718" t="s">
        <v>841</v>
      </c>
      <c r="C558" s="720">
        <v>1761.63</v>
      </c>
      <c r="D558" s="720">
        <v>587.21</v>
      </c>
      <c r="E558" s="720">
        <v>2348.84</v>
      </c>
      <c r="F558" s="718" t="s">
        <v>2231</v>
      </c>
      <c r="G558" s="718" t="s">
        <v>2283</v>
      </c>
      <c r="H558" s="673"/>
      <c r="I558" s="672"/>
      <c r="J558" s="672"/>
      <c r="K558" s="672"/>
      <c r="L558" s="149" t="str">
        <f t="shared" si="40"/>
        <v>84C</v>
      </c>
      <c r="M558" s="150" t="str">
        <f t="shared" si="41"/>
        <v>TAXES BATISSE - USAGE BMW</v>
      </c>
      <c r="N558" s="151">
        <f>+IF(OR($Q558=Parametres!$G$2,$Q558=Parametres!$G$3),I558,C558)</f>
        <v>1761.63</v>
      </c>
      <c r="O558" s="151">
        <f>+IF(OR($Q558=Parametres!$G$2,$Q558=Parametres!$G$3),J558,D558)</f>
        <v>587.21</v>
      </c>
      <c r="P558" s="151">
        <f>+IF(OR($Q558=Parametres!$G$2,$Q558=Parametres!$G$3),K558,E558)</f>
        <v>2348.84</v>
      </c>
      <c r="Q558" s="150" t="str">
        <f t="shared" si="42"/>
        <v>7-Dépenses</v>
      </c>
      <c r="R558" s="149" t="str">
        <f t="shared" si="43"/>
        <v>84</v>
      </c>
      <c r="S558" s="150">
        <f t="shared" si="44"/>
        <v>0</v>
      </c>
      <c r="T558" s="152" t="str">
        <f>+VLOOKUP($L558,Data_Validation!$A:$D,1,0)</f>
        <v>84C</v>
      </c>
      <c r="U558" s="152" t="str">
        <f>+VLOOKUP($L558,Data_Validation!$A:$D,3,0)</f>
        <v>Véhicules usagés</v>
      </c>
      <c r="V558" s="152" t="str">
        <f>+VLOOKUP($L558,Data_Validation!$A:$D,4,0)</f>
        <v>Taxes foncières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1730</v>
      </c>
      <c r="B559" s="718" t="s">
        <v>873</v>
      </c>
      <c r="C559" s="720">
        <v>3963.69</v>
      </c>
      <c r="D559" s="720">
        <v>1321.23</v>
      </c>
      <c r="E559" s="720">
        <v>5284.92</v>
      </c>
      <c r="F559" s="718" t="s">
        <v>2231</v>
      </c>
      <c r="G559" s="718" t="s">
        <v>2283</v>
      </c>
      <c r="H559" s="673"/>
      <c r="I559" s="672"/>
      <c r="J559" s="672"/>
      <c r="K559" s="672"/>
      <c r="L559" s="149" t="str">
        <f t="shared" si="40"/>
        <v>84E</v>
      </c>
      <c r="M559" s="150" t="str">
        <f t="shared" si="41"/>
        <v>TAXES BATISSE - SERV. BMW</v>
      </c>
      <c r="N559" s="151">
        <f>+IF(OR($Q559=Parametres!$G$2,$Q559=Parametres!$G$3),I559,C559)</f>
        <v>3963.69</v>
      </c>
      <c r="O559" s="151">
        <f>+IF(OR($Q559=Parametres!$G$2,$Q559=Parametres!$G$3),J559,D559)</f>
        <v>1321.23</v>
      </c>
      <c r="P559" s="151">
        <f>+IF(OR($Q559=Parametres!$G$2,$Q559=Parametres!$G$3),K559,E559)</f>
        <v>5284.92</v>
      </c>
      <c r="Q559" s="150" t="str">
        <f t="shared" si="42"/>
        <v>7-Dépenses</v>
      </c>
      <c r="R559" s="149" t="str">
        <f t="shared" si="43"/>
        <v>84</v>
      </c>
      <c r="S559" s="150">
        <f t="shared" si="44"/>
        <v>0</v>
      </c>
      <c r="T559" s="152" t="str">
        <f>+VLOOKUP($L559,Data_Validation!$A:$D,1,0)</f>
        <v>84E</v>
      </c>
      <c r="U559" s="152" t="str">
        <f>+VLOOKUP($L559,Data_Validation!$A:$D,3,0)</f>
        <v>Service</v>
      </c>
      <c r="V559" s="152" t="str">
        <f>+VLOOKUP($L559,Data_Validation!$A:$D,4,0)</f>
        <v>Taxes foncières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1721</v>
      </c>
      <c r="B560" s="718" t="s">
        <v>868</v>
      </c>
      <c r="C560" s="719">
        <v>3523.29</v>
      </c>
      <c r="D560" s="719">
        <v>1174.43</v>
      </c>
      <c r="E560" s="719">
        <v>4697.72</v>
      </c>
      <c r="F560" s="718" t="s">
        <v>2231</v>
      </c>
      <c r="G560" s="718" t="s">
        <v>2283</v>
      </c>
      <c r="H560" s="719"/>
      <c r="I560" s="720"/>
      <c r="J560" s="720"/>
      <c r="K560" s="720"/>
      <c r="L560" s="149" t="str">
        <f t="shared" si="40"/>
        <v>84G</v>
      </c>
      <c r="M560" s="150" t="str">
        <f t="shared" si="41"/>
        <v>TAXES BATISSE - PIECE BMW</v>
      </c>
      <c r="N560" s="151">
        <f>+IF(OR($Q560=Parametres!$G$2,$Q560=Parametres!$G$3),I560,C560)</f>
        <v>3523.29</v>
      </c>
      <c r="O560" s="505">
        <f>+IF(OR($Q560=Parametres!$G$2,$Q560=Parametres!$G$3),J560,D560)</f>
        <v>1174.43</v>
      </c>
      <c r="P560" s="151">
        <f>+IF(OR($Q560=Parametres!$G$2,$Q560=Parametres!$G$3),K560,E560)</f>
        <v>4697.72</v>
      </c>
      <c r="Q560" s="150" t="str">
        <f t="shared" si="42"/>
        <v>7-Dépenses</v>
      </c>
      <c r="R560" s="149" t="str">
        <f t="shared" si="43"/>
        <v>84</v>
      </c>
      <c r="S560" s="150">
        <f t="shared" si="44"/>
        <v>0</v>
      </c>
      <c r="T560" s="152" t="str">
        <f>+VLOOKUP($L560,Data_Validation!$A:$D,1,0)</f>
        <v>84G</v>
      </c>
      <c r="U560" s="152" t="str">
        <f>+VLOOKUP($L560,Data_Validation!$A:$D,3,0)</f>
        <v>pièces</v>
      </c>
      <c r="V560" s="152" t="str">
        <f>+VLOOKUP($L560,Data_Validation!$A:$D,4,0)</f>
        <v>Taxes foncières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1642</v>
      </c>
      <c r="B561" s="718" t="s">
        <v>808</v>
      </c>
      <c r="C561" s="719">
        <v>440.43</v>
      </c>
      <c r="D561" s="719">
        <v>146.81</v>
      </c>
      <c r="E561" s="719">
        <v>587.24</v>
      </c>
      <c r="F561" s="718" t="s">
        <v>2231</v>
      </c>
      <c r="G561" s="718" t="s">
        <v>2283</v>
      </c>
      <c r="H561" s="719"/>
      <c r="I561" s="720"/>
      <c r="J561" s="720"/>
      <c r="K561" s="720"/>
      <c r="L561" s="149" t="str">
        <f t="shared" si="40"/>
        <v>84I</v>
      </c>
      <c r="M561" s="150" t="str">
        <f t="shared" si="41"/>
        <v>TAXES BATISSE - CARROSSERIE BMW</v>
      </c>
      <c r="N561" s="151">
        <f>+IF(OR($Q561=Parametres!$G$2,$Q561=Parametres!$G$3),I561,C561)</f>
        <v>440.43</v>
      </c>
      <c r="O561" s="504">
        <f>+IF(OR($Q561=Parametres!$G$2,$Q561=Parametres!$G$3),J561,D561)</f>
        <v>146.81</v>
      </c>
      <c r="P561" s="151">
        <f>+IF(OR($Q561=Parametres!$G$2,$Q561=Parametres!$G$3),K561,E561)</f>
        <v>587.24</v>
      </c>
      <c r="Q561" s="150" t="str">
        <f t="shared" si="42"/>
        <v>7-Dépenses</v>
      </c>
      <c r="R561" s="149" t="str">
        <f t="shared" si="43"/>
        <v>84</v>
      </c>
      <c r="S561" s="150">
        <f t="shared" si="44"/>
        <v>0</v>
      </c>
      <c r="T561" s="152" t="str">
        <f>+VLOOKUP($L561,Data_Validation!$A:$D,1,0)</f>
        <v>84I</v>
      </c>
      <c r="U561" s="152" t="str">
        <f>+VLOOKUP($L561,Data_Validation!$A:$D,3,0)</f>
        <v>carrosserie</v>
      </c>
      <c r="V561" s="152" t="str">
        <f>+VLOOKUP($L561,Data_Validation!$A:$D,4,0)</f>
        <v>Taxes foncières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1718</v>
      </c>
      <c r="B562" s="718" t="s">
        <v>880</v>
      </c>
      <c r="C562" s="719">
        <v>5872.17</v>
      </c>
      <c r="D562" s="719">
        <v>1957.39</v>
      </c>
      <c r="E562" s="719">
        <v>7829.56</v>
      </c>
      <c r="F562" s="718" t="s">
        <v>2231</v>
      </c>
      <c r="G562" s="718" t="s">
        <v>2278</v>
      </c>
      <c r="H562" s="719"/>
      <c r="I562" s="720"/>
      <c r="J562" s="720"/>
      <c r="K562" s="720"/>
      <c r="L562" s="149" t="str">
        <f t="shared" si="40"/>
        <v>85A</v>
      </c>
      <c r="M562" s="150" t="str">
        <f t="shared" si="41"/>
        <v>ASS. BATISSE - NEUF BMW</v>
      </c>
      <c r="N562" s="151">
        <f>+IF(OR($Q562=Parametres!$G$2,$Q562=Parametres!$G$3),I562,C562)</f>
        <v>5872.17</v>
      </c>
      <c r="O562" s="151">
        <f>+IF(OR($Q562=Parametres!$G$2,$Q562=Parametres!$G$3),J562,D562)</f>
        <v>1957.39</v>
      </c>
      <c r="P562" s="151">
        <f>+IF(OR($Q562=Parametres!$G$2,$Q562=Parametres!$G$3),K562,E562)</f>
        <v>7829.56</v>
      </c>
      <c r="Q562" s="150" t="str">
        <f t="shared" si="42"/>
        <v>7-Dépenses</v>
      </c>
      <c r="R562" s="149" t="str">
        <f t="shared" si="43"/>
        <v>85</v>
      </c>
      <c r="S562" s="150">
        <f t="shared" si="44"/>
        <v>0</v>
      </c>
      <c r="T562" s="152" t="str">
        <f>+VLOOKUP($L562,Data_Validation!$A:$D,1,0)</f>
        <v>85A</v>
      </c>
      <c r="U562" s="152" t="str">
        <f>+VLOOKUP($L562,Data_Validation!$A:$D,3,0)</f>
        <v>Véhicules neufs</v>
      </c>
      <c r="V562" s="152" t="str">
        <f>+VLOOKUP($L562,Data_Validation!$A:$D,4,0)</f>
        <v>assurances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1660</v>
      </c>
      <c r="B563" s="718" t="s">
        <v>829</v>
      </c>
      <c r="C563" s="720">
        <v>1304.94</v>
      </c>
      <c r="D563" s="720">
        <v>434.98</v>
      </c>
      <c r="E563" s="720">
        <v>1739.92</v>
      </c>
      <c r="F563" s="718" t="s">
        <v>2231</v>
      </c>
      <c r="G563" s="718" t="s">
        <v>2278</v>
      </c>
      <c r="H563" s="666"/>
      <c r="I563" s="665"/>
      <c r="J563" s="665"/>
      <c r="K563" s="665"/>
      <c r="L563" s="149" t="str">
        <f t="shared" si="40"/>
        <v>85C</v>
      </c>
      <c r="M563" s="150" t="str">
        <f t="shared" si="41"/>
        <v>ASS. BATISSE - USAGE BMW</v>
      </c>
      <c r="N563" s="151">
        <f>+IF(OR($Q563=Parametres!$G$2,$Q563=Parametres!$G$3),I563,C563)</f>
        <v>1304.94</v>
      </c>
      <c r="O563" s="151">
        <f>+IF(OR($Q563=Parametres!$G$2,$Q563=Parametres!$G$3),J563,D563)</f>
        <v>434.98</v>
      </c>
      <c r="P563" s="151">
        <f>+IF(OR($Q563=Parametres!$G$2,$Q563=Parametres!$G$3),K563,E563)</f>
        <v>1739.92</v>
      </c>
      <c r="Q563" s="150" t="str">
        <f t="shared" si="42"/>
        <v>7-Dépenses</v>
      </c>
      <c r="R563" s="149" t="str">
        <f t="shared" si="43"/>
        <v>85</v>
      </c>
      <c r="S563" s="150">
        <f t="shared" si="44"/>
        <v>0</v>
      </c>
      <c r="T563" s="152" t="str">
        <f>+VLOOKUP($L563,Data_Validation!$A:$D,1,0)</f>
        <v>85C</v>
      </c>
      <c r="U563" s="152" t="str">
        <f>+VLOOKUP($L563,Data_Validation!$A:$D,3,0)</f>
        <v>Véhicules usagés</v>
      </c>
      <c r="V563" s="152" t="str">
        <f>+VLOOKUP($L563,Data_Validation!$A:$D,4,0)</f>
        <v>assurances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1680</v>
      </c>
      <c r="B564" s="718" t="s">
        <v>851</v>
      </c>
      <c r="C564" s="719">
        <v>2936.07</v>
      </c>
      <c r="D564" s="719">
        <v>978.69</v>
      </c>
      <c r="E564" s="719">
        <v>3914.76</v>
      </c>
      <c r="F564" s="718" t="s">
        <v>2231</v>
      </c>
      <c r="G564" s="718" t="s">
        <v>2278</v>
      </c>
      <c r="H564" s="719"/>
      <c r="I564" s="720"/>
      <c r="J564" s="720"/>
      <c r="K564" s="720"/>
      <c r="L564" s="149" t="str">
        <f t="shared" si="40"/>
        <v>85E</v>
      </c>
      <c r="M564" s="150" t="str">
        <f t="shared" si="41"/>
        <v>ASS. BATISSE - SERV. BMW</v>
      </c>
      <c r="N564" s="151">
        <f>+IF(OR($Q564=Parametres!$G$2,$Q564=Parametres!$G$3),I564,C564)</f>
        <v>2936.07</v>
      </c>
      <c r="O564" s="505">
        <f>+IF(OR($Q564=Parametres!$G$2,$Q564=Parametres!$G$3),J564,D564)</f>
        <v>978.69</v>
      </c>
      <c r="P564" s="151">
        <f>+IF(OR($Q564=Parametres!$G$2,$Q564=Parametres!$G$3),K564,E564)</f>
        <v>3914.76</v>
      </c>
      <c r="Q564" s="150" t="str">
        <f t="shared" si="42"/>
        <v>7-Dépenses</v>
      </c>
      <c r="R564" s="149" t="str">
        <f t="shared" si="43"/>
        <v>85</v>
      </c>
      <c r="S564" s="150">
        <f t="shared" si="44"/>
        <v>0</v>
      </c>
      <c r="T564" s="152" t="str">
        <f>+VLOOKUP($L564,Data_Validation!$A:$D,1,0)</f>
        <v>85E</v>
      </c>
      <c r="U564" s="152" t="str">
        <f>+VLOOKUP($L564,Data_Validation!$A:$D,3,0)</f>
        <v>Service</v>
      </c>
      <c r="V564" s="152" t="str">
        <f>+VLOOKUP($L564,Data_Validation!$A:$D,4,0)</f>
        <v>assurances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1677</v>
      </c>
      <c r="B565" s="718" t="s">
        <v>849</v>
      </c>
      <c r="C565" s="720">
        <v>2609.85</v>
      </c>
      <c r="D565" s="720">
        <v>869.95</v>
      </c>
      <c r="E565" s="720">
        <v>3479.8</v>
      </c>
      <c r="F565" s="718" t="s">
        <v>2231</v>
      </c>
      <c r="G565" s="718" t="s">
        <v>2278</v>
      </c>
      <c r="H565" s="673"/>
      <c r="I565" s="672"/>
      <c r="J565" s="672"/>
      <c r="K565" s="672"/>
      <c r="L565" s="149" t="str">
        <f t="shared" si="40"/>
        <v>85G</v>
      </c>
      <c r="M565" s="150" t="str">
        <f t="shared" si="41"/>
        <v>ASS. BATISSE - PIECE BMW</v>
      </c>
      <c r="N565" s="151">
        <f>+IF(OR($Q565=Parametres!$G$2,$Q565=Parametres!$G$3),I565,C565)</f>
        <v>2609.85</v>
      </c>
      <c r="O565" s="151">
        <f>+IF(OR($Q565=Parametres!$G$2,$Q565=Parametres!$G$3),J565,D565)</f>
        <v>869.95</v>
      </c>
      <c r="P565" s="151">
        <f>+IF(OR($Q565=Parametres!$G$2,$Q565=Parametres!$G$3),K565,E565)</f>
        <v>3479.8</v>
      </c>
      <c r="Q565" s="150" t="str">
        <f t="shared" si="42"/>
        <v>7-Dépenses</v>
      </c>
      <c r="R565" s="149" t="str">
        <f t="shared" si="43"/>
        <v>85</v>
      </c>
      <c r="S565" s="150">
        <f t="shared" si="44"/>
        <v>0</v>
      </c>
      <c r="T565" s="152" t="str">
        <f>+VLOOKUP($L565,Data_Validation!$A:$D,1,0)</f>
        <v>85G</v>
      </c>
      <c r="U565" s="152" t="str">
        <f>+VLOOKUP($L565,Data_Validation!$A:$D,3,0)</f>
        <v>pièces</v>
      </c>
      <c r="V565" s="152" t="str">
        <f>+VLOOKUP($L565,Data_Validation!$A:$D,4,0)</f>
        <v>assurances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1623</v>
      </c>
      <c r="B566" s="718" t="s">
        <v>796</v>
      </c>
      <c r="C566" s="720">
        <v>326.22000000000003</v>
      </c>
      <c r="D566" s="720">
        <v>108.74</v>
      </c>
      <c r="E566" s="720">
        <v>434.96</v>
      </c>
      <c r="F566" s="718" t="s">
        <v>2231</v>
      </c>
      <c r="G566" s="718" t="s">
        <v>2278</v>
      </c>
      <c r="H566" s="673"/>
      <c r="I566" s="672"/>
      <c r="J566" s="672"/>
      <c r="K566" s="672"/>
      <c r="L566" s="149" t="str">
        <f t="shared" si="40"/>
        <v>85I</v>
      </c>
      <c r="M566" s="150" t="str">
        <f t="shared" si="41"/>
        <v>ASS. BATISSE - CARROSSERIE BMW</v>
      </c>
      <c r="N566" s="151">
        <f>+IF(OR($Q566=Parametres!$G$2,$Q566=Parametres!$G$3),I566,C566)</f>
        <v>326.22000000000003</v>
      </c>
      <c r="O566" s="151">
        <f>+IF(OR($Q566=Parametres!$G$2,$Q566=Parametres!$G$3),J566,D566)</f>
        <v>108.74</v>
      </c>
      <c r="P566" s="151">
        <f>+IF(OR($Q566=Parametres!$G$2,$Q566=Parametres!$G$3),K566,E566)</f>
        <v>434.96</v>
      </c>
      <c r="Q566" s="150" t="str">
        <f t="shared" si="42"/>
        <v>7-Dépenses</v>
      </c>
      <c r="R566" s="149" t="str">
        <f t="shared" si="43"/>
        <v>85</v>
      </c>
      <c r="S566" s="150">
        <f t="shared" si="44"/>
        <v>0</v>
      </c>
      <c r="T566" s="152" t="str">
        <f>+VLOOKUP($L566,Data_Validation!$A:$D,1,0)</f>
        <v>85I</v>
      </c>
      <c r="U566" s="152" t="str">
        <f>+VLOOKUP($L566,Data_Validation!$A:$D,3,0)</f>
        <v>carrosserie</v>
      </c>
      <c r="V566" s="152" t="str">
        <f>+VLOOKUP($L566,Data_Validation!$A:$D,4,0)</f>
        <v>assurances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1230</v>
      </c>
      <c r="B567" s="718" t="s">
        <v>879</v>
      </c>
      <c r="C567" s="720">
        <v>7557.27</v>
      </c>
      <c r="D567" s="720">
        <v>2543.48</v>
      </c>
      <c r="E567" s="720">
        <v>10100.75</v>
      </c>
      <c r="F567" s="718" t="s">
        <v>2231</v>
      </c>
      <c r="G567" s="718" t="s">
        <v>2277</v>
      </c>
      <c r="H567" s="673"/>
      <c r="I567" s="672"/>
      <c r="J567" s="672"/>
      <c r="K567" s="672"/>
      <c r="L567" s="149" t="str">
        <f t="shared" si="40"/>
        <v>87A</v>
      </c>
      <c r="M567" s="150" t="str">
        <f t="shared" si="41"/>
        <v>CHAUFF. ELECT. EAU - NEUF BMW</v>
      </c>
      <c r="N567" s="151">
        <f>+IF(OR($Q567=Parametres!$G$2,$Q567=Parametres!$G$3),I567,C567)</f>
        <v>7557.27</v>
      </c>
      <c r="O567" s="151">
        <f>+IF(OR($Q567=Parametres!$G$2,$Q567=Parametres!$G$3),J567,D567)</f>
        <v>2543.48</v>
      </c>
      <c r="P567" s="151">
        <f>+IF(OR($Q567=Parametres!$G$2,$Q567=Parametres!$G$3),K567,E567)</f>
        <v>10100.75</v>
      </c>
      <c r="Q567" s="150" t="str">
        <f t="shared" si="42"/>
        <v>7-Dépenses</v>
      </c>
      <c r="R567" s="149" t="str">
        <f t="shared" si="43"/>
        <v>87</v>
      </c>
      <c r="S567" s="150">
        <f t="shared" si="44"/>
        <v>0</v>
      </c>
      <c r="T567" s="152" t="str">
        <f>+VLOOKUP($L567,Data_Validation!$A:$D,1,0)</f>
        <v>87A</v>
      </c>
      <c r="U567" s="152" t="str">
        <f>+VLOOKUP($L567,Data_Validation!$A:$D,3,0)</f>
        <v>Véhicules neufs</v>
      </c>
      <c r="V567" s="152" t="str">
        <f>+VLOOKUP($L567,Data_Validation!$A:$D,4,0)</f>
        <v>Chauffage, éclairage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1236</v>
      </c>
      <c r="B568" s="718" t="s">
        <v>828</v>
      </c>
      <c r="C568" s="720">
        <v>1679.39</v>
      </c>
      <c r="D568" s="720">
        <v>565.22</v>
      </c>
      <c r="E568" s="720">
        <v>2244.61</v>
      </c>
      <c r="F568" s="718" t="s">
        <v>2231</v>
      </c>
      <c r="G568" s="718" t="s">
        <v>2277</v>
      </c>
      <c r="H568" s="607"/>
      <c r="I568" s="153"/>
      <c r="J568" s="153"/>
      <c r="K568" s="153"/>
      <c r="L568" s="149" t="str">
        <f t="shared" si="40"/>
        <v>87C</v>
      </c>
      <c r="M568" s="150" t="str">
        <f t="shared" si="41"/>
        <v>CHAUFF. ELECT. EAU - USAGE BMW</v>
      </c>
      <c r="N568" s="151">
        <f>+IF(OR($Q568=Parametres!$G$2,$Q568=Parametres!$G$3),I568,C568)</f>
        <v>1679.39</v>
      </c>
      <c r="O568" s="151">
        <f>+IF(OR($Q568=Parametres!$G$2,$Q568=Parametres!$G$3),J568,D568)</f>
        <v>565.22</v>
      </c>
      <c r="P568" s="151">
        <f>+IF(OR($Q568=Parametres!$G$2,$Q568=Parametres!$G$3),K568,E568)</f>
        <v>2244.61</v>
      </c>
      <c r="Q568" s="150" t="str">
        <f t="shared" si="42"/>
        <v>7-Dépenses</v>
      </c>
      <c r="R568" s="149" t="str">
        <f t="shared" si="43"/>
        <v>87</v>
      </c>
      <c r="S568" s="150">
        <f t="shared" si="44"/>
        <v>0</v>
      </c>
      <c r="T568" s="152" t="str">
        <f>+VLOOKUP($L568,Data_Validation!$A:$D,1,0)</f>
        <v>87C</v>
      </c>
      <c r="U568" s="152" t="str">
        <f>+VLOOKUP($L568,Data_Validation!$A:$D,3,0)</f>
        <v>Véhicules usagés</v>
      </c>
      <c r="V568" s="152" t="str">
        <f>+VLOOKUP($L568,Data_Validation!$A:$D,4,0)</f>
        <v>Chauffage, éclairage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1232</v>
      </c>
      <c r="B569" s="718" t="s">
        <v>850</v>
      </c>
      <c r="C569" s="720">
        <v>3778.64</v>
      </c>
      <c r="D569" s="720">
        <v>1271.73</v>
      </c>
      <c r="E569" s="720">
        <v>5050.37</v>
      </c>
      <c r="F569" s="718" t="s">
        <v>2231</v>
      </c>
      <c r="G569" s="718" t="s">
        <v>2277</v>
      </c>
      <c r="H569" s="607"/>
      <c r="I569" s="153"/>
      <c r="J569" s="153"/>
      <c r="K569" s="153"/>
      <c r="L569" s="149" t="str">
        <f t="shared" si="40"/>
        <v>87E</v>
      </c>
      <c r="M569" s="150" t="str">
        <f t="shared" si="41"/>
        <v>CHAUFF. ELECT. EAU - SERV. BMW</v>
      </c>
      <c r="N569" s="151">
        <f>+IF(OR($Q569=Parametres!$G$2,$Q569=Parametres!$G$3),I569,C569)</f>
        <v>3778.64</v>
      </c>
      <c r="O569" s="151">
        <f>+IF(OR($Q569=Parametres!$G$2,$Q569=Parametres!$G$3),J569,D569)</f>
        <v>1271.73</v>
      </c>
      <c r="P569" s="151">
        <f>+IF(OR($Q569=Parametres!$G$2,$Q569=Parametres!$G$3),K569,E569)</f>
        <v>5050.37</v>
      </c>
      <c r="Q569" s="150" t="str">
        <f t="shared" si="42"/>
        <v>7-Dépenses</v>
      </c>
      <c r="R569" s="149" t="str">
        <f t="shared" si="43"/>
        <v>87</v>
      </c>
      <c r="S569" s="150">
        <f t="shared" si="44"/>
        <v>0</v>
      </c>
      <c r="T569" s="152" t="str">
        <f>+VLOOKUP($L569,Data_Validation!$A:$D,1,0)</f>
        <v>87E</v>
      </c>
      <c r="U569" s="152" t="str">
        <f>+VLOOKUP($L569,Data_Validation!$A:$D,3,0)</f>
        <v>Service</v>
      </c>
      <c r="V569" s="152" t="str">
        <f>+VLOOKUP($L569,Data_Validation!$A:$D,4,0)</f>
        <v>Chauffage, éclairage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1233</v>
      </c>
      <c r="B570" s="718" t="s">
        <v>847</v>
      </c>
      <c r="C570" s="720">
        <v>3358.79</v>
      </c>
      <c r="D570" s="720">
        <v>1130.43</v>
      </c>
      <c r="E570" s="720">
        <v>4489.22</v>
      </c>
      <c r="F570" s="718" t="s">
        <v>2231</v>
      </c>
      <c r="G570" s="718" t="s">
        <v>2277</v>
      </c>
      <c r="H570" s="673"/>
      <c r="I570" s="672"/>
      <c r="J570" s="672"/>
      <c r="K570" s="672"/>
      <c r="L570" s="149" t="str">
        <f t="shared" si="40"/>
        <v>87G</v>
      </c>
      <c r="M570" s="508" t="str">
        <f t="shared" si="41"/>
        <v>CHAUFF. ELECT. EAU - PIECE BMW</v>
      </c>
      <c r="N570" s="151">
        <f>+IF(OR($Q570=Parametres!$G$2,$Q570=Parametres!$G$3),I570,C570)</f>
        <v>3358.79</v>
      </c>
      <c r="O570" s="509">
        <f>+IF(OR($Q570=Parametres!$G$2,$Q570=Parametres!$G$3),J570,D570)</f>
        <v>1130.43</v>
      </c>
      <c r="P570" s="510">
        <f>+IF(OR($Q570=Parametres!$G$2,$Q570=Parametres!$G$3),K570,E570)</f>
        <v>4489.22</v>
      </c>
      <c r="Q570" s="150" t="str">
        <f t="shared" si="42"/>
        <v>7-Dépenses</v>
      </c>
      <c r="R570" s="149" t="str">
        <f t="shared" si="43"/>
        <v>87</v>
      </c>
      <c r="S570" s="150">
        <f t="shared" si="44"/>
        <v>0</v>
      </c>
      <c r="T570" s="152" t="str">
        <f>+VLOOKUP($L570,Data_Validation!$A:$D,1,0)</f>
        <v>87G</v>
      </c>
      <c r="U570" s="152" t="str">
        <f>+VLOOKUP($L570,Data_Validation!$A:$D,3,0)</f>
        <v>pièces</v>
      </c>
      <c r="V570" s="152" t="str">
        <f>+VLOOKUP($L570,Data_Validation!$A:$D,4,0)</f>
        <v>Chauffage, éclairage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1241</v>
      </c>
      <c r="B571" s="718" t="s">
        <v>794</v>
      </c>
      <c r="C571" s="720">
        <v>419.83</v>
      </c>
      <c r="D571" s="720">
        <v>141.31</v>
      </c>
      <c r="E571" s="720">
        <v>561.14</v>
      </c>
      <c r="F571" s="718" t="s">
        <v>2231</v>
      </c>
      <c r="G571" s="718" t="s">
        <v>2277</v>
      </c>
      <c r="H571" s="673"/>
      <c r="I571" s="673"/>
      <c r="J571" s="673"/>
      <c r="K571" s="673"/>
      <c r="L571" s="149" t="str">
        <f t="shared" si="40"/>
        <v>87I</v>
      </c>
      <c r="M571" s="150" t="str">
        <f t="shared" si="41"/>
        <v>CHAUFF. ELECT. EAU - CARROSSERIE BMW</v>
      </c>
      <c r="N571" s="151">
        <f>+IF(OR($Q571=Parametres!$G$2,$Q571=Parametres!$G$3),I571,C571)</f>
        <v>419.83</v>
      </c>
      <c r="O571" s="504">
        <f>+IF(OR($Q571=Parametres!$G$2,$Q571=Parametres!$G$3),J571,D571)</f>
        <v>141.31</v>
      </c>
      <c r="P571" s="151">
        <f>+IF(OR($Q571=Parametres!$G$2,$Q571=Parametres!$G$3),K571,E571)</f>
        <v>561.14</v>
      </c>
      <c r="Q571" s="150" t="str">
        <f t="shared" si="42"/>
        <v>7-Dépenses</v>
      </c>
      <c r="R571" s="149" t="str">
        <f t="shared" si="43"/>
        <v>87</v>
      </c>
      <c r="S571" s="150">
        <f t="shared" si="44"/>
        <v>0</v>
      </c>
      <c r="T571" s="152" t="str">
        <f>+VLOOKUP($L571,Data_Validation!$A:$D,1,0)</f>
        <v>87I</v>
      </c>
      <c r="U571" s="152" t="str">
        <f>+VLOOKUP($L571,Data_Validation!$A:$D,3,0)</f>
        <v>carrosserie</v>
      </c>
      <c r="V571" s="152" t="str">
        <f>+VLOOKUP($L571,Data_Validation!$A:$D,4,0)</f>
        <v>Chauffage, éclairage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1720</v>
      </c>
      <c r="B572" s="718" t="s">
        <v>866</v>
      </c>
      <c r="C572" s="720">
        <v>3397.44</v>
      </c>
      <c r="D572" s="720">
        <v>1132.48</v>
      </c>
      <c r="E572" s="720">
        <v>4529.92</v>
      </c>
      <c r="F572" s="718" t="s">
        <v>2231</v>
      </c>
      <c r="G572" s="718" t="s">
        <v>2275</v>
      </c>
      <c r="H572" s="673"/>
      <c r="I572" s="672"/>
      <c r="J572" s="672"/>
      <c r="K572" s="672"/>
      <c r="L572" s="149" t="str">
        <f t="shared" si="40"/>
        <v>89A</v>
      </c>
      <c r="M572" s="150" t="str">
        <f t="shared" si="41"/>
        <v>TAXES &amp; PERMIS - NEUF BMW</v>
      </c>
      <c r="N572" s="151">
        <f>+IF(OR($Q572=Parametres!$G$2,$Q572=Parametres!$G$3),I572,C572)</f>
        <v>3397.44</v>
      </c>
      <c r="O572" s="151">
        <f>+IF(OR($Q572=Parametres!$G$2,$Q572=Parametres!$G$3),J572,D572)</f>
        <v>1132.48</v>
      </c>
      <c r="P572" s="151">
        <f>+IF(OR($Q572=Parametres!$G$2,$Q572=Parametres!$G$3),K572,E572)</f>
        <v>4529.92</v>
      </c>
      <c r="Q572" s="150" t="str">
        <f t="shared" si="42"/>
        <v>7-Dépenses</v>
      </c>
      <c r="R572" s="149" t="str">
        <f t="shared" si="43"/>
        <v>89</v>
      </c>
      <c r="S572" s="150">
        <f t="shared" si="44"/>
        <v>0</v>
      </c>
      <c r="T572" s="152" t="str">
        <f>+VLOOKUP($L572,Data_Validation!$A:$D,1,0)</f>
        <v>89A</v>
      </c>
      <c r="U572" s="152" t="str">
        <f>+VLOOKUP($L572,Data_Validation!$A:$D,3,0)</f>
        <v>Véhicules neufs</v>
      </c>
      <c r="V572" s="152" t="str">
        <f>+VLOOKUP($L572,Data_Validation!$A:$D,4,0)</f>
        <v>Taxes d`affaires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1661</v>
      </c>
      <c r="B573" s="718" t="s">
        <v>818</v>
      </c>
      <c r="C573" s="720">
        <v>754.98</v>
      </c>
      <c r="D573" s="720">
        <v>251.66</v>
      </c>
      <c r="E573" s="720">
        <v>1006.64</v>
      </c>
      <c r="F573" s="718" t="s">
        <v>2231</v>
      </c>
      <c r="G573" s="718" t="s">
        <v>2275</v>
      </c>
      <c r="H573" s="673"/>
      <c r="I573" s="672"/>
      <c r="J573" s="672"/>
      <c r="K573" s="672"/>
      <c r="L573" s="149" t="str">
        <f t="shared" si="40"/>
        <v>89C</v>
      </c>
      <c r="M573" s="150" t="str">
        <f t="shared" si="41"/>
        <v>TAXES &amp; PERMIS - USAGE BMW</v>
      </c>
      <c r="N573" s="151">
        <f>+IF(OR($Q573=Parametres!$G$2,$Q573=Parametres!$G$3),I573,C573)</f>
        <v>754.98</v>
      </c>
      <c r="O573" s="506">
        <f>+IF(OR($Q573=Parametres!$G$2,$Q573=Parametres!$G$3),J573,D573)</f>
        <v>251.66</v>
      </c>
      <c r="P573" s="151">
        <f>+IF(OR($Q573=Parametres!$G$2,$Q573=Parametres!$G$3),K573,E573)</f>
        <v>1006.64</v>
      </c>
      <c r="Q573" s="150" t="str">
        <f t="shared" si="42"/>
        <v>7-Dépenses</v>
      </c>
      <c r="R573" s="149" t="str">
        <f t="shared" si="43"/>
        <v>89</v>
      </c>
      <c r="S573" s="150">
        <f t="shared" si="44"/>
        <v>0</v>
      </c>
      <c r="T573" s="152" t="str">
        <f>+VLOOKUP($L573,Data_Validation!$A:$D,1,0)</f>
        <v>89C</v>
      </c>
      <c r="U573" s="152" t="str">
        <f>+VLOOKUP($L573,Data_Validation!$A:$D,3,0)</f>
        <v>Véhicules usagés</v>
      </c>
      <c r="V573" s="152" t="str">
        <f>+VLOOKUP($L573,Data_Validation!$A:$D,4,0)</f>
        <v>Taxes d`affaires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1685</v>
      </c>
      <c r="B574" s="718" t="s">
        <v>840</v>
      </c>
      <c r="C574" s="720">
        <v>1698.72</v>
      </c>
      <c r="D574" s="720">
        <v>566.24</v>
      </c>
      <c r="E574" s="720">
        <v>2264.96</v>
      </c>
      <c r="F574" s="718" t="s">
        <v>2231</v>
      </c>
      <c r="G574" s="718" t="s">
        <v>2275</v>
      </c>
      <c r="H574" s="673"/>
      <c r="I574" s="672"/>
      <c r="J574" s="672"/>
      <c r="K574" s="672"/>
      <c r="L574" s="149" t="str">
        <f t="shared" si="40"/>
        <v>89E</v>
      </c>
      <c r="M574" s="150" t="str">
        <f t="shared" si="41"/>
        <v>TAXES &amp; PERMIS - SERV. BMW</v>
      </c>
      <c r="N574" s="151">
        <f>+IF(OR($Q574=Parametres!$G$2,$Q574=Parametres!$G$3),I574,C574)</f>
        <v>1698.72</v>
      </c>
      <c r="O574" s="151">
        <f>+IF(OR($Q574=Parametres!$G$2,$Q574=Parametres!$G$3),J574,D574)</f>
        <v>566.24</v>
      </c>
      <c r="P574" s="151">
        <f>+IF(OR($Q574=Parametres!$G$2,$Q574=Parametres!$G$3),K574,E574)</f>
        <v>2264.96</v>
      </c>
      <c r="Q574" s="150" t="str">
        <f t="shared" si="42"/>
        <v>7-Dépenses</v>
      </c>
      <c r="R574" s="149" t="str">
        <f t="shared" si="43"/>
        <v>89</v>
      </c>
      <c r="S574" s="150">
        <f t="shared" si="44"/>
        <v>0</v>
      </c>
      <c r="T574" s="152" t="str">
        <f>+VLOOKUP($L574,Data_Validation!$A:$D,1,0)</f>
        <v>89E</v>
      </c>
      <c r="U574" s="152" t="str">
        <f>+VLOOKUP($L574,Data_Validation!$A:$D,3,0)</f>
        <v>Service</v>
      </c>
      <c r="V574" s="152" t="str">
        <f>+VLOOKUP($L574,Data_Validation!$A:$D,4,0)</f>
        <v>Taxes d`affaires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1679</v>
      </c>
      <c r="B575" s="718" t="s">
        <v>836</v>
      </c>
      <c r="C575" s="720">
        <v>1509.99</v>
      </c>
      <c r="D575" s="720">
        <v>503.33</v>
      </c>
      <c r="E575" s="720">
        <v>2013.32</v>
      </c>
      <c r="F575" s="718" t="s">
        <v>2231</v>
      </c>
      <c r="G575" s="718" t="s">
        <v>2275</v>
      </c>
      <c r="H575" s="673"/>
      <c r="I575" s="672"/>
      <c r="J575" s="672"/>
      <c r="K575" s="672"/>
      <c r="L575" s="149" t="str">
        <f t="shared" si="40"/>
        <v>89G</v>
      </c>
      <c r="M575" s="150" t="str">
        <f t="shared" si="41"/>
        <v>TAXES &amp; PERMIS - PIECE BMW</v>
      </c>
      <c r="N575" s="151">
        <f>+IF(OR($Q575=Parametres!$G$2,$Q575=Parametres!$G$3),I575,C575)</f>
        <v>1509.99</v>
      </c>
      <c r="O575" s="151">
        <f>+IF(OR($Q575=Parametres!$G$2,$Q575=Parametres!$G$3),J575,D575)</f>
        <v>503.33</v>
      </c>
      <c r="P575" s="151">
        <f>+IF(OR($Q575=Parametres!$G$2,$Q575=Parametres!$G$3),K575,E575)</f>
        <v>2013.32</v>
      </c>
      <c r="Q575" s="150" t="str">
        <f t="shared" si="42"/>
        <v>7-Dépenses</v>
      </c>
      <c r="R575" s="149" t="str">
        <f t="shared" si="43"/>
        <v>89</v>
      </c>
      <c r="S575" s="150">
        <f t="shared" si="44"/>
        <v>0</v>
      </c>
      <c r="T575" s="152" t="str">
        <f>+VLOOKUP($L575,Data_Validation!$A:$D,1,0)</f>
        <v>89G</v>
      </c>
      <c r="U575" s="152" t="str">
        <f>+VLOOKUP($L575,Data_Validation!$A:$D,3,0)</f>
        <v>pièces</v>
      </c>
      <c r="V575" s="152" t="str">
        <f>+VLOOKUP($L575,Data_Validation!$A:$D,4,0)</f>
        <v>Taxes d`affaires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1624</v>
      </c>
      <c r="B576" s="718" t="s">
        <v>785</v>
      </c>
      <c r="C576" s="720">
        <v>188.76</v>
      </c>
      <c r="D576" s="720">
        <v>62.92</v>
      </c>
      <c r="E576" s="720">
        <v>251.68</v>
      </c>
      <c r="F576" s="718" t="s">
        <v>2231</v>
      </c>
      <c r="G576" s="718" t="s">
        <v>2275</v>
      </c>
      <c r="H576" s="609"/>
      <c r="I576" s="608"/>
      <c r="J576" s="608"/>
      <c r="K576" s="608"/>
      <c r="L576" s="149" t="str">
        <f t="shared" si="40"/>
        <v>89I</v>
      </c>
      <c r="M576" s="150" t="str">
        <f t="shared" si="41"/>
        <v>TAXES &amp; PERMIS - CARROSSERIE BMW</v>
      </c>
      <c r="N576" s="151">
        <f>+IF(OR($Q576=Parametres!$G$2,$Q576=Parametres!$G$3),I576,C576)</f>
        <v>188.76</v>
      </c>
      <c r="O576" s="504">
        <f>+IF(OR($Q576=Parametres!$G$2,$Q576=Parametres!$G$3),J576,D576)</f>
        <v>62.92</v>
      </c>
      <c r="P576" s="151">
        <f>+IF(OR($Q576=Parametres!$G$2,$Q576=Parametres!$G$3),K576,E576)</f>
        <v>251.68</v>
      </c>
      <c r="Q576" s="150" t="str">
        <f t="shared" si="42"/>
        <v>7-Dépenses</v>
      </c>
      <c r="R576" s="149" t="str">
        <f t="shared" si="43"/>
        <v>89</v>
      </c>
      <c r="S576" s="150">
        <f t="shared" si="44"/>
        <v>0</v>
      </c>
      <c r="T576" s="152" t="str">
        <f>+VLOOKUP($L576,Data_Validation!$A:$D,1,0)</f>
        <v>89I</v>
      </c>
      <c r="U576" s="152" t="str">
        <f>+VLOOKUP($L576,Data_Validation!$A:$D,3,0)</f>
        <v>carrosserie</v>
      </c>
      <c r="V576" s="152" t="str">
        <f>+VLOOKUP($L576,Data_Validation!$A:$D,4,0)</f>
        <v>Taxes d`affaires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1184</v>
      </c>
      <c r="B577" s="718" t="s">
        <v>688</v>
      </c>
      <c r="C577" s="719">
        <v>1500</v>
      </c>
      <c r="D577" s="719">
        <v>717.06</v>
      </c>
      <c r="E577" s="719">
        <v>2217.06</v>
      </c>
      <c r="F577" s="718" t="s">
        <v>2231</v>
      </c>
      <c r="G577" s="718" t="s">
        <v>2292</v>
      </c>
      <c r="H577" s="719"/>
      <c r="I577" s="720"/>
      <c r="J577" s="720"/>
      <c r="K577" s="720"/>
      <c r="L577" s="149" t="str">
        <f t="shared" si="40"/>
        <v>90E</v>
      </c>
      <c r="M577" s="150" t="str">
        <f t="shared" si="41"/>
        <v>REP. EQUIPEMENT - SERV. BMW</v>
      </c>
      <c r="N577" s="151">
        <f>+IF(OR($Q577=Parametres!$G$2,$Q577=Parametres!$G$3),I577,C577)</f>
        <v>1500</v>
      </c>
      <c r="O577" s="151">
        <f>+IF(OR($Q577=Parametres!$G$2,$Q577=Parametres!$G$3),J577,D577)</f>
        <v>717.06</v>
      </c>
      <c r="P577" s="151">
        <f>+IF(OR($Q577=Parametres!$G$2,$Q577=Parametres!$G$3),K577,E577)</f>
        <v>2217.06</v>
      </c>
      <c r="Q577" s="150" t="str">
        <f t="shared" si="42"/>
        <v>7-Dépenses</v>
      </c>
      <c r="R577" s="149" t="str">
        <f t="shared" si="43"/>
        <v>90</v>
      </c>
      <c r="S577" s="150">
        <f t="shared" si="44"/>
        <v>0</v>
      </c>
      <c r="T577" s="152" t="str">
        <f>+VLOOKUP($L577,Data_Validation!$A:$D,1,0)</f>
        <v>90E</v>
      </c>
      <c r="U577" s="152" t="str">
        <f>+VLOOKUP($L577,Data_Validation!$A:$D,3,0)</f>
        <v>Service</v>
      </c>
      <c r="V577" s="152" t="str">
        <f>+VLOOKUP($L577,Data_Validation!$A:$D,4,0)</f>
        <v>Réparation équipement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1176</v>
      </c>
      <c r="B578" s="718" t="s">
        <v>895</v>
      </c>
      <c r="C578" s="720">
        <v>6230.25</v>
      </c>
      <c r="D578" s="720">
        <v>2076.75</v>
      </c>
      <c r="E578" s="720">
        <v>8307</v>
      </c>
      <c r="F578" s="718" t="s">
        <v>2231</v>
      </c>
      <c r="G578" s="718" t="s">
        <v>2280</v>
      </c>
      <c r="H578" s="673"/>
      <c r="I578" s="673"/>
      <c r="J578" s="673"/>
      <c r="K578" s="673"/>
      <c r="L578" s="149" t="str">
        <f t="shared" ref="L578:L641" si="45">+B578</f>
        <v>91A</v>
      </c>
      <c r="M578" s="150" t="str">
        <f t="shared" ref="M578:M641" si="46">+A578</f>
        <v>DEPREC. EQUIP. - NEUF BMW</v>
      </c>
      <c r="N578" s="151">
        <f>+IF(OR($Q578=Parametres!$G$2,$Q578=Parametres!$G$3),I578,C578)</f>
        <v>6230.25</v>
      </c>
      <c r="O578" s="151">
        <f>+IF(OR($Q578=Parametres!$G$2,$Q578=Parametres!$G$3),J578,D578)</f>
        <v>2076.75</v>
      </c>
      <c r="P578" s="151">
        <f>+IF(OR($Q578=Parametres!$G$2,$Q578=Parametres!$G$3),K578,E578)</f>
        <v>8307</v>
      </c>
      <c r="Q578" s="150" t="str">
        <f t="shared" ref="Q578:Q641" si="47">+F578</f>
        <v>7-Dépenses</v>
      </c>
      <c r="R578" s="149" t="str">
        <f t="shared" ref="R578:R641" si="48">+G578</f>
        <v>91</v>
      </c>
      <c r="S578" s="150">
        <f t="shared" ref="S578:S641" si="49">+H578</f>
        <v>0</v>
      </c>
      <c r="T578" s="152" t="str">
        <f>+VLOOKUP($L578,Data_Validation!$A:$D,1,0)</f>
        <v>91A</v>
      </c>
      <c r="U578" s="152" t="str">
        <f>+VLOOKUP($L578,Data_Validation!$A:$D,3,0)</f>
        <v>Véhicules neufs</v>
      </c>
      <c r="V578" s="152" t="str">
        <f>+VLOOKUP($L578,Data_Validation!$A:$D,4,0)</f>
        <v>amortissement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1215</v>
      </c>
      <c r="B579" s="718" t="s">
        <v>837</v>
      </c>
      <c r="C579" s="720">
        <v>1384.5</v>
      </c>
      <c r="D579" s="720">
        <v>461.5</v>
      </c>
      <c r="E579" s="720">
        <v>1846</v>
      </c>
      <c r="F579" s="718" t="s">
        <v>2231</v>
      </c>
      <c r="G579" s="718" t="s">
        <v>2280</v>
      </c>
      <c r="H579" s="673"/>
      <c r="I579" s="672"/>
      <c r="J579" s="672"/>
      <c r="K579" s="672"/>
      <c r="L579" s="149" t="str">
        <f t="shared" si="45"/>
        <v>91C</v>
      </c>
      <c r="M579" s="150" t="str">
        <f t="shared" si="46"/>
        <v>DEPREC. EQUIP. - USAGE BMW</v>
      </c>
      <c r="N579" s="151">
        <f>+IF(OR($Q579=Parametres!$G$2,$Q579=Parametres!$G$3),I579,C579)</f>
        <v>1384.5</v>
      </c>
      <c r="O579" s="151">
        <f>+IF(OR($Q579=Parametres!$G$2,$Q579=Parametres!$G$3),J579,D579)</f>
        <v>461.5</v>
      </c>
      <c r="P579" s="151">
        <f>+IF(OR($Q579=Parametres!$G$2,$Q579=Parametres!$G$3),K579,E579)</f>
        <v>1846</v>
      </c>
      <c r="Q579" s="150" t="str">
        <f t="shared" si="47"/>
        <v>7-Dépenses</v>
      </c>
      <c r="R579" s="149" t="str">
        <f t="shared" si="48"/>
        <v>91</v>
      </c>
      <c r="S579" s="150">
        <f t="shared" si="49"/>
        <v>0</v>
      </c>
      <c r="T579" s="152" t="str">
        <f>+VLOOKUP($L579,Data_Validation!$A:$D,1,0)</f>
        <v>91C</v>
      </c>
      <c r="U579" s="152" t="str">
        <f>+VLOOKUP($L579,Data_Validation!$A:$D,3,0)</f>
        <v>Véhicules usagés</v>
      </c>
      <c r="V579" s="152" t="str">
        <f>+VLOOKUP($L579,Data_Validation!$A:$D,4,0)</f>
        <v>amortissement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1174</v>
      </c>
      <c r="B580" s="718" t="s">
        <v>945</v>
      </c>
      <c r="C580" s="720">
        <v>19615.14</v>
      </c>
      <c r="D580" s="720">
        <v>6538.38</v>
      </c>
      <c r="E580" s="720">
        <v>26153.52</v>
      </c>
      <c r="F580" s="718" t="s">
        <v>2231</v>
      </c>
      <c r="G580" s="718" t="s">
        <v>2280</v>
      </c>
      <c r="H580" s="673"/>
      <c r="I580" s="672"/>
      <c r="J580" s="672"/>
      <c r="K580" s="672"/>
      <c r="L580" s="149" t="str">
        <f t="shared" si="45"/>
        <v>91E</v>
      </c>
      <c r="M580" s="150" t="str">
        <f t="shared" si="46"/>
        <v>DEPREC. EQUIP. - SERV. BMW</v>
      </c>
      <c r="N580" s="151">
        <f>+IF(OR($Q580=Parametres!$G$2,$Q580=Parametres!$G$3),I580,C580)</f>
        <v>19615.14</v>
      </c>
      <c r="O580" s="151">
        <f>+IF(OR($Q580=Parametres!$G$2,$Q580=Parametres!$G$3),J580,D580)</f>
        <v>6538.38</v>
      </c>
      <c r="P580" s="151">
        <f>+IF(OR($Q580=Parametres!$G$2,$Q580=Parametres!$G$3),K580,E580)</f>
        <v>26153.52</v>
      </c>
      <c r="Q580" s="150" t="str">
        <f t="shared" si="47"/>
        <v>7-Dépenses</v>
      </c>
      <c r="R580" s="149" t="str">
        <f t="shared" si="48"/>
        <v>91</v>
      </c>
      <c r="S580" s="150">
        <f t="shared" si="49"/>
        <v>0</v>
      </c>
      <c r="T580" s="152" t="str">
        <f>+VLOOKUP($L580,Data_Validation!$A:$D,1,0)</f>
        <v>91E</v>
      </c>
      <c r="U580" s="152" t="str">
        <f>+VLOOKUP($L580,Data_Validation!$A:$D,3,0)</f>
        <v>Service</v>
      </c>
      <c r="V580" s="152" t="str">
        <f>+VLOOKUP($L580,Data_Validation!$A:$D,4,0)</f>
        <v>amortissement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1189</v>
      </c>
      <c r="B581" s="718" t="s">
        <v>867</v>
      </c>
      <c r="C581" s="719">
        <v>3204</v>
      </c>
      <c r="D581" s="719">
        <v>1068</v>
      </c>
      <c r="E581" s="719">
        <v>4272</v>
      </c>
      <c r="F581" s="718" t="s">
        <v>2231</v>
      </c>
      <c r="G581" s="718" t="s">
        <v>2280</v>
      </c>
      <c r="H581" s="719"/>
      <c r="I581" s="720"/>
      <c r="J581" s="720"/>
      <c r="K581" s="720"/>
      <c r="L581" s="149" t="str">
        <f t="shared" si="45"/>
        <v>91G</v>
      </c>
      <c r="M581" s="150" t="str">
        <f t="shared" si="46"/>
        <v>DEPREC. EQUIP. - PIECE BMW</v>
      </c>
      <c r="N581" s="151">
        <f>+IF(OR($Q581=Parametres!$G$2,$Q581=Parametres!$G$3),I581,C581)</f>
        <v>3204</v>
      </c>
      <c r="O581" s="151">
        <f>+IF(OR($Q581=Parametres!$G$2,$Q581=Parametres!$G$3),J581,D581)</f>
        <v>1068</v>
      </c>
      <c r="P581" s="151">
        <f>+IF(OR($Q581=Parametres!$G$2,$Q581=Parametres!$G$3),K581,E581)</f>
        <v>4272</v>
      </c>
      <c r="Q581" s="150" t="str">
        <f t="shared" si="47"/>
        <v>7-Dépenses</v>
      </c>
      <c r="R581" s="149" t="str">
        <f t="shared" si="48"/>
        <v>91</v>
      </c>
      <c r="S581" s="150">
        <f t="shared" si="49"/>
        <v>0</v>
      </c>
      <c r="T581" s="152" t="str">
        <f>+VLOOKUP($L581,Data_Validation!$A:$D,1,0)</f>
        <v>91G</v>
      </c>
      <c r="U581" s="152" t="str">
        <f>+VLOOKUP($L581,Data_Validation!$A:$D,3,0)</f>
        <v>pièces</v>
      </c>
      <c r="V581" s="152" t="str">
        <f>+VLOOKUP($L581,Data_Validation!$A:$D,4,0)</f>
        <v>amortissement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1227</v>
      </c>
      <c r="B582" s="718" t="s">
        <v>806</v>
      </c>
      <c r="C582" s="719">
        <v>346.11</v>
      </c>
      <c r="D582" s="719">
        <v>115.37</v>
      </c>
      <c r="E582" s="719">
        <v>461.48</v>
      </c>
      <c r="F582" s="718" t="s">
        <v>2231</v>
      </c>
      <c r="G582" s="718" t="s">
        <v>2280</v>
      </c>
      <c r="H582" s="719"/>
      <c r="I582" s="720"/>
      <c r="J582" s="720"/>
      <c r="K582" s="720"/>
      <c r="L582" s="149" t="str">
        <f t="shared" si="45"/>
        <v>91I</v>
      </c>
      <c r="M582" s="150" t="str">
        <f t="shared" si="46"/>
        <v>DEPREC. EQUIP. - CARROSSERIE BMW</v>
      </c>
      <c r="N582" s="151">
        <f>+IF(OR($Q582=Parametres!$G$2,$Q582=Parametres!$G$3),I582,C582)</f>
        <v>346.11</v>
      </c>
      <c r="O582" s="151">
        <f>+IF(OR($Q582=Parametres!$G$2,$Q582=Parametres!$G$3),J582,D582)</f>
        <v>115.37</v>
      </c>
      <c r="P582" s="151">
        <f>+IF(OR($Q582=Parametres!$G$2,$Q582=Parametres!$G$3),K582,E582)</f>
        <v>461.48</v>
      </c>
      <c r="Q582" s="150" t="str">
        <f t="shared" si="47"/>
        <v>7-Dépenses</v>
      </c>
      <c r="R582" s="149" t="str">
        <f t="shared" si="48"/>
        <v>91</v>
      </c>
      <c r="S582" s="150">
        <f t="shared" si="49"/>
        <v>0</v>
      </c>
      <c r="T582" s="152" t="str">
        <f>+VLOOKUP($L582,Data_Validation!$A:$D,1,0)</f>
        <v>91I</v>
      </c>
      <c r="U582" s="152" t="str">
        <f>+VLOOKUP($L582,Data_Validation!$A:$D,3,0)</f>
        <v>carrosserie</v>
      </c>
      <c r="V582" s="152" t="str">
        <f>+VLOOKUP($L582,Data_Validation!$A:$D,4,0)</f>
        <v>amortissement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1616</v>
      </c>
      <c r="B583" s="718" t="s">
        <v>790</v>
      </c>
      <c r="C583" s="719">
        <v>234.84</v>
      </c>
      <c r="D583" s="719">
        <v>78.28</v>
      </c>
      <c r="E583" s="719">
        <v>313.12</v>
      </c>
      <c r="F583" s="718" t="s">
        <v>2231</v>
      </c>
      <c r="G583" s="718" t="s">
        <v>2263</v>
      </c>
      <c r="H583" s="719"/>
      <c r="I583" s="720"/>
      <c r="J583" s="720"/>
      <c r="K583" s="720"/>
      <c r="L583" s="149" t="str">
        <f t="shared" si="45"/>
        <v>92A</v>
      </c>
      <c r="M583" s="150" t="str">
        <f t="shared" si="46"/>
        <v>LOCATION EQUIP. - NEUF BMW</v>
      </c>
      <c r="N583" s="151">
        <f>+IF(OR($Q583=Parametres!$G$2,$Q583=Parametres!$G$3),I583,C583)</f>
        <v>234.84</v>
      </c>
      <c r="O583" s="151">
        <f>+IF(OR($Q583=Parametres!$G$2,$Q583=Parametres!$G$3),J583,D583)</f>
        <v>78.28</v>
      </c>
      <c r="P583" s="151">
        <f>+IF(OR($Q583=Parametres!$G$2,$Q583=Parametres!$G$3),K583,E583)</f>
        <v>313.12</v>
      </c>
      <c r="Q583" s="150" t="str">
        <f t="shared" si="47"/>
        <v>7-Dépenses</v>
      </c>
      <c r="R583" s="149" t="str">
        <f t="shared" si="48"/>
        <v>92</v>
      </c>
      <c r="S583" s="150">
        <f t="shared" si="49"/>
        <v>0</v>
      </c>
      <c r="T583" s="152" t="str">
        <f>+VLOOKUP($L583,Data_Validation!$A:$D,1,0)</f>
        <v>92A</v>
      </c>
      <c r="U583" s="152" t="str">
        <f>+VLOOKUP($L583,Data_Validation!$A:$D,3,0)</f>
        <v>Véhicules neufs</v>
      </c>
      <c r="V583" s="152" t="str">
        <f>+VLOOKUP($L583,Data_Validation!$A:$D,4,0)</f>
        <v>Location équipement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1608</v>
      </c>
      <c r="B584" s="718" t="s">
        <v>772</v>
      </c>
      <c r="C584" s="720">
        <v>52.2</v>
      </c>
      <c r="D584" s="720">
        <v>17.399999999999999</v>
      </c>
      <c r="E584" s="720">
        <v>69.599999999999994</v>
      </c>
      <c r="F584" s="718" t="s">
        <v>2231</v>
      </c>
      <c r="G584" s="718" t="s">
        <v>2263</v>
      </c>
      <c r="H584" s="673"/>
      <c r="I584" s="672"/>
      <c r="J584" s="672"/>
      <c r="K584" s="672"/>
      <c r="L584" s="149" t="str">
        <f t="shared" si="45"/>
        <v>92C</v>
      </c>
      <c r="M584" s="150" t="str">
        <f t="shared" si="46"/>
        <v>LOCATION EQUIP. - USAGE BMW</v>
      </c>
      <c r="N584" s="151">
        <f>+IF(OR($Q584=Parametres!$G$2,$Q584=Parametres!$G$3),I584,C584)</f>
        <v>52.2</v>
      </c>
      <c r="O584" s="151">
        <f>+IF(OR($Q584=Parametres!$G$2,$Q584=Parametres!$G$3),J584,D584)</f>
        <v>17.399999999999999</v>
      </c>
      <c r="P584" s="151">
        <f>+IF(OR($Q584=Parametres!$G$2,$Q584=Parametres!$G$3),K584,E584)</f>
        <v>69.599999999999994</v>
      </c>
      <c r="Q584" s="150" t="str">
        <f t="shared" si="47"/>
        <v>7-Dépenses</v>
      </c>
      <c r="R584" s="149" t="str">
        <f t="shared" si="48"/>
        <v>92</v>
      </c>
      <c r="S584" s="150">
        <f t="shared" si="49"/>
        <v>0</v>
      </c>
      <c r="T584" s="152" t="str">
        <f>+VLOOKUP($L584,Data_Validation!$A:$D,1,0)</f>
        <v>92C</v>
      </c>
      <c r="U584" s="152" t="str">
        <f>+VLOOKUP($L584,Data_Validation!$A:$D,3,0)</f>
        <v>Véhicules usagés</v>
      </c>
      <c r="V584" s="152" t="str">
        <f>+VLOOKUP($L584,Data_Validation!$A:$D,4,0)</f>
        <v>Location équipement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1612</v>
      </c>
      <c r="B585" s="718" t="s">
        <v>776</v>
      </c>
      <c r="C585" s="720">
        <v>117.42</v>
      </c>
      <c r="D585" s="720">
        <v>39.14</v>
      </c>
      <c r="E585" s="720">
        <v>156.56</v>
      </c>
      <c r="F585" s="718" t="s">
        <v>2231</v>
      </c>
      <c r="G585" s="718" t="s">
        <v>2263</v>
      </c>
      <c r="H585" s="666"/>
      <c r="I585" s="665"/>
      <c r="J585" s="665"/>
      <c r="K585" s="665"/>
      <c r="L585" s="149" t="str">
        <f t="shared" si="45"/>
        <v>92E</v>
      </c>
      <c r="M585" s="150" t="str">
        <f t="shared" si="46"/>
        <v>LOCATION EQUIP. - SERV. BMW</v>
      </c>
      <c r="N585" s="151">
        <f>+IF(OR($Q585=Parametres!$G$2,$Q585=Parametres!$G$3),I585,C585)</f>
        <v>117.42</v>
      </c>
      <c r="O585" s="151">
        <f>+IF(OR($Q585=Parametres!$G$2,$Q585=Parametres!$G$3),J585,D585)</f>
        <v>39.14</v>
      </c>
      <c r="P585" s="151">
        <f>+IF(OR($Q585=Parametres!$G$2,$Q585=Parametres!$G$3),K585,E585)</f>
        <v>156.56</v>
      </c>
      <c r="Q585" s="150" t="str">
        <f t="shared" si="47"/>
        <v>7-Dépenses</v>
      </c>
      <c r="R585" s="149" t="str">
        <f t="shared" si="48"/>
        <v>92</v>
      </c>
      <c r="S585" s="150">
        <f t="shared" si="49"/>
        <v>0</v>
      </c>
      <c r="T585" s="152" t="str">
        <f>+VLOOKUP($L585,Data_Validation!$A:$D,1,0)</f>
        <v>92E</v>
      </c>
      <c r="U585" s="152" t="str">
        <f>+VLOOKUP($L585,Data_Validation!$A:$D,3,0)</f>
        <v>Service</v>
      </c>
      <c r="V585" s="152" t="str">
        <f>+VLOOKUP($L585,Data_Validation!$A:$D,4,0)</f>
        <v>Location équipement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1611</v>
      </c>
      <c r="B586" s="718" t="s">
        <v>775</v>
      </c>
      <c r="C586" s="720">
        <v>104.37</v>
      </c>
      <c r="D586" s="720">
        <v>34.79</v>
      </c>
      <c r="E586" s="720">
        <v>139.16</v>
      </c>
      <c r="F586" s="718" t="s">
        <v>2231</v>
      </c>
      <c r="G586" s="718" t="s">
        <v>2263</v>
      </c>
      <c r="H586" s="673"/>
      <c r="I586" s="672"/>
      <c r="J586" s="672"/>
      <c r="K586" s="672"/>
      <c r="L586" s="149" t="str">
        <f t="shared" si="45"/>
        <v>92G</v>
      </c>
      <c r="M586" s="150" t="str">
        <f t="shared" si="46"/>
        <v>LOCATION EQUIP. - PIECE BMW</v>
      </c>
      <c r="N586" s="151">
        <f>+IF(OR($Q586=Parametres!$G$2,$Q586=Parametres!$G$3),I586,C586)</f>
        <v>104.37</v>
      </c>
      <c r="O586" s="151">
        <f>+IF(OR($Q586=Parametres!$G$2,$Q586=Parametres!$G$3),J586,D586)</f>
        <v>34.79</v>
      </c>
      <c r="P586" s="151">
        <f>+IF(OR($Q586=Parametres!$G$2,$Q586=Parametres!$G$3),K586,E586)</f>
        <v>139.16</v>
      </c>
      <c r="Q586" s="150" t="str">
        <f t="shared" si="47"/>
        <v>7-Dépenses</v>
      </c>
      <c r="R586" s="149" t="str">
        <f t="shared" si="48"/>
        <v>92</v>
      </c>
      <c r="S586" s="150">
        <f t="shared" si="49"/>
        <v>0</v>
      </c>
      <c r="T586" s="152" t="str">
        <f>+VLOOKUP($L586,Data_Validation!$A:$D,1,0)</f>
        <v>92G</v>
      </c>
      <c r="U586" s="152" t="str">
        <f>+VLOOKUP($L586,Data_Validation!$A:$D,3,0)</f>
        <v>pièces</v>
      </c>
      <c r="V586" s="152" t="str">
        <f>+VLOOKUP($L586,Data_Validation!$A:$D,4,0)</f>
        <v>Location équipement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1606</v>
      </c>
      <c r="B587" s="718" t="s">
        <v>766</v>
      </c>
      <c r="C587" s="720">
        <v>13.05</v>
      </c>
      <c r="D587" s="720">
        <v>4.3499999999999996</v>
      </c>
      <c r="E587" s="720">
        <v>17.399999999999999</v>
      </c>
      <c r="F587" s="718" t="s">
        <v>2231</v>
      </c>
      <c r="G587" s="718" t="s">
        <v>2263</v>
      </c>
      <c r="H587" s="673"/>
      <c r="I587" s="672"/>
      <c r="J587" s="672"/>
      <c r="K587" s="672"/>
      <c r="L587" s="149" t="str">
        <f t="shared" si="45"/>
        <v>92I</v>
      </c>
      <c r="M587" s="150" t="str">
        <f t="shared" si="46"/>
        <v>LOCATION EQUIP. - CARROSSERIE BMW</v>
      </c>
      <c r="N587" s="151">
        <f>+IF(OR($Q587=Parametres!$G$2,$Q587=Parametres!$G$3),I587,C587)</f>
        <v>13.05</v>
      </c>
      <c r="O587" s="151">
        <f>+IF(OR($Q587=Parametres!$G$2,$Q587=Parametres!$G$3),J587,D587)</f>
        <v>4.3499999999999996</v>
      </c>
      <c r="P587" s="151">
        <f>+IF(OR($Q587=Parametres!$G$2,$Q587=Parametres!$G$3),K587,E587)</f>
        <v>17.399999999999999</v>
      </c>
      <c r="Q587" s="150" t="str">
        <f t="shared" si="47"/>
        <v>7-Dépenses</v>
      </c>
      <c r="R587" s="149" t="str">
        <f t="shared" si="48"/>
        <v>92</v>
      </c>
      <c r="S587" s="150">
        <f t="shared" si="49"/>
        <v>0</v>
      </c>
      <c r="T587" s="152" t="str">
        <f>+VLOOKUP($L587,Data_Validation!$A:$D,1,0)</f>
        <v>92I</v>
      </c>
      <c r="U587" s="152" t="str">
        <f>+VLOOKUP($L587,Data_Validation!$A:$D,3,0)</f>
        <v>carrosserie</v>
      </c>
      <c r="V587" s="152" t="str">
        <f>+VLOOKUP($L587,Data_Validation!$A:$D,4,0)</f>
        <v>Location équipement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2436</v>
      </c>
      <c r="B588" s="718" t="s">
        <v>2438</v>
      </c>
      <c r="C588" s="720">
        <v>0</v>
      </c>
      <c r="D588" s="720">
        <v>26602.95</v>
      </c>
      <c r="E588" s="720">
        <v>26602.95</v>
      </c>
      <c r="F588" s="718" t="s">
        <v>2231</v>
      </c>
      <c r="G588" s="718" t="s">
        <v>2438</v>
      </c>
      <c r="H588" s="673"/>
      <c r="I588" s="672"/>
      <c r="J588" s="672"/>
      <c r="K588" s="672"/>
      <c r="L588" s="149" t="str">
        <f t="shared" si="45"/>
        <v>99</v>
      </c>
      <c r="M588" s="150" t="str">
        <f t="shared" si="46"/>
        <v>IMPOTS SUR LE REVENU</v>
      </c>
      <c r="N588" s="151">
        <f>+IF(OR($Q588=Parametres!$G$2,$Q588=Parametres!$G$3),I588,C588)</f>
        <v>0</v>
      </c>
      <c r="O588" s="151">
        <f>+IF(OR($Q588=Parametres!$G$2,$Q588=Parametres!$G$3),J588,D588)</f>
        <v>26602.95</v>
      </c>
      <c r="P588" s="151">
        <f>+IF(OR($Q588=Parametres!$G$2,$Q588=Parametres!$G$3),K588,E588)</f>
        <v>26602.95</v>
      </c>
      <c r="Q588" s="150" t="str">
        <f t="shared" si="47"/>
        <v>7-Dépenses</v>
      </c>
      <c r="R588" s="149" t="str">
        <f t="shared" si="48"/>
        <v>99</v>
      </c>
      <c r="S588" s="150">
        <f t="shared" si="49"/>
        <v>0</v>
      </c>
      <c r="T588" s="152" t="str">
        <f>+VLOOKUP($L588,Data_Validation!$A:$D,1,0)</f>
        <v>99</v>
      </c>
      <c r="U588" s="152" t="str">
        <f>+VLOOKUP($L588,Data_Validation!$A:$D,3,0)</f>
        <v>TOTAL  DES  REVENUS  ET  DÉPENSES</v>
      </c>
      <c r="V588" s="152" t="str">
        <f>+VLOOKUP($L588,Data_Validation!$A:$D,4,0)</f>
        <v>Impôt exigible</v>
      </c>
      <c r="W588" s="152">
        <f>+VLOOKUP($L588,Data_Validation!$A:$E,5,0)</f>
        <v>0</v>
      </c>
      <c r="X588" s="152">
        <f>+VLOOKUP($L588,Data_Validation!$A:$F,6,0)</f>
        <v>0</v>
      </c>
    </row>
    <row r="589" spans="1:24" ht="15" customHeight="1">
      <c r="A589" s="718" t="s">
        <v>1479</v>
      </c>
      <c r="B589" s="718" t="s">
        <v>1480</v>
      </c>
      <c r="C589" s="720">
        <v>0</v>
      </c>
      <c r="D589" s="720">
        <v>-16.95</v>
      </c>
      <c r="E589" s="720">
        <v>-16.95</v>
      </c>
      <c r="F589" s="718" t="s">
        <v>2232</v>
      </c>
      <c r="G589" s="718" t="s">
        <v>1480</v>
      </c>
      <c r="H589" s="673"/>
      <c r="I589" s="672"/>
      <c r="J589" s="672"/>
      <c r="K589" s="672"/>
      <c r="L589" s="149" t="str">
        <f t="shared" si="45"/>
        <v>801</v>
      </c>
      <c r="M589" s="150" t="str">
        <f t="shared" si="46"/>
        <v>INTERETS GAGNES</v>
      </c>
      <c r="N589" s="151">
        <f>+IF(OR($Q589=Parametres!$G$2,$Q589=Parametres!$G$3),I589,C589)</f>
        <v>0</v>
      </c>
      <c r="O589" s="151">
        <f>+IF(OR($Q589=Parametres!$G$2,$Q589=Parametres!$G$3),J589,D589)</f>
        <v>-16.95</v>
      </c>
      <c r="P589" s="151">
        <f>+IF(OR($Q589=Parametres!$G$2,$Q589=Parametres!$G$3),K589,E589)</f>
        <v>-16.95</v>
      </c>
      <c r="Q589" s="150" t="str">
        <f t="shared" si="47"/>
        <v>8-Autres revenus</v>
      </c>
      <c r="R589" s="149" t="str">
        <f t="shared" si="48"/>
        <v>801</v>
      </c>
      <c r="S589" s="150">
        <f t="shared" si="49"/>
        <v>0</v>
      </c>
      <c r="T589" s="152" t="str">
        <f>+VLOOKUP($L589,Data_Validation!$A:$D,1,0)</f>
        <v>801</v>
      </c>
      <c r="U589" s="152" t="str">
        <f>+VLOOKUP($L589,Data_Validation!$A:$D,3,0)</f>
        <v>TOTAL  DES  REVENUS  ET  DÉPENSES</v>
      </c>
      <c r="V589" s="152" t="str">
        <f>+VLOOKUP($L589,Data_Validation!$A:$D,4,0)</f>
        <v>Revenus autres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138</v>
      </c>
      <c r="B590" s="718" t="s">
        <v>431</v>
      </c>
      <c r="C590" s="719">
        <v>-156961.38</v>
      </c>
      <c r="D590" s="719">
        <v>-1881.29</v>
      </c>
      <c r="E590" s="719">
        <v>-158842.67000000001</v>
      </c>
      <c r="F590" s="718" t="s">
        <v>2232</v>
      </c>
      <c r="G590" s="718" t="s">
        <v>431</v>
      </c>
      <c r="H590" s="719"/>
      <c r="I590" s="720"/>
      <c r="J590" s="720"/>
      <c r="K590" s="720"/>
      <c r="L590" s="149" t="str">
        <f t="shared" si="45"/>
        <v>805</v>
      </c>
      <c r="M590" s="150" t="str">
        <f t="shared" si="46"/>
        <v>AUTRES REVENUS</v>
      </c>
      <c r="N590" s="151">
        <f>+IF(OR($Q590=Parametres!$G$2,$Q590=Parametres!$G$3),I590,C590)</f>
        <v>-156961.38</v>
      </c>
      <c r="O590" s="504">
        <f>+IF(OR($Q590=Parametres!$G$2,$Q590=Parametres!$G$3),J590,D590)</f>
        <v>-1881.29</v>
      </c>
      <c r="P590" s="151">
        <f>+IF(OR($Q590=Parametres!$G$2,$Q590=Parametres!$G$3),K590,E590)</f>
        <v>-158842.67000000001</v>
      </c>
      <c r="Q590" s="150" t="str">
        <f t="shared" si="47"/>
        <v>8-Autres revenus</v>
      </c>
      <c r="R590" s="149" t="str">
        <f t="shared" si="48"/>
        <v>805</v>
      </c>
      <c r="S590" s="150">
        <f t="shared" si="49"/>
        <v>0</v>
      </c>
      <c r="T590" s="152" t="str">
        <f>+VLOOKUP($L590,Data_Validation!$A:$D,1,0)</f>
        <v>805</v>
      </c>
      <c r="U590" s="152" t="str">
        <f>+VLOOKUP($L590,Data_Validation!$A:$D,3,0)</f>
        <v>TOTAL  DES  REVENUS  ET  DÉPENSES</v>
      </c>
      <c r="V590" s="152" t="str">
        <f>+VLOOKUP($L590,Data_Validation!$A:$D,4,0)</f>
        <v>Revenus autres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1124</v>
      </c>
      <c r="B591" s="718" t="s">
        <v>441</v>
      </c>
      <c r="C591" s="719">
        <v>-21420</v>
      </c>
      <c r="D591" s="719">
        <v>-17850</v>
      </c>
      <c r="E591" s="719">
        <v>-39270</v>
      </c>
      <c r="F591" s="718" t="s">
        <v>2232</v>
      </c>
      <c r="G591" s="718" t="s">
        <v>2302</v>
      </c>
      <c r="H591" s="719"/>
      <c r="I591" s="720"/>
      <c r="J591" s="720"/>
      <c r="K591" s="720"/>
      <c r="L591" s="149" t="str">
        <f t="shared" si="45"/>
        <v>806A</v>
      </c>
      <c r="M591" s="150" t="str">
        <f t="shared" si="46"/>
        <v>FRAIS D'ADMINISTRATION NEUF</v>
      </c>
      <c r="N591" s="151">
        <f>+IF(OR($Q591=Parametres!$G$2,$Q591=Parametres!$G$3),I591,C591)</f>
        <v>-21420</v>
      </c>
      <c r="O591" s="505">
        <f>+IF(OR($Q591=Parametres!$G$2,$Q591=Parametres!$G$3),J591,D591)</f>
        <v>-17850</v>
      </c>
      <c r="P591" s="151">
        <f>+IF(OR($Q591=Parametres!$G$2,$Q591=Parametres!$G$3),K591,E591)</f>
        <v>-39270</v>
      </c>
      <c r="Q591" s="150" t="str">
        <f t="shared" si="47"/>
        <v>8-Autres revenus</v>
      </c>
      <c r="R591" s="149" t="str">
        <f t="shared" si="48"/>
        <v>806</v>
      </c>
      <c r="S591" s="150">
        <f t="shared" si="49"/>
        <v>0</v>
      </c>
      <c r="T591" s="152" t="str">
        <f>+VLOOKUP($L591,Data_Validation!$A:$D,1,0)</f>
        <v>806A</v>
      </c>
      <c r="U591" s="152" t="str">
        <f>+VLOOKUP($L591,Data_Validation!$A:$D,3,0)</f>
        <v>Véhicules neufs</v>
      </c>
      <c r="V591" s="152" t="str">
        <f>+VLOOKUP($L591,Data_Validation!$A:$D,4,0)</f>
        <v>Frais administration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1145</v>
      </c>
      <c r="B592" s="718" t="s">
        <v>448</v>
      </c>
      <c r="C592" s="719">
        <v>-19040</v>
      </c>
      <c r="D592" s="719">
        <v>-13090</v>
      </c>
      <c r="E592" s="719">
        <v>-32130</v>
      </c>
      <c r="F592" s="718" t="s">
        <v>2232</v>
      </c>
      <c r="G592" s="718" t="s">
        <v>2302</v>
      </c>
      <c r="H592" s="719"/>
      <c r="I592" s="720"/>
      <c r="J592" s="720"/>
      <c r="K592" s="720"/>
      <c r="L592" s="149" t="str">
        <f t="shared" si="45"/>
        <v>806C</v>
      </c>
      <c r="M592" s="150" t="str">
        <f t="shared" si="46"/>
        <v>FRAIS ADMINISTRATION USAGE</v>
      </c>
      <c r="N592" s="151">
        <f>+IF(OR($Q592=Parametres!$G$2,$Q592=Parametres!$G$3),I592,C592)</f>
        <v>-19040</v>
      </c>
      <c r="O592" s="504">
        <f>+IF(OR($Q592=Parametres!$G$2,$Q592=Parametres!$G$3),J592,D592)</f>
        <v>-13090</v>
      </c>
      <c r="P592" s="151">
        <f>+IF(OR($Q592=Parametres!$G$2,$Q592=Parametres!$G$3),K592,E592)</f>
        <v>-32130</v>
      </c>
      <c r="Q592" s="150" t="str">
        <f t="shared" si="47"/>
        <v>8-Autres revenus</v>
      </c>
      <c r="R592" s="149" t="str">
        <f t="shared" si="48"/>
        <v>806</v>
      </c>
      <c r="S592" s="150">
        <f t="shared" si="49"/>
        <v>0</v>
      </c>
      <c r="T592" s="152" t="str">
        <f>+VLOOKUP($L592,Data_Validation!$A:$D,1,0)</f>
        <v>806C</v>
      </c>
      <c r="U592" s="152" t="str">
        <f>+VLOOKUP($L592,Data_Validation!$A:$D,3,0)</f>
        <v>Véhicules usagés</v>
      </c>
      <c r="V592" s="152" t="str">
        <f>+VLOOKUP($L592,Data_Validation!$A:$D,4,0)</f>
        <v>Frais administration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1107</v>
      </c>
      <c r="B593" s="718" t="s">
        <v>434</v>
      </c>
      <c r="C593" s="719">
        <v>-35146.03</v>
      </c>
      <c r="D593" s="719">
        <v>-25721.54</v>
      </c>
      <c r="E593" s="719">
        <v>-60867.57</v>
      </c>
      <c r="F593" s="718" t="s">
        <v>2232</v>
      </c>
      <c r="G593" s="718" t="s">
        <v>2301</v>
      </c>
      <c r="H593" s="719"/>
      <c r="I593" s="720"/>
      <c r="J593" s="720"/>
      <c r="K593" s="720"/>
      <c r="L593" s="149" t="str">
        <f t="shared" si="45"/>
        <v>814A</v>
      </c>
      <c r="M593" s="150" t="str">
        <f t="shared" si="46"/>
        <v>MSP - BMW</v>
      </c>
      <c r="N593" s="151">
        <f>+IF(OR($Q593=Parametres!$G$2,$Q593=Parametres!$G$3),I593,C593)</f>
        <v>-35146.03</v>
      </c>
      <c r="O593" s="505">
        <f>+IF(OR($Q593=Parametres!$G$2,$Q593=Parametres!$G$3),J593,D593)</f>
        <v>-25721.54</v>
      </c>
      <c r="P593" s="151">
        <f>+IF(OR($Q593=Parametres!$G$2,$Q593=Parametres!$G$3),K593,E593)</f>
        <v>-60867.57</v>
      </c>
      <c r="Q593" s="150" t="str">
        <f t="shared" si="47"/>
        <v>8-Autres revenus</v>
      </c>
      <c r="R593" s="149" t="str">
        <f t="shared" si="48"/>
        <v>814</v>
      </c>
      <c r="S593" s="150">
        <f t="shared" si="49"/>
        <v>0</v>
      </c>
      <c r="T593" s="152" t="str">
        <f>+VLOOKUP($L593,Data_Validation!$A:$D,1,0)</f>
        <v>814A</v>
      </c>
      <c r="U593" s="152" t="str">
        <f>+VLOOKUP($L593,Data_Validation!$A:$D,3,0)</f>
        <v>TOTAL  DES  REVENUS  ET  DÉPENSES</v>
      </c>
      <c r="V593" s="152" t="str">
        <f>+VLOOKUP($L593,Data_Validation!$A:$D,4,0)</f>
        <v>Facility Fund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1099</v>
      </c>
      <c r="B594" s="718" t="s">
        <v>429</v>
      </c>
      <c r="C594" s="720">
        <v>-54320.01</v>
      </c>
      <c r="D594" s="720">
        <v>-56342.42</v>
      </c>
      <c r="E594" s="720">
        <v>-110662.43</v>
      </c>
      <c r="F594" s="718" t="s">
        <v>2232</v>
      </c>
      <c r="G594" s="718" t="s">
        <v>429</v>
      </c>
      <c r="H594" s="673"/>
      <c r="I594" s="672"/>
      <c r="J594" s="672"/>
      <c r="K594" s="672"/>
      <c r="L594" s="149" t="str">
        <f t="shared" si="45"/>
        <v>815</v>
      </c>
      <c r="M594" s="150" t="str">
        <f t="shared" si="46"/>
        <v>REVENU RBSC BMW</v>
      </c>
      <c r="N594" s="151">
        <f>+IF(OR($Q594=Parametres!$G$2,$Q594=Parametres!$G$3),I594,C594)</f>
        <v>-54320.01</v>
      </c>
      <c r="O594" s="151">
        <f>+IF(OR($Q594=Parametres!$G$2,$Q594=Parametres!$G$3),J594,D594)</f>
        <v>-56342.42</v>
      </c>
      <c r="P594" s="151">
        <f>+IF(OR($Q594=Parametres!$G$2,$Q594=Parametres!$G$3),K594,E594)</f>
        <v>-110662.43</v>
      </c>
      <c r="Q594" s="150" t="str">
        <f t="shared" si="47"/>
        <v>8-Autres revenus</v>
      </c>
      <c r="R594" s="149" t="str">
        <f t="shared" si="48"/>
        <v>815</v>
      </c>
      <c r="S594" s="150">
        <f t="shared" si="49"/>
        <v>0</v>
      </c>
      <c r="T594" s="152" t="str">
        <f>+VLOOKUP($L594,Data_Validation!$A:$D,1,0)</f>
        <v>815</v>
      </c>
      <c r="U594" s="152" t="str">
        <f>+VLOOKUP($L594,Data_Validation!$A:$D,3,0)</f>
        <v>Véhicules neufs</v>
      </c>
      <c r="V594" s="152" t="str">
        <f>+VLOOKUP($L594,Data_Validation!$A:$D,4,0)</f>
        <v>RBSC NEUF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439</v>
      </c>
      <c r="B595" s="718" t="s">
        <v>440</v>
      </c>
      <c r="C595" s="720">
        <v>-4800</v>
      </c>
      <c r="D595" s="720">
        <v>-2625</v>
      </c>
      <c r="E595" s="720">
        <v>-7425</v>
      </c>
      <c r="F595" s="718" t="s">
        <v>2232</v>
      </c>
      <c r="G595" s="718" t="s">
        <v>429</v>
      </c>
      <c r="H595" s="673"/>
      <c r="I595" s="672"/>
      <c r="J595" s="672"/>
      <c r="K595" s="672"/>
      <c r="L595" s="149" t="str">
        <f t="shared" si="45"/>
        <v>815C</v>
      </c>
      <c r="M595" s="150" t="str">
        <f t="shared" si="46"/>
        <v>REVENU RBSC BMW USAGE</v>
      </c>
      <c r="N595" s="151">
        <f>+IF(OR($Q595=Parametres!$G$2,$Q595=Parametres!$G$3),I595,C595)</f>
        <v>-4800</v>
      </c>
      <c r="O595" s="151">
        <f>+IF(OR($Q595=Parametres!$G$2,$Q595=Parametres!$G$3),J595,D595)</f>
        <v>-2625</v>
      </c>
      <c r="P595" s="151">
        <f>+IF(OR($Q595=Parametres!$G$2,$Q595=Parametres!$G$3),K595,E595)</f>
        <v>-7425</v>
      </c>
      <c r="Q595" s="150" t="str">
        <f t="shared" si="47"/>
        <v>8-Autres revenus</v>
      </c>
      <c r="R595" s="149" t="str">
        <f t="shared" si="48"/>
        <v>815</v>
      </c>
      <c r="S595" s="150">
        <f t="shared" si="49"/>
        <v>0</v>
      </c>
      <c r="T595" s="152" t="str">
        <f>+VLOOKUP($L595,Data_Validation!$A:$D,1,0)</f>
        <v>815C</v>
      </c>
      <c r="U595" s="152" t="str">
        <f>+VLOOKUP($L595,Data_Validation!$A:$D,3,0)</f>
        <v>Véhicules usagés</v>
      </c>
      <c r="V595" s="152" t="str">
        <f>+VLOOKUP($L595,Data_Validation!$A:$D,4,0)</f>
        <v>RBSC used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414</v>
      </c>
      <c r="B596" s="718" t="s">
        <v>415</v>
      </c>
      <c r="C596" s="720">
        <v>-26075</v>
      </c>
      <c r="D596" s="720">
        <v>0</v>
      </c>
      <c r="E596" s="720">
        <v>-26075</v>
      </c>
      <c r="F596" s="718" t="s">
        <v>2303</v>
      </c>
      <c r="G596" s="718" t="s">
        <v>415</v>
      </c>
      <c r="H596" s="607"/>
      <c r="I596" s="153"/>
      <c r="J596" s="153"/>
      <c r="K596" s="153"/>
      <c r="L596" s="149" t="str">
        <f t="shared" si="45"/>
        <v>817</v>
      </c>
      <c r="M596" s="150" t="str">
        <f t="shared" si="46"/>
        <v>REVENU PERFORMANCE 360</v>
      </c>
      <c r="N596" s="151">
        <f>+IF(OR($Q596=Parametres!$G$2,$Q596=Parametres!$G$3),I596,C596)</f>
        <v>-26075</v>
      </c>
      <c r="O596" s="151">
        <f>+IF(OR($Q596=Parametres!$G$2,$Q596=Parametres!$G$3),J596,D596)</f>
        <v>0</v>
      </c>
      <c r="P596" s="151">
        <f>+IF(OR($Q596=Parametres!$G$2,$Q596=Parametres!$G$3),K596,E596)</f>
        <v>-26075</v>
      </c>
      <c r="Q596" s="150" t="str">
        <f t="shared" si="47"/>
        <v>9-Autres déductions</v>
      </c>
      <c r="R596" s="149" t="str">
        <f t="shared" si="48"/>
        <v>817</v>
      </c>
      <c r="S596" s="150">
        <f t="shared" si="49"/>
        <v>0</v>
      </c>
      <c r="T596" s="152" t="str">
        <f>+VLOOKUP($L596,Data_Validation!$A:$D,1,0)</f>
        <v>817</v>
      </c>
      <c r="U596" s="152" t="str">
        <f>+VLOOKUP($L596,Data_Validation!$A:$D,3,0)</f>
        <v>Véhicules usagés</v>
      </c>
      <c r="V596" s="152" t="str">
        <f>+VLOOKUP($L596,Data_Validation!$A:$D,4,0)</f>
        <v>Programme 360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802</v>
      </c>
      <c r="B597" s="718" t="s">
        <v>803</v>
      </c>
      <c r="C597" s="720">
        <v>-446.69</v>
      </c>
      <c r="D597" s="720">
        <v>0</v>
      </c>
      <c r="E597" s="720">
        <v>-446.69</v>
      </c>
      <c r="F597" s="718" t="s">
        <v>2303</v>
      </c>
      <c r="G597" s="718" t="s">
        <v>2285</v>
      </c>
      <c r="H597" s="719"/>
      <c r="I597" s="719"/>
      <c r="J597" s="719"/>
      <c r="K597" s="719"/>
      <c r="L597" s="149" t="str">
        <f t="shared" si="45"/>
        <v>851</v>
      </c>
      <c r="M597" s="150" t="str">
        <f t="shared" si="46"/>
        <v>INTERETS PAYES</v>
      </c>
      <c r="N597" s="151">
        <f>+IF(OR($Q597=Parametres!$G$2,$Q597=Parametres!$G$3),I597,C597)</f>
        <v>-446.69</v>
      </c>
      <c r="O597" s="151">
        <f>+IF(OR($Q597=Parametres!$G$2,$Q597=Parametres!$G$3),J597,D597)</f>
        <v>0</v>
      </c>
      <c r="P597" s="151">
        <f>+IF(OR($Q597=Parametres!$G$2,$Q597=Parametres!$G$3),K597,E597)</f>
        <v>-446.69</v>
      </c>
      <c r="Q597" s="150" t="str">
        <f t="shared" si="47"/>
        <v>9-Autres déductions</v>
      </c>
      <c r="R597" s="149" t="str">
        <f t="shared" si="48"/>
        <v>73</v>
      </c>
      <c r="S597" s="150">
        <f t="shared" si="49"/>
        <v>0</v>
      </c>
      <c r="T597" s="152" t="str">
        <f>+VLOOKUP($L597,Data_Validation!$A:$D,1,0)</f>
        <v>851</v>
      </c>
      <c r="U597" s="152" t="str">
        <f>+VLOOKUP($L597,Data_Validation!$A:$D,3,0)</f>
        <v>TOTAL  DES  REVENUS  ET  DÉPENSES</v>
      </c>
      <c r="V597" s="152" t="str">
        <f>+VLOOKUP($L597,Data_Validation!$A:$D,4,0)</f>
        <v>Revenus autres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1483</v>
      </c>
      <c r="B598" s="718" t="s">
        <v>689</v>
      </c>
      <c r="C598" s="720"/>
      <c r="D598" s="720"/>
      <c r="E598" s="720"/>
      <c r="F598" s="718" t="s">
        <v>4</v>
      </c>
      <c r="G598" s="718" t="s">
        <v>353</v>
      </c>
      <c r="H598" s="719"/>
      <c r="I598" s="719">
        <v>24</v>
      </c>
      <c r="J598" s="719">
        <v>-3</v>
      </c>
      <c r="K598" s="719">
        <v>21</v>
      </c>
      <c r="L598" s="149" t="str">
        <f t="shared" si="45"/>
        <v>230@</v>
      </c>
      <c r="M598" s="150" t="str">
        <f t="shared" si="46"/>
        <v># DE VOITURES NEUVES BMW</v>
      </c>
      <c r="N598" s="151">
        <f>+IF(OR($Q598=Parametres!$G$2,$Q598=Parametres!$G$3),I598,C598)</f>
        <v>24</v>
      </c>
      <c r="O598" s="504">
        <f>+IF(OR($Q598=Parametres!$G$2,$Q598=Parametres!$G$3),J598,D598)</f>
        <v>-3</v>
      </c>
      <c r="P598" s="151">
        <f>+IF(OR($Q598=Parametres!$G$2,$Q598=Parametres!$G$3),K598,E598)</f>
        <v>21</v>
      </c>
      <c r="Q598" s="150" t="str">
        <f t="shared" si="47"/>
        <v>10-Compte compteur</v>
      </c>
      <c r="R598" s="149" t="str">
        <f t="shared" si="48"/>
        <v>230</v>
      </c>
      <c r="S598" s="150">
        <f t="shared" si="49"/>
        <v>0</v>
      </c>
      <c r="T598" s="152" t="str">
        <f>+VLOOKUP($L598,Data_Validation!$A:$D,1,0)</f>
        <v>230@</v>
      </c>
      <c r="U598" s="152" t="str">
        <f>+VLOOKUP($L598,Data_Validation!$A:$D,3,0)</f>
        <v>Autres</v>
      </c>
      <c r="V598" s="152">
        <f>+VLOOKUP($L598,Data_Validation!$A:$D,4,0)</f>
        <v>0</v>
      </c>
      <c r="W598" s="152">
        <f>+VLOOKUP($L598,Data_Validation!$A:$E,5,0)</f>
        <v>0</v>
      </c>
      <c r="X598" s="152">
        <f>+VLOOKUP($L598,Data_Validation!$A:$F,6,0)</f>
        <v>0</v>
      </c>
    </row>
    <row r="599" spans="1:24" ht="15" customHeight="1">
      <c r="A599" s="718" t="s">
        <v>1484</v>
      </c>
      <c r="B599" s="718" t="s">
        <v>690</v>
      </c>
      <c r="C599" s="720"/>
      <c r="D599" s="720"/>
      <c r="E599" s="720"/>
      <c r="F599" s="718" t="s">
        <v>4</v>
      </c>
      <c r="G599" s="718" t="s">
        <v>383</v>
      </c>
      <c r="H599" s="719"/>
      <c r="I599" s="719">
        <v>32</v>
      </c>
      <c r="J599" s="719">
        <v>-1</v>
      </c>
      <c r="K599" s="719">
        <v>31</v>
      </c>
      <c r="L599" s="149" t="str">
        <f t="shared" si="45"/>
        <v>232@</v>
      </c>
      <c r="M599" s="150" t="str">
        <f t="shared" si="46"/>
        <v># DE CAMIONS NEUFS BMW</v>
      </c>
      <c r="N599" s="151">
        <f>+IF(OR($Q599=Parametres!$G$2,$Q599=Parametres!$G$3),I599,C599)</f>
        <v>32</v>
      </c>
      <c r="O599" s="151">
        <f>+IF(OR($Q599=Parametres!$G$2,$Q599=Parametres!$G$3),J599,D599)</f>
        <v>-1</v>
      </c>
      <c r="P599" s="151">
        <f>+IF(OR($Q599=Parametres!$G$2,$Q599=Parametres!$G$3),K599,E599)</f>
        <v>31</v>
      </c>
      <c r="Q599" s="150" t="str">
        <f t="shared" si="47"/>
        <v>10-Compte compteur</v>
      </c>
      <c r="R599" s="149" t="str">
        <f t="shared" si="48"/>
        <v>232</v>
      </c>
      <c r="S599" s="150">
        <f t="shared" si="49"/>
        <v>0</v>
      </c>
      <c r="T599" s="152" t="str">
        <f>+VLOOKUP($L599,Data_Validation!$A:$D,1,0)</f>
        <v>232@</v>
      </c>
      <c r="U599" s="152" t="str">
        <f>+VLOOKUP($L599,Data_Validation!$A:$D,3,0)</f>
        <v>Autres</v>
      </c>
      <c r="V599" s="152">
        <f>+VLOOKUP($L599,Data_Validation!$A:$D,4,0)</f>
        <v>0</v>
      </c>
      <c r="W599" s="152">
        <f>+VLOOKUP($L599,Data_Validation!$A:$E,5,0)</f>
        <v>0</v>
      </c>
      <c r="X599" s="152">
        <f>+VLOOKUP($L599,Data_Validation!$A:$F,6,0)</f>
        <v>0</v>
      </c>
    </row>
    <row r="600" spans="1:24" ht="15" customHeight="1">
      <c r="A600" s="718" t="s">
        <v>1876</v>
      </c>
      <c r="B600" s="718" t="s">
        <v>1002</v>
      </c>
      <c r="C600" s="720"/>
      <c r="D600" s="720"/>
      <c r="E600" s="720"/>
      <c r="F600" s="718" t="s">
        <v>4</v>
      </c>
      <c r="G600" s="718" t="s">
        <v>354</v>
      </c>
      <c r="H600" s="607"/>
      <c r="I600" s="153">
        <v>16</v>
      </c>
      <c r="J600" s="153">
        <v>5</v>
      </c>
      <c r="K600" s="153">
        <v>21</v>
      </c>
      <c r="L600" s="149" t="str">
        <f t="shared" si="45"/>
        <v>234@</v>
      </c>
      <c r="M600" s="150" t="str">
        <f t="shared" si="46"/>
        <v># OF INVENTAIRE VEHICULES I</v>
      </c>
      <c r="N600" s="151">
        <f>+IF(OR($Q600=Parametres!$G$2,$Q600=Parametres!$G$3),I600,C600)</f>
        <v>16</v>
      </c>
      <c r="O600" s="151">
        <f>+IF(OR($Q600=Parametres!$G$2,$Q600=Parametres!$G$3),J600,D600)</f>
        <v>5</v>
      </c>
      <c r="P600" s="151">
        <f>+IF(OR($Q600=Parametres!$G$2,$Q600=Parametres!$G$3),K600,E600)</f>
        <v>21</v>
      </c>
      <c r="Q600" s="150" t="str">
        <f t="shared" si="47"/>
        <v>10-Compte compteur</v>
      </c>
      <c r="R600" s="149" t="str">
        <f t="shared" si="48"/>
        <v>234</v>
      </c>
      <c r="S600" s="150">
        <f t="shared" si="49"/>
        <v>0</v>
      </c>
      <c r="T600" s="152" t="str">
        <f>+VLOOKUP($L600,Data_Validation!$A:$D,1,0)</f>
        <v>234@</v>
      </c>
      <c r="U600" s="152" t="str">
        <f>+VLOOKUP($L600,Data_Validation!$A:$D,3,0)</f>
        <v>Autres</v>
      </c>
      <c r="V600" s="152">
        <f>+VLOOKUP($L600,Data_Validation!$A:$D,4,0)</f>
        <v>0</v>
      </c>
      <c r="W600" s="152">
        <f>+VLOOKUP($L600,Data_Validation!$A:$E,5,0)</f>
        <v>0</v>
      </c>
      <c r="X600" s="152">
        <f>+VLOOKUP($L600,Data_Validation!$A:$F,6,0)</f>
        <v>0</v>
      </c>
    </row>
    <row r="601" spans="1:24" ht="15" customHeight="1">
      <c r="A601" s="718" t="s">
        <v>1485</v>
      </c>
      <c r="B601" s="718" t="s">
        <v>691</v>
      </c>
      <c r="C601" s="720"/>
      <c r="D601" s="720"/>
      <c r="E601" s="720"/>
      <c r="F601" s="718" t="s">
        <v>4</v>
      </c>
      <c r="G601" s="718" t="s">
        <v>409</v>
      </c>
      <c r="H601" s="607"/>
      <c r="I601" s="153">
        <v>12</v>
      </c>
      <c r="J601" s="153">
        <v>5</v>
      </c>
      <c r="K601" s="153">
        <v>17</v>
      </c>
      <c r="L601" s="149" t="str">
        <f t="shared" si="45"/>
        <v>240A@</v>
      </c>
      <c r="M601" s="150" t="str">
        <f t="shared" si="46"/>
        <v># DE VOITURES USAGEES BMW</v>
      </c>
      <c r="N601" s="151">
        <f>+IF(OR($Q601=Parametres!$G$2,$Q601=Parametres!$G$3),I601,C601)</f>
        <v>12</v>
      </c>
      <c r="O601" s="504">
        <f>+IF(OR($Q601=Parametres!$G$2,$Q601=Parametres!$G$3),J601,D601)</f>
        <v>5</v>
      </c>
      <c r="P601" s="151">
        <f>+IF(OR($Q601=Parametres!$G$2,$Q601=Parametres!$G$3),K601,E601)</f>
        <v>17</v>
      </c>
      <c r="Q601" s="150" t="str">
        <f t="shared" si="47"/>
        <v>10-Compte compteur</v>
      </c>
      <c r="R601" s="149" t="str">
        <f t="shared" si="48"/>
        <v>240A</v>
      </c>
      <c r="S601" s="150">
        <f t="shared" si="49"/>
        <v>0</v>
      </c>
      <c r="T601" s="152" t="str">
        <f>+VLOOKUP($L601,Data_Validation!$A:$D,1,0)</f>
        <v>240A@</v>
      </c>
      <c r="U601" s="152" t="str">
        <f>+VLOOKUP($L601,Data_Validation!$A:$D,3,0)</f>
        <v>Autres</v>
      </c>
      <c r="V601" s="152">
        <f>+VLOOKUP($L601,Data_Validation!$A:$D,4,0)</f>
        <v>0</v>
      </c>
      <c r="W601" s="152">
        <f>+VLOOKUP($L601,Data_Validation!$A:$E,5,0)</f>
        <v>0</v>
      </c>
      <c r="X601" s="152">
        <f>+VLOOKUP($L601,Data_Validation!$A:$F,6,0)</f>
        <v>0</v>
      </c>
    </row>
    <row r="602" spans="1:24" ht="15" customHeight="1">
      <c r="A602" s="718" t="s">
        <v>1486</v>
      </c>
      <c r="B602" s="718" t="s">
        <v>692</v>
      </c>
      <c r="C602" s="720"/>
      <c r="D602" s="720"/>
      <c r="E602" s="720"/>
      <c r="F602" s="718" t="s">
        <v>4</v>
      </c>
      <c r="G602" s="718" t="s">
        <v>433</v>
      </c>
      <c r="H602" s="719"/>
      <c r="I602" s="719">
        <v>26</v>
      </c>
      <c r="J602" s="719">
        <v>-2</v>
      </c>
      <c r="K602" s="719">
        <v>24</v>
      </c>
      <c r="L602" s="149" t="str">
        <f t="shared" si="45"/>
        <v>240C@</v>
      </c>
      <c r="M602" s="150" t="str">
        <f t="shared" si="46"/>
        <v># DE VEHICULES USAGES AUTRES</v>
      </c>
      <c r="N602" s="151">
        <f>+IF(OR($Q602=Parametres!$G$2,$Q602=Parametres!$G$3),I602,C602)</f>
        <v>26</v>
      </c>
      <c r="O602" s="504">
        <f>+IF(OR($Q602=Parametres!$G$2,$Q602=Parametres!$G$3),J602,D602)</f>
        <v>-2</v>
      </c>
      <c r="P602" s="151">
        <f>+IF(OR($Q602=Parametres!$G$2,$Q602=Parametres!$G$3),K602,E602)</f>
        <v>24</v>
      </c>
      <c r="Q602" s="150" t="str">
        <f t="shared" si="47"/>
        <v>10-Compte compteur</v>
      </c>
      <c r="R602" s="149" t="str">
        <f t="shared" si="48"/>
        <v>240C</v>
      </c>
      <c r="S602" s="150">
        <f t="shared" si="49"/>
        <v>0</v>
      </c>
      <c r="T602" s="152" t="str">
        <f>+VLOOKUP($L602,Data_Validation!$A:$D,1,0)</f>
        <v>240C@</v>
      </c>
      <c r="U602" s="152" t="str">
        <f>+VLOOKUP($L602,Data_Validation!$A:$D,3,0)</f>
        <v>Autres</v>
      </c>
      <c r="V602" s="152">
        <f>+VLOOKUP($L602,Data_Validation!$A:$D,4,0)</f>
        <v>0</v>
      </c>
      <c r="W602" s="152">
        <f>+VLOOKUP($L602,Data_Validation!$A:$E,5,0)</f>
        <v>0</v>
      </c>
      <c r="X602" s="152">
        <f>+VLOOKUP($L602,Data_Validation!$A:$F,6,0)</f>
        <v>0</v>
      </c>
    </row>
    <row r="603" spans="1:24" ht="15" customHeight="1">
      <c r="A603" s="718" t="s">
        <v>1487</v>
      </c>
      <c r="B603" s="718" t="s">
        <v>1036</v>
      </c>
      <c r="C603" s="720"/>
      <c r="D603" s="720"/>
      <c r="E603" s="720"/>
      <c r="F603" s="718" t="s">
        <v>4</v>
      </c>
      <c r="G603" s="718" t="s">
        <v>820</v>
      </c>
      <c r="H603" s="719"/>
      <c r="I603" s="719">
        <v>18</v>
      </c>
      <c r="J603" s="719">
        <v>-1</v>
      </c>
      <c r="K603" s="719">
        <v>17</v>
      </c>
      <c r="L603" s="149" t="str">
        <f t="shared" si="45"/>
        <v>242A@</v>
      </c>
      <c r="M603" s="150" t="str">
        <f t="shared" si="46"/>
        <v># DE CAMIONS USAGES BMW</v>
      </c>
      <c r="N603" s="151">
        <f>+IF(OR($Q603=Parametres!$G$2,$Q603=Parametres!$G$3),I603,C603)</f>
        <v>18</v>
      </c>
      <c r="O603" s="504">
        <f>+IF(OR($Q603=Parametres!$G$2,$Q603=Parametres!$G$3),J603,D603)</f>
        <v>-1</v>
      </c>
      <c r="P603" s="151">
        <f>+IF(OR($Q603=Parametres!$G$2,$Q603=Parametres!$G$3),K603,E603)</f>
        <v>17</v>
      </c>
      <c r="Q603" s="150" t="str">
        <f t="shared" si="47"/>
        <v>10-Compte compteur</v>
      </c>
      <c r="R603" s="149" t="str">
        <f t="shared" si="48"/>
        <v>242A</v>
      </c>
      <c r="S603" s="150">
        <f t="shared" si="49"/>
        <v>0</v>
      </c>
      <c r="T603" s="152" t="str">
        <f>+VLOOKUP($L603,Data_Validation!$A:$D,1,0)</f>
        <v>242A@</v>
      </c>
      <c r="U603" s="152" t="str">
        <f>+VLOOKUP($L603,Data_Validation!$A:$D,3,0)</f>
        <v>Autres</v>
      </c>
      <c r="V603" s="152">
        <f>+VLOOKUP($L603,Data_Validation!$A:$D,4,0)</f>
        <v>0</v>
      </c>
      <c r="W603" s="152">
        <f>+VLOOKUP($L603,Data_Validation!$A:$E,5,0)</f>
        <v>0</v>
      </c>
      <c r="X603" s="152">
        <f>+VLOOKUP($L603,Data_Validation!$A:$F,6,0)</f>
        <v>0</v>
      </c>
    </row>
    <row r="604" spans="1:24" ht="15" customHeight="1">
      <c r="A604" s="718" t="s">
        <v>2356</v>
      </c>
      <c r="B604" s="718" t="s">
        <v>2357</v>
      </c>
      <c r="C604" s="720"/>
      <c r="D604" s="720"/>
      <c r="E604" s="720"/>
      <c r="F604" s="718" t="s">
        <v>4</v>
      </c>
      <c r="G604" s="718" t="s">
        <v>2345</v>
      </c>
      <c r="H604" s="607"/>
      <c r="I604" s="608">
        <v>-1</v>
      </c>
      <c r="J604" s="608">
        <v>-1</v>
      </c>
      <c r="K604" s="608">
        <v>-2</v>
      </c>
      <c r="L604" s="149" t="str">
        <f t="shared" si="45"/>
        <v>402B@</v>
      </c>
      <c r="M604" s="150" t="str">
        <f t="shared" si="46"/>
        <v># DE VTE - IX XDRIVE 50</v>
      </c>
      <c r="N604" s="151">
        <f>+IF(OR($Q604=Parametres!$G$2,$Q604=Parametres!$G$3),I604,C604)</f>
        <v>-1</v>
      </c>
      <c r="O604" s="151">
        <f>+IF(OR($Q604=Parametres!$G$2,$Q604=Parametres!$G$3),J604,D604)</f>
        <v>-1</v>
      </c>
      <c r="P604" s="151">
        <f>+IF(OR($Q604=Parametres!$G$2,$Q604=Parametres!$G$3),K604,E604)</f>
        <v>-2</v>
      </c>
      <c r="Q604" s="150" t="str">
        <f t="shared" si="47"/>
        <v>10-Compte compteur</v>
      </c>
      <c r="R604" s="149" t="str">
        <f t="shared" si="48"/>
        <v>402B</v>
      </c>
      <c r="S604" s="150">
        <f t="shared" si="49"/>
        <v>0</v>
      </c>
      <c r="T604" s="152" t="str">
        <f>+VLOOKUP($L604,Data_Validation!$A:$D,1,0)</f>
        <v>402B@</v>
      </c>
      <c r="U604" s="152" t="str">
        <f>+VLOOKUP($L604,Data_Validation!$A:$D,3,0)</f>
        <v>Véhicules neufs</v>
      </c>
      <c r="V604" s="152" t="str">
        <f>+VLOOKUP($L604,Data_Validation!$A:$D,4,0)</f>
        <v>Camions détail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718" t="s">
        <v>2360</v>
      </c>
      <c r="B605" s="718" t="s">
        <v>2361</v>
      </c>
      <c r="C605" s="720"/>
      <c r="D605" s="720"/>
      <c r="E605" s="720"/>
      <c r="F605" s="718" t="s">
        <v>4</v>
      </c>
      <c r="G605" s="718" t="s">
        <v>2349</v>
      </c>
      <c r="H605" s="607"/>
      <c r="I605" s="608">
        <v>-3</v>
      </c>
      <c r="J605" s="608">
        <v>-2</v>
      </c>
      <c r="K605" s="608">
        <v>-5</v>
      </c>
      <c r="L605" s="149" t="str">
        <f t="shared" si="45"/>
        <v>404I@</v>
      </c>
      <c r="M605" s="150" t="str">
        <f t="shared" si="46"/>
        <v># OF VTES -i4 eDRIVE40 GRAN COUPE</v>
      </c>
      <c r="N605" s="151">
        <f>+IF(OR($Q605=Parametres!$G$2,$Q605=Parametres!$G$3),I605,C605)</f>
        <v>-3</v>
      </c>
      <c r="O605" s="151">
        <f>+IF(OR($Q605=Parametres!$G$2,$Q605=Parametres!$G$3),J605,D605)</f>
        <v>-2</v>
      </c>
      <c r="P605" s="151">
        <f>+IF(OR($Q605=Parametres!$G$2,$Q605=Parametres!$G$3),K605,E605)</f>
        <v>-5</v>
      </c>
      <c r="Q605" s="150" t="str">
        <f t="shared" si="47"/>
        <v>10-Compte compteur</v>
      </c>
      <c r="R605" s="149" t="str">
        <f t="shared" si="48"/>
        <v>404I</v>
      </c>
      <c r="S605" s="150">
        <f t="shared" si="49"/>
        <v>0</v>
      </c>
      <c r="T605" s="152" t="str">
        <f>+VLOOKUP($L605,Data_Validation!$A:$D,1,0)</f>
        <v>404I@</v>
      </c>
      <c r="U605" s="152" t="str">
        <f>+VLOOKUP($L605,Data_Validation!$A:$D,3,0)</f>
        <v>Véhicules neufs</v>
      </c>
      <c r="V605" s="152" t="str">
        <f>+VLOOKUP($L605,Data_Validation!$A:$D,4,0)</f>
        <v>Autos détail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718" t="s">
        <v>1488</v>
      </c>
      <c r="B606" s="718" t="s">
        <v>694</v>
      </c>
      <c r="C606" s="720"/>
      <c r="D606" s="720"/>
      <c r="E606" s="720"/>
      <c r="F606" s="718" t="s">
        <v>4</v>
      </c>
      <c r="G606" s="718" t="s">
        <v>606</v>
      </c>
      <c r="H606" s="607"/>
      <c r="I606" s="153">
        <v>0</v>
      </c>
      <c r="J606" s="153">
        <v>-1</v>
      </c>
      <c r="K606" s="153">
        <v>-1</v>
      </c>
      <c r="L606" s="149" t="str">
        <f t="shared" si="45"/>
        <v>405B@</v>
      </c>
      <c r="M606" s="150" t="str">
        <f t="shared" si="46"/>
        <v># DE VTE - 430I XDRIVE CABRIOLET</v>
      </c>
      <c r="N606" s="151">
        <f>+IF(OR($Q606=Parametres!$G$2,$Q606=Parametres!$G$3),I606,C606)</f>
        <v>0</v>
      </c>
      <c r="O606" s="151">
        <f>+IF(OR($Q606=Parametres!$G$2,$Q606=Parametres!$G$3),J606,D606)</f>
        <v>-1</v>
      </c>
      <c r="P606" s="151">
        <f>+IF(OR($Q606=Parametres!$G$2,$Q606=Parametres!$G$3),K606,E606)</f>
        <v>-1</v>
      </c>
      <c r="Q606" s="150" t="str">
        <f t="shared" si="47"/>
        <v>10-Compte compteur</v>
      </c>
      <c r="R606" s="149" t="str">
        <f t="shared" si="48"/>
        <v>405B</v>
      </c>
      <c r="S606" s="150">
        <f t="shared" si="49"/>
        <v>0</v>
      </c>
      <c r="T606" s="152" t="str">
        <f>+VLOOKUP($L606,Data_Validation!$A:$D,1,0)</f>
        <v>405B@</v>
      </c>
      <c r="U606" s="152" t="str">
        <f>+VLOOKUP($L606,Data_Validation!$A:$D,3,0)</f>
        <v>Véhicules neufs</v>
      </c>
      <c r="V606" s="152" t="str">
        <f>+VLOOKUP($L606,Data_Validation!$A:$D,4,0)</f>
        <v>Autos détail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718" t="s">
        <v>2487</v>
      </c>
      <c r="B607" s="718" t="s">
        <v>2488</v>
      </c>
      <c r="C607" s="720"/>
      <c r="D607" s="720"/>
      <c r="E607" s="720"/>
      <c r="F607" s="718" t="s">
        <v>4</v>
      </c>
      <c r="G607" s="718" t="s">
        <v>2480</v>
      </c>
      <c r="H607" s="673"/>
      <c r="I607" s="672">
        <v>-1</v>
      </c>
      <c r="J607" s="672">
        <v>-3</v>
      </c>
      <c r="K607" s="672">
        <v>-4</v>
      </c>
      <c r="L607" s="149" t="str">
        <f t="shared" si="45"/>
        <v>405C@</v>
      </c>
      <c r="M607" s="150" t="str">
        <f t="shared" si="46"/>
        <v># DE VTE - 435I CABRIOLET</v>
      </c>
      <c r="N607" s="151">
        <f>+IF(OR($Q607=Parametres!$G$2,$Q607=Parametres!$G$3),I607,C607)</f>
        <v>-1</v>
      </c>
      <c r="O607" s="151">
        <f>+IF(OR($Q607=Parametres!$G$2,$Q607=Parametres!$G$3),J607,D607)</f>
        <v>-3</v>
      </c>
      <c r="P607" s="151">
        <f>+IF(OR($Q607=Parametres!$G$2,$Q607=Parametres!$G$3),K607,E607)</f>
        <v>-4</v>
      </c>
      <c r="Q607" s="150" t="str">
        <f t="shared" si="47"/>
        <v>10-Compte compteur</v>
      </c>
      <c r="R607" s="149" t="str">
        <f t="shared" si="48"/>
        <v>405C</v>
      </c>
      <c r="S607" s="150">
        <f t="shared" si="49"/>
        <v>0</v>
      </c>
      <c r="T607" s="152" t="str">
        <f>+VLOOKUP($L607,Data_Validation!$A:$D,1,0)</f>
        <v>405C@</v>
      </c>
      <c r="U607" s="152" t="str">
        <f>+VLOOKUP($L607,Data_Validation!$A:$D,3,0)</f>
        <v>Véhicules neufs</v>
      </c>
      <c r="V607" s="152" t="str">
        <f>+VLOOKUP($L607,Data_Validation!$A:$D,4,0)</f>
        <v>Autos détail</v>
      </c>
      <c r="W607" s="152" t="str">
        <f>+VLOOKUP($L607,Data_Validation!$A:$E,5,0)</f>
        <v>NB</v>
      </c>
      <c r="X607" s="152" t="str">
        <f>+VLOOKUP($L607,Data_Validation!$A:$F,6,0)</f>
        <v>oui</v>
      </c>
    </row>
    <row r="608" spans="1:24" ht="15" customHeight="1">
      <c r="A608" s="718" t="s">
        <v>1877</v>
      </c>
      <c r="B608" s="718" t="s">
        <v>696</v>
      </c>
      <c r="C608" s="720"/>
      <c r="D608" s="720"/>
      <c r="E608" s="720"/>
      <c r="F608" s="718" t="s">
        <v>4</v>
      </c>
      <c r="G608" s="718" t="s">
        <v>608</v>
      </c>
      <c r="H608" s="673"/>
      <c r="I608" s="672">
        <v>0</v>
      </c>
      <c r="J608" s="672">
        <v>-1</v>
      </c>
      <c r="K608" s="672">
        <v>-1</v>
      </c>
      <c r="L608" s="149" t="str">
        <f t="shared" si="45"/>
        <v>405F@</v>
      </c>
      <c r="M608" s="150" t="str">
        <f t="shared" si="46"/>
        <v># DE VTE - 440I XDRIVE GRAN COUPE</v>
      </c>
      <c r="N608" s="151">
        <f>+IF(OR($Q608=Parametres!$G$2,$Q608=Parametres!$G$3),I608,C608)</f>
        <v>0</v>
      </c>
      <c r="O608" s="504">
        <f>+IF(OR($Q608=Parametres!$G$2,$Q608=Parametres!$G$3),J608,D608)</f>
        <v>-1</v>
      </c>
      <c r="P608" s="151">
        <f>+IF(OR($Q608=Parametres!$G$2,$Q608=Parametres!$G$3),K608,E608)</f>
        <v>-1</v>
      </c>
      <c r="Q608" s="150" t="str">
        <f t="shared" si="47"/>
        <v>10-Compte compteur</v>
      </c>
      <c r="R608" s="149" t="str">
        <f t="shared" si="48"/>
        <v>405F</v>
      </c>
      <c r="S608" s="150">
        <f t="shared" si="49"/>
        <v>0</v>
      </c>
      <c r="T608" s="152" t="str">
        <f>+VLOOKUP($L608,Data_Validation!$A:$D,1,0)</f>
        <v>405F@</v>
      </c>
      <c r="U608" s="152" t="str">
        <f>+VLOOKUP($L608,Data_Validation!$A:$D,3,0)</f>
        <v>Véhicules neufs</v>
      </c>
      <c r="V608" s="152" t="str">
        <f>+VLOOKUP($L608,Data_Validation!$A:$D,4,0)</f>
        <v>Autos détail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718" t="s">
        <v>2381</v>
      </c>
      <c r="B609" s="718" t="s">
        <v>2382</v>
      </c>
      <c r="C609" s="720"/>
      <c r="D609" s="720"/>
      <c r="E609" s="720"/>
      <c r="F609" s="718" t="s">
        <v>4</v>
      </c>
      <c r="G609" s="718" t="s">
        <v>2489</v>
      </c>
      <c r="H609" s="719"/>
      <c r="I609" s="719">
        <v>0</v>
      </c>
      <c r="J609" s="719">
        <v>-1</v>
      </c>
      <c r="K609" s="719">
        <v>-1</v>
      </c>
      <c r="L609" s="149" t="str">
        <f t="shared" si="45"/>
        <v>405H@</v>
      </c>
      <c r="M609" s="150" t="str">
        <f t="shared" si="46"/>
        <v>M4 CABRIOLET</v>
      </c>
      <c r="N609" s="151">
        <f>+IF(OR($Q609=Parametres!$G$2,$Q609=Parametres!$G$3),I609,C609)</f>
        <v>0</v>
      </c>
      <c r="O609" s="504">
        <f>+IF(OR($Q609=Parametres!$G$2,$Q609=Parametres!$G$3),J609,D609)</f>
        <v>-1</v>
      </c>
      <c r="P609" s="151">
        <f>+IF(OR($Q609=Parametres!$G$2,$Q609=Parametres!$G$3),K609,E609)</f>
        <v>-1</v>
      </c>
      <c r="Q609" s="150" t="str">
        <f t="shared" si="47"/>
        <v>10-Compte compteur</v>
      </c>
      <c r="R609" s="149" t="str">
        <f t="shared" si="48"/>
        <v>405</v>
      </c>
      <c r="S609" s="150">
        <f t="shared" si="49"/>
        <v>0</v>
      </c>
      <c r="T609" s="152" t="str">
        <f>+VLOOKUP($L609,Data_Validation!$A:$D,1,0)</f>
        <v>405H@</v>
      </c>
      <c r="U609" s="152" t="str">
        <f>+VLOOKUP($L609,Data_Validation!$A:$D,3,0)</f>
        <v>Véhicules neufs</v>
      </c>
      <c r="V609" s="152" t="str">
        <f>+VLOOKUP($L609,Data_Validation!$A:$D,4,0)</f>
        <v>Autos détail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71" t="s">
        <v>2153</v>
      </c>
      <c r="B610" s="671" t="s">
        <v>2154</v>
      </c>
      <c r="C610" s="672"/>
      <c r="D610" s="672"/>
      <c r="E610" s="672"/>
      <c r="F610" s="671" t="s">
        <v>4</v>
      </c>
      <c r="G610" s="671" t="s">
        <v>2146</v>
      </c>
      <c r="H610" s="666"/>
      <c r="I610" s="665">
        <v>0</v>
      </c>
      <c r="J610" s="665">
        <v>-1</v>
      </c>
      <c r="K610" s="665">
        <v>-1</v>
      </c>
      <c r="L610" s="149" t="str">
        <f t="shared" si="45"/>
        <v>405J@</v>
      </c>
      <c r="M610" s="150" t="str">
        <f t="shared" si="46"/>
        <v># OF VTES -M4 COMPETITION</v>
      </c>
      <c r="N610" s="151">
        <f>+IF(OR($Q610=Parametres!$G$2,$Q610=Parametres!$G$3),I610,C610)</f>
        <v>0</v>
      </c>
      <c r="O610" s="151">
        <f>+IF(OR($Q610=Parametres!$G$2,$Q610=Parametres!$G$3),J610,D610)</f>
        <v>-1</v>
      </c>
      <c r="P610" s="151">
        <f>+IF(OR($Q610=Parametres!$G$2,$Q610=Parametres!$G$3),K610,E610)</f>
        <v>-1</v>
      </c>
      <c r="Q610" s="150" t="str">
        <f t="shared" si="47"/>
        <v>10-Compte compteur</v>
      </c>
      <c r="R610" s="149" t="str">
        <f t="shared" si="48"/>
        <v>405J</v>
      </c>
      <c r="S610" s="150">
        <f t="shared" si="49"/>
        <v>0</v>
      </c>
      <c r="T610" s="152" t="str">
        <f>+VLOOKUP($L610,Data_Validation!$A:$D,1,0)</f>
        <v>405J@</v>
      </c>
      <c r="U610" s="152" t="str">
        <f>+VLOOKUP($L610,Data_Validation!$A:$D,3,0)</f>
        <v>Véhicules neufs</v>
      </c>
      <c r="V610" s="152" t="str">
        <f>+VLOOKUP($L610,Data_Validation!$A:$D,4,0)</f>
        <v>Autos détail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71" t="s">
        <v>1992</v>
      </c>
      <c r="B611" s="671" t="s">
        <v>1993</v>
      </c>
      <c r="C611" s="672"/>
      <c r="D611" s="672"/>
      <c r="E611" s="672"/>
      <c r="F611" s="671" t="s">
        <v>4</v>
      </c>
      <c r="G611" s="671" t="s">
        <v>1985</v>
      </c>
      <c r="H611" s="666"/>
      <c r="I611" s="665">
        <v>-1</v>
      </c>
      <c r="J611" s="665">
        <v>-1</v>
      </c>
      <c r="K611" s="665">
        <v>-2</v>
      </c>
      <c r="L611" s="149" t="str">
        <f t="shared" si="45"/>
        <v>405K@</v>
      </c>
      <c r="M611" s="150" t="str">
        <f t="shared" si="46"/>
        <v># OF VTES -M440I XDR COUPE</v>
      </c>
      <c r="N611" s="151">
        <f>+IF(OR($Q611=Parametres!$G$2,$Q611=Parametres!$G$3),I611,C611)</f>
        <v>-1</v>
      </c>
      <c r="O611" s="151">
        <f>+IF(OR($Q611=Parametres!$G$2,$Q611=Parametres!$G$3),J611,D611)</f>
        <v>-1</v>
      </c>
      <c r="P611" s="151">
        <f>+IF(OR($Q611=Parametres!$G$2,$Q611=Parametres!$G$3),K611,E611)</f>
        <v>-2</v>
      </c>
      <c r="Q611" s="150" t="str">
        <f t="shared" si="47"/>
        <v>10-Compte compteur</v>
      </c>
      <c r="R611" s="149" t="str">
        <f t="shared" si="48"/>
        <v>405K</v>
      </c>
      <c r="S611" s="150">
        <f t="shared" si="49"/>
        <v>0</v>
      </c>
      <c r="T611" s="152" t="str">
        <f>+VLOOKUP($L611,Data_Validation!$A:$D,1,0)</f>
        <v>405K@</v>
      </c>
      <c r="U611" s="152" t="str">
        <f>+VLOOKUP($L611,Data_Validation!$A:$D,3,0)</f>
        <v>Véhicules neufs</v>
      </c>
      <c r="V611" s="152" t="str">
        <f>+VLOOKUP($L611,Data_Validation!$A:$D,4,0)</f>
        <v>Autos détail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71" t="s">
        <v>1492</v>
      </c>
      <c r="B612" s="671" t="s">
        <v>699</v>
      </c>
      <c r="C612" s="672"/>
      <c r="D612" s="672"/>
      <c r="E612" s="672"/>
      <c r="F612" s="671" t="s">
        <v>4</v>
      </c>
      <c r="G612" s="671" t="s">
        <v>611</v>
      </c>
      <c r="H612" s="666"/>
      <c r="I612" s="665">
        <v>-1</v>
      </c>
      <c r="J612" s="665">
        <v>0</v>
      </c>
      <c r="K612" s="665">
        <v>-1</v>
      </c>
      <c r="L612" s="149" t="str">
        <f t="shared" si="45"/>
        <v>406G@</v>
      </c>
      <c r="M612" s="150" t="str">
        <f t="shared" si="46"/>
        <v># DE VTE - M240I XDRIVE COUPE</v>
      </c>
      <c r="N612" s="151">
        <f>+IF(OR($Q612=Parametres!$G$2,$Q612=Parametres!$G$3),I612,C612)</f>
        <v>-1</v>
      </c>
      <c r="O612" s="151">
        <f>+IF(OR($Q612=Parametres!$G$2,$Q612=Parametres!$G$3),J612,D612)</f>
        <v>0</v>
      </c>
      <c r="P612" s="151">
        <f>+IF(OR($Q612=Parametres!$G$2,$Q612=Parametres!$G$3),K612,E612)</f>
        <v>-1</v>
      </c>
      <c r="Q612" s="150" t="str">
        <f t="shared" si="47"/>
        <v>10-Compte compteur</v>
      </c>
      <c r="R612" s="149" t="str">
        <f t="shared" si="48"/>
        <v>406G</v>
      </c>
      <c r="S612" s="150">
        <f t="shared" si="49"/>
        <v>0</v>
      </c>
      <c r="T612" s="152" t="str">
        <f>+VLOOKUP($L612,Data_Validation!$A:$D,1,0)</f>
        <v>406G@</v>
      </c>
      <c r="U612" s="152" t="str">
        <f>+VLOOKUP($L612,Data_Validation!$A:$D,3,0)</f>
        <v>Véhicules neufs</v>
      </c>
      <c r="V612" s="152" t="str">
        <f>+VLOOKUP($L612,Data_Validation!$A:$D,4,0)</f>
        <v>Autos détail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71" t="s">
        <v>2383</v>
      </c>
      <c r="B613" s="671" t="s">
        <v>2384</v>
      </c>
      <c r="C613" s="672"/>
      <c r="D613" s="672"/>
      <c r="E613" s="672"/>
      <c r="F613" s="671" t="s">
        <v>4</v>
      </c>
      <c r="G613" s="671" t="s">
        <v>2493</v>
      </c>
      <c r="H613" s="666"/>
      <c r="I613" s="665">
        <v>-1</v>
      </c>
      <c r="J613" s="665">
        <v>0</v>
      </c>
      <c r="K613" s="665">
        <v>-1</v>
      </c>
      <c r="L613" s="149" t="str">
        <f t="shared" si="45"/>
        <v>407D@</v>
      </c>
      <c r="M613" s="150" t="str">
        <f t="shared" si="46"/>
        <v>M3 COMPETITION XDRIVE</v>
      </c>
      <c r="N613" s="151">
        <f>+IF(OR($Q613=Parametres!$G$2,$Q613=Parametres!$G$3),I613,C613)</f>
        <v>-1</v>
      </c>
      <c r="O613" s="151">
        <f>+IF(OR($Q613=Parametres!$G$2,$Q613=Parametres!$G$3),J613,D613)</f>
        <v>0</v>
      </c>
      <c r="P613" s="151">
        <f>+IF(OR($Q613=Parametres!$G$2,$Q613=Parametres!$G$3),K613,E613)</f>
        <v>-1</v>
      </c>
      <c r="Q613" s="150" t="str">
        <f t="shared" si="47"/>
        <v>10-Compte compteur</v>
      </c>
      <c r="R613" s="149" t="str">
        <f t="shared" si="48"/>
        <v>407</v>
      </c>
      <c r="S613" s="150">
        <f t="shared" si="49"/>
        <v>0</v>
      </c>
      <c r="T613" s="152" t="str">
        <f>+VLOOKUP($L613,Data_Validation!$A:$D,1,0)</f>
        <v>407D@</v>
      </c>
      <c r="U613" s="152" t="str">
        <f>+VLOOKUP($L613,Data_Validation!$A:$D,3,0)</f>
        <v>Véhicules neufs</v>
      </c>
      <c r="V613" s="152" t="str">
        <f>+VLOOKUP($L613,Data_Validation!$A:$D,4,0)</f>
        <v>Autos détail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71" t="s">
        <v>2901</v>
      </c>
      <c r="B614" s="671" t="s">
        <v>2906</v>
      </c>
      <c r="C614" s="672"/>
      <c r="D614" s="672"/>
      <c r="E614" s="672"/>
      <c r="F614" s="671" t="s">
        <v>4</v>
      </c>
      <c r="G614" s="671" t="s">
        <v>2902</v>
      </c>
      <c r="H614" s="666"/>
      <c r="I614" s="665">
        <v>0</v>
      </c>
      <c r="J614" s="665">
        <v>-1</v>
      </c>
      <c r="K614" s="665">
        <v>-1</v>
      </c>
      <c r="L614" s="149" t="str">
        <f t="shared" si="45"/>
        <v>409@</v>
      </c>
      <c r="M614" s="150" t="str">
        <f t="shared" si="46"/>
        <v>X2 XDRIVE28I</v>
      </c>
      <c r="N614" s="151">
        <f>+IF(OR($Q614=Parametres!$G$2,$Q614=Parametres!$G$3),I614,C614)</f>
        <v>0</v>
      </c>
      <c r="O614" s="151">
        <f>+IF(OR($Q614=Parametres!$G$2,$Q614=Parametres!$G$3),J614,D614)</f>
        <v>-1</v>
      </c>
      <c r="P614" s="151">
        <f>+IF(OR($Q614=Parametres!$G$2,$Q614=Parametres!$G$3),K614,E614)</f>
        <v>-1</v>
      </c>
      <c r="Q614" s="150" t="str">
        <f t="shared" si="47"/>
        <v>10-Compte compteur</v>
      </c>
      <c r="R614" s="149" t="str">
        <f t="shared" si="48"/>
        <v>409</v>
      </c>
      <c r="S614" s="150">
        <f t="shared" si="49"/>
        <v>0</v>
      </c>
      <c r="T614" s="152" t="str">
        <f>+VLOOKUP($L614,Data_Validation!$A:$D,1,0)</f>
        <v>409@</v>
      </c>
      <c r="U614" s="152" t="str">
        <f>+VLOOKUP($L614,Data_Validation!$A:$D,3,0)</f>
        <v>Véhicules neufs</v>
      </c>
      <c r="V614" s="152" t="str">
        <f>+VLOOKUP($L614,Data_Validation!$A:$D,4,0)</f>
        <v>Camions détail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71" t="s">
        <v>2882</v>
      </c>
      <c r="B615" s="671" t="s">
        <v>2885</v>
      </c>
      <c r="C615" s="672"/>
      <c r="D615" s="672"/>
      <c r="E615" s="672"/>
      <c r="F615" s="671" t="s">
        <v>4</v>
      </c>
      <c r="G615" s="671" t="s">
        <v>2883</v>
      </c>
      <c r="H615" s="666"/>
      <c r="I615" s="665">
        <v>-1</v>
      </c>
      <c r="J615" s="665">
        <v>0</v>
      </c>
      <c r="K615" s="665">
        <v>-1</v>
      </c>
      <c r="L615" s="149" t="str">
        <f t="shared" si="45"/>
        <v>409A@</v>
      </c>
      <c r="M615" s="150" t="str">
        <f t="shared" si="46"/>
        <v>X2 M35I XDRIVE</v>
      </c>
      <c r="N615" s="151">
        <f>+IF(OR($Q615=Parametres!$G$2,$Q615=Parametres!$G$3),I615,C615)</f>
        <v>-1</v>
      </c>
      <c r="O615" s="151">
        <f>+IF(OR($Q615=Parametres!$G$2,$Q615=Parametres!$G$3),J615,D615)</f>
        <v>0</v>
      </c>
      <c r="P615" s="151">
        <f>+IF(OR($Q615=Parametres!$G$2,$Q615=Parametres!$G$3),K615,E615)</f>
        <v>-1</v>
      </c>
      <c r="Q615" s="150" t="str">
        <f t="shared" si="47"/>
        <v>10-Compte compteur</v>
      </c>
      <c r="R615" s="149" t="str">
        <f t="shared" si="48"/>
        <v>409A</v>
      </c>
      <c r="S615" s="150">
        <f t="shared" si="49"/>
        <v>0</v>
      </c>
      <c r="T615" s="152" t="str">
        <f>+VLOOKUP($L615,Data_Validation!$A:$D,1,0)</f>
        <v>409A@</v>
      </c>
      <c r="U615" s="152" t="str">
        <f>+VLOOKUP($L615,Data_Validation!$A:$D,3,0)</f>
        <v>Véhicules neufs</v>
      </c>
      <c r="V615" s="152" t="str">
        <f>+VLOOKUP($L615,Data_Validation!$A:$D,4,0)</f>
        <v>Camions détail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71" t="s">
        <v>1038</v>
      </c>
      <c r="B616" s="671" t="s">
        <v>701</v>
      </c>
      <c r="C616" s="672"/>
      <c r="D616" s="672"/>
      <c r="E616" s="672"/>
      <c r="F616" s="671" t="s">
        <v>4</v>
      </c>
      <c r="G616" s="671" t="s">
        <v>613</v>
      </c>
      <c r="H616" s="666"/>
      <c r="I616" s="665">
        <v>0</v>
      </c>
      <c r="J616" s="665">
        <v>-1</v>
      </c>
      <c r="K616" s="665">
        <v>-1</v>
      </c>
      <c r="L616" s="149" t="str">
        <f t="shared" si="45"/>
        <v>411C@</v>
      </c>
      <c r="M616" s="150" t="str">
        <f t="shared" si="46"/>
        <v># DE VTE - 330I XDRIVE SEDAN</v>
      </c>
      <c r="N616" s="151">
        <f>+IF(OR($Q616=Parametres!$G$2,$Q616=Parametres!$G$3),I616,C616)</f>
        <v>0</v>
      </c>
      <c r="O616" s="151">
        <f>+IF(OR($Q616=Parametres!$G$2,$Q616=Parametres!$G$3),J616,D616)</f>
        <v>-1</v>
      </c>
      <c r="P616" s="151">
        <f>+IF(OR($Q616=Parametres!$G$2,$Q616=Parametres!$G$3),K616,E616)</f>
        <v>-1</v>
      </c>
      <c r="Q616" s="150" t="str">
        <f t="shared" si="47"/>
        <v>10-Compte compteur</v>
      </c>
      <c r="R616" s="149" t="str">
        <f t="shared" si="48"/>
        <v>411C</v>
      </c>
      <c r="S616" s="150">
        <f t="shared" si="49"/>
        <v>0</v>
      </c>
      <c r="T616" s="152" t="str">
        <f>+VLOOKUP($L616,Data_Validation!$A:$D,1,0)</f>
        <v>411C@</v>
      </c>
      <c r="U616" s="152" t="str">
        <f>+VLOOKUP($L616,Data_Validation!$A:$D,3,0)</f>
        <v>Véhicules neufs</v>
      </c>
      <c r="V616" s="152" t="str">
        <f>+VLOOKUP($L616,Data_Validation!$A:$D,4,0)</f>
        <v>Autos détail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71" t="s">
        <v>1926</v>
      </c>
      <c r="B617" s="671" t="s">
        <v>1929</v>
      </c>
      <c r="C617" s="672"/>
      <c r="D617" s="672"/>
      <c r="E617" s="672"/>
      <c r="F617" s="671" t="s">
        <v>4</v>
      </c>
      <c r="G617" s="671" t="s">
        <v>1927</v>
      </c>
      <c r="H617" s="666"/>
      <c r="I617" s="665">
        <v>-1</v>
      </c>
      <c r="J617" s="665">
        <v>0</v>
      </c>
      <c r="K617" s="665">
        <v>-1</v>
      </c>
      <c r="L617" s="149" t="str">
        <f t="shared" si="45"/>
        <v>411H@</v>
      </c>
      <c r="M617" s="150" t="str">
        <f t="shared" si="46"/>
        <v>330E XDRIVE BERLINE</v>
      </c>
      <c r="N617" s="151">
        <f>+IF(OR($Q617=Parametres!$G$2,$Q617=Parametres!$G$3),I617,C617)</f>
        <v>-1</v>
      </c>
      <c r="O617" s="151">
        <f>+IF(OR($Q617=Parametres!$G$2,$Q617=Parametres!$G$3),J617,D617)</f>
        <v>0</v>
      </c>
      <c r="P617" s="151">
        <f>+IF(OR($Q617=Parametres!$G$2,$Q617=Parametres!$G$3),K617,E617)</f>
        <v>-1</v>
      </c>
      <c r="Q617" s="150" t="str">
        <f t="shared" si="47"/>
        <v>10-Compte compteur</v>
      </c>
      <c r="R617" s="149" t="str">
        <f t="shared" si="48"/>
        <v>411H</v>
      </c>
      <c r="S617" s="150">
        <f t="shared" si="49"/>
        <v>0</v>
      </c>
      <c r="T617" s="152" t="str">
        <f>+VLOOKUP($L617,Data_Validation!$A:$D,1,0)</f>
        <v>411H@</v>
      </c>
      <c r="U617" s="152" t="str">
        <f>+VLOOKUP($L617,Data_Validation!$A:$D,3,0)</f>
        <v>Véhicules neufs</v>
      </c>
      <c r="V617" s="152" t="str">
        <f>+VLOOKUP($L617,Data_Validation!$A:$D,4,0)</f>
        <v>Autos détail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71" t="s">
        <v>1980</v>
      </c>
      <c r="B618" s="671" t="s">
        <v>1983</v>
      </c>
      <c r="C618" s="672"/>
      <c r="D618" s="672"/>
      <c r="E618" s="672"/>
      <c r="F618" s="671" t="s">
        <v>4</v>
      </c>
      <c r="G618" s="671" t="s">
        <v>1981</v>
      </c>
      <c r="H618" s="666"/>
      <c r="I618" s="665">
        <v>-1</v>
      </c>
      <c r="J618" s="665">
        <v>0</v>
      </c>
      <c r="K618" s="665">
        <v>-1</v>
      </c>
      <c r="L618" s="149" t="str">
        <f t="shared" si="45"/>
        <v>412C@</v>
      </c>
      <c r="M618" s="150" t="str">
        <f t="shared" si="46"/>
        <v>M340I XDRIVE</v>
      </c>
      <c r="N618" s="151">
        <f>+IF(OR($Q618=Parametres!$G$2,$Q618=Parametres!$G$3),I618,C618)</f>
        <v>-1</v>
      </c>
      <c r="O618" s="151">
        <f>+IF(OR($Q618=Parametres!$G$2,$Q618=Parametres!$G$3),J618,D618)</f>
        <v>0</v>
      </c>
      <c r="P618" s="151">
        <f>+IF(OR($Q618=Parametres!$G$2,$Q618=Parametres!$G$3),K618,E618)</f>
        <v>-1</v>
      </c>
      <c r="Q618" s="150" t="str">
        <f t="shared" si="47"/>
        <v>10-Compte compteur</v>
      </c>
      <c r="R618" s="149" t="str">
        <f t="shared" si="48"/>
        <v>412C</v>
      </c>
      <c r="S618" s="150">
        <f t="shared" si="49"/>
        <v>0</v>
      </c>
      <c r="T618" s="152" t="str">
        <f>+VLOOKUP($L618,Data_Validation!$A:$D,1,0)</f>
        <v>412C@</v>
      </c>
      <c r="U618" s="152" t="str">
        <f>+VLOOKUP($L618,Data_Validation!$A:$D,3,0)</f>
        <v>Véhicules neufs</v>
      </c>
      <c r="V618" s="152" t="str">
        <f>+VLOOKUP($L618,Data_Validation!$A:$D,4,0)</f>
        <v>Autos détail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71" t="s">
        <v>1499</v>
      </c>
      <c r="B619" s="671" t="s">
        <v>703</v>
      </c>
      <c r="C619" s="672"/>
      <c r="D619" s="672"/>
      <c r="E619" s="672"/>
      <c r="F619" s="671" t="s">
        <v>4</v>
      </c>
      <c r="G619" s="671" t="s">
        <v>411</v>
      </c>
      <c r="H619" s="666"/>
      <c r="I619" s="665">
        <v>-3</v>
      </c>
      <c r="J619" s="665">
        <v>-2</v>
      </c>
      <c r="K619" s="665">
        <v>-5</v>
      </c>
      <c r="L619" s="149" t="str">
        <f t="shared" si="45"/>
        <v>416@</v>
      </c>
      <c r="M619" s="150" t="str">
        <f t="shared" si="46"/>
        <v># DE VTE - X1 XDRIVE 28I</v>
      </c>
      <c r="N619" s="151">
        <f>+IF(OR($Q619=Parametres!$G$2,$Q619=Parametres!$G$3),I619,C619)</f>
        <v>-3</v>
      </c>
      <c r="O619" s="151">
        <f>+IF(OR($Q619=Parametres!$G$2,$Q619=Parametres!$G$3),J619,D619)</f>
        <v>-2</v>
      </c>
      <c r="P619" s="151">
        <f>+IF(OR($Q619=Parametres!$G$2,$Q619=Parametres!$G$3),K619,E619)</f>
        <v>-5</v>
      </c>
      <c r="Q619" s="150" t="str">
        <f t="shared" si="47"/>
        <v>10-Compte compteur</v>
      </c>
      <c r="R619" s="149" t="str">
        <f t="shared" si="48"/>
        <v>416</v>
      </c>
      <c r="S619" s="150">
        <f t="shared" si="49"/>
        <v>0</v>
      </c>
      <c r="T619" s="152" t="str">
        <f>+VLOOKUP($L619,Data_Validation!$A:$D,1,0)</f>
        <v>416@</v>
      </c>
      <c r="U619" s="152" t="str">
        <f>+VLOOKUP($L619,Data_Validation!$A:$D,3,0)</f>
        <v>Véhicules neufs</v>
      </c>
      <c r="V619" s="152" t="str">
        <f>+VLOOKUP($L619,Data_Validation!$A:$D,4,0)</f>
        <v>Camions détail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71" t="s">
        <v>1501</v>
      </c>
      <c r="B620" s="671" t="s">
        <v>706</v>
      </c>
      <c r="C620" s="672"/>
      <c r="D620" s="672"/>
      <c r="E620" s="672"/>
      <c r="F620" s="671" t="s">
        <v>4</v>
      </c>
      <c r="G620" s="671" t="s">
        <v>617</v>
      </c>
      <c r="H620" s="666"/>
      <c r="I620" s="665">
        <v>-6</v>
      </c>
      <c r="J620" s="665">
        <v>-2</v>
      </c>
      <c r="K620" s="665">
        <v>-8</v>
      </c>
      <c r="L620" s="149" t="str">
        <f t="shared" si="45"/>
        <v>418@</v>
      </c>
      <c r="M620" s="150" t="str">
        <f t="shared" si="46"/>
        <v># DE VTE - AUTRES MODELES BMW</v>
      </c>
      <c r="N620" s="151">
        <f>+IF(OR($Q620=Parametres!$G$2,$Q620=Parametres!$G$3),I620,C620)</f>
        <v>-6</v>
      </c>
      <c r="O620" s="151">
        <f>+IF(OR($Q620=Parametres!$G$2,$Q620=Parametres!$G$3),J620,D620)</f>
        <v>-2</v>
      </c>
      <c r="P620" s="151">
        <f>+IF(OR($Q620=Parametres!$G$2,$Q620=Parametres!$G$3),K620,E620)</f>
        <v>-8</v>
      </c>
      <c r="Q620" s="150" t="str">
        <f t="shared" si="47"/>
        <v>10-Compte compteur</v>
      </c>
      <c r="R620" s="149" t="str">
        <f t="shared" si="48"/>
        <v>418</v>
      </c>
      <c r="S620" s="150">
        <f t="shared" si="49"/>
        <v>0</v>
      </c>
      <c r="T620" s="152" t="str">
        <f>+VLOOKUP($L620,Data_Validation!$A:$D,1,0)</f>
        <v>418@</v>
      </c>
      <c r="U620" s="152" t="str">
        <f>+VLOOKUP($L620,Data_Validation!$A:$D,3,0)</f>
        <v>Véhicules neufs</v>
      </c>
      <c r="V620" s="152" t="str">
        <f>+VLOOKUP($L620,Data_Validation!$A:$D,4,0)</f>
        <v>Ex-Démos et courtoisies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71" t="s">
        <v>1502</v>
      </c>
      <c r="B621" s="671" t="s">
        <v>707</v>
      </c>
      <c r="C621" s="672"/>
      <c r="D621" s="672"/>
      <c r="E621" s="672"/>
      <c r="F621" s="671" t="s">
        <v>4</v>
      </c>
      <c r="G621" s="671" t="s">
        <v>617</v>
      </c>
      <c r="H621" s="666"/>
      <c r="I621" s="665">
        <v>-4</v>
      </c>
      <c r="J621" s="665">
        <v>-3</v>
      </c>
      <c r="K621" s="665">
        <v>-7</v>
      </c>
      <c r="L621" s="149" t="str">
        <f t="shared" si="45"/>
        <v>418A@</v>
      </c>
      <c r="M621" s="150" t="str">
        <f t="shared" si="46"/>
        <v># DE VTE - AUTRES MODELES BMW CAMION</v>
      </c>
      <c r="N621" s="151">
        <f>+IF(OR($Q621=Parametres!$G$2,$Q621=Parametres!$G$3),I621,C621)</f>
        <v>-4</v>
      </c>
      <c r="O621" s="151">
        <f>+IF(OR($Q621=Parametres!$G$2,$Q621=Parametres!$G$3),J621,D621)</f>
        <v>-3</v>
      </c>
      <c r="P621" s="151">
        <f>+IF(OR($Q621=Parametres!$G$2,$Q621=Parametres!$G$3),K621,E621)</f>
        <v>-7</v>
      </c>
      <c r="Q621" s="150" t="str">
        <f t="shared" si="47"/>
        <v>10-Compte compteur</v>
      </c>
      <c r="R621" s="149" t="str">
        <f t="shared" si="48"/>
        <v>418</v>
      </c>
      <c r="S621" s="150">
        <f t="shared" si="49"/>
        <v>0</v>
      </c>
      <c r="T621" s="152" t="str">
        <f>+VLOOKUP($L621,Data_Validation!$A:$D,1,0)</f>
        <v>418A@</v>
      </c>
      <c r="U621" s="152" t="str">
        <f>+VLOOKUP($L621,Data_Validation!$A:$D,3,0)</f>
        <v>Véhicules neufs</v>
      </c>
      <c r="V621" s="152" t="str">
        <f>+VLOOKUP($L621,Data_Validation!$A:$D,4,0)</f>
        <v>Ex-Démos et courtoisies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71" t="s">
        <v>1503</v>
      </c>
      <c r="B622" s="671" t="s">
        <v>708</v>
      </c>
      <c r="C622" s="672"/>
      <c r="D622" s="672"/>
      <c r="E622" s="672"/>
      <c r="F622" s="671" t="s">
        <v>4</v>
      </c>
      <c r="G622" s="671" t="s">
        <v>424</v>
      </c>
      <c r="H622" s="666"/>
      <c r="I622" s="665">
        <v>-1</v>
      </c>
      <c r="J622" s="665">
        <v>0</v>
      </c>
      <c r="K622" s="665">
        <v>-1</v>
      </c>
      <c r="L622" s="149" t="str">
        <f t="shared" si="45"/>
        <v>419@</v>
      </c>
      <c r="M622" s="150" t="str">
        <f t="shared" si="46"/>
        <v># DE VTE - FLEET VOITURE BMW</v>
      </c>
      <c r="N622" s="151">
        <f>+IF(OR($Q622=Parametres!$G$2,$Q622=Parametres!$G$3),I622,C622)</f>
        <v>-1</v>
      </c>
      <c r="O622" s="151">
        <f>+IF(OR($Q622=Parametres!$G$2,$Q622=Parametres!$G$3),J622,D622)</f>
        <v>0</v>
      </c>
      <c r="P622" s="151">
        <f>+IF(OR($Q622=Parametres!$G$2,$Q622=Parametres!$G$3),K622,E622)</f>
        <v>-1</v>
      </c>
      <c r="Q622" s="150" t="str">
        <f t="shared" si="47"/>
        <v>10-Compte compteur</v>
      </c>
      <c r="R622" s="149" t="str">
        <f t="shared" si="48"/>
        <v>419</v>
      </c>
      <c r="S622" s="150">
        <f t="shared" si="49"/>
        <v>0</v>
      </c>
      <c r="T622" s="152" t="str">
        <f>+VLOOKUP($L622,Data_Validation!$A:$D,1,0)</f>
        <v>419@</v>
      </c>
      <c r="U622" s="152" t="str">
        <f>+VLOOKUP($L622,Data_Validation!$A:$D,3,0)</f>
        <v>Véhicules neufs</v>
      </c>
      <c r="V622" s="152" t="str">
        <f>+VLOOKUP($L622,Data_Validation!$A:$D,4,0)</f>
        <v>Flottes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71" t="s">
        <v>2442</v>
      </c>
      <c r="B623" s="671" t="s">
        <v>711</v>
      </c>
      <c r="C623" s="672"/>
      <c r="D623" s="672"/>
      <c r="E623" s="672"/>
      <c r="F623" s="671" t="s">
        <v>4</v>
      </c>
      <c r="G623" s="671" t="s">
        <v>403</v>
      </c>
      <c r="H623" s="666"/>
      <c r="I623" s="665">
        <v>-3</v>
      </c>
      <c r="J623" s="665">
        <v>-4</v>
      </c>
      <c r="K623" s="665">
        <v>-7</v>
      </c>
      <c r="L623" s="149" t="str">
        <f t="shared" si="45"/>
        <v>423B@</v>
      </c>
      <c r="M623" s="150" t="str">
        <f t="shared" si="46"/>
        <v># DE VTE - X3 XDRIVE 30I</v>
      </c>
      <c r="N623" s="151">
        <f>+IF(OR($Q623=Parametres!$G$2,$Q623=Parametres!$G$3),I623,C623)</f>
        <v>-3</v>
      </c>
      <c r="O623" s="151">
        <f>+IF(OR($Q623=Parametres!$G$2,$Q623=Parametres!$G$3),J623,D623)</f>
        <v>-4</v>
      </c>
      <c r="P623" s="151">
        <f>+IF(OR($Q623=Parametres!$G$2,$Q623=Parametres!$G$3),K623,E623)</f>
        <v>-7</v>
      </c>
      <c r="Q623" s="150" t="str">
        <f t="shared" si="47"/>
        <v>10-Compte compteur</v>
      </c>
      <c r="R623" s="149" t="str">
        <f t="shared" si="48"/>
        <v>423B</v>
      </c>
      <c r="S623" s="150">
        <f t="shared" si="49"/>
        <v>0</v>
      </c>
      <c r="T623" s="152" t="str">
        <f>+VLOOKUP($L623,Data_Validation!$A:$D,1,0)</f>
        <v>423B@</v>
      </c>
      <c r="U623" s="152" t="str">
        <f>+VLOOKUP($L623,Data_Validation!$A:$D,3,0)</f>
        <v>Véhicules neufs</v>
      </c>
      <c r="V623" s="152" t="str">
        <f>+VLOOKUP($L623,Data_Validation!$A:$D,4,0)</f>
        <v>Camions détail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71" t="s">
        <v>1506</v>
      </c>
      <c r="B624" s="671" t="s">
        <v>712</v>
      </c>
      <c r="C624" s="672"/>
      <c r="D624" s="672"/>
      <c r="E624" s="672"/>
      <c r="F624" s="671" t="s">
        <v>4</v>
      </c>
      <c r="G624" s="671" t="s">
        <v>618</v>
      </c>
      <c r="H624" s="666"/>
      <c r="I624" s="665">
        <v>-2</v>
      </c>
      <c r="J624" s="665">
        <v>0</v>
      </c>
      <c r="K624" s="665">
        <v>-2</v>
      </c>
      <c r="L624" s="149" t="str">
        <f t="shared" si="45"/>
        <v>423C@</v>
      </c>
      <c r="M624" s="150" t="str">
        <f t="shared" si="46"/>
        <v># DE VTE - X3 XDRIVE 30E</v>
      </c>
      <c r="N624" s="151">
        <f>+IF(OR($Q624=Parametres!$G$2,$Q624=Parametres!$G$3),I624,C624)</f>
        <v>-2</v>
      </c>
      <c r="O624" s="151">
        <f>+IF(OR($Q624=Parametres!$G$2,$Q624=Parametres!$G$3),J624,D624)</f>
        <v>0</v>
      </c>
      <c r="P624" s="151">
        <f>+IF(OR($Q624=Parametres!$G$2,$Q624=Parametres!$G$3),K624,E624)</f>
        <v>-2</v>
      </c>
      <c r="Q624" s="150" t="str">
        <f t="shared" si="47"/>
        <v>10-Compte compteur</v>
      </c>
      <c r="R624" s="149" t="str">
        <f t="shared" si="48"/>
        <v>423C</v>
      </c>
      <c r="S624" s="150">
        <f t="shared" si="49"/>
        <v>0</v>
      </c>
      <c r="T624" s="152" t="str">
        <f>+VLOOKUP($L624,Data_Validation!$A:$D,1,0)</f>
        <v>423C@</v>
      </c>
      <c r="U624" s="152" t="str">
        <f>+VLOOKUP($L624,Data_Validation!$A:$D,3,0)</f>
        <v>Véhicules neufs</v>
      </c>
      <c r="V624" s="152" t="str">
        <f>+VLOOKUP($L624,Data_Validation!$A:$D,4,0)</f>
        <v>Camions détail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71" t="s">
        <v>1507</v>
      </c>
      <c r="B625" s="671" t="s">
        <v>713</v>
      </c>
      <c r="C625" s="672"/>
      <c r="D625" s="672"/>
      <c r="E625" s="672"/>
      <c r="F625" s="671" t="s">
        <v>4</v>
      </c>
      <c r="G625" s="671" t="s">
        <v>619</v>
      </c>
      <c r="H625" s="666"/>
      <c r="I625" s="665">
        <v>-2</v>
      </c>
      <c r="J625" s="665">
        <v>0</v>
      </c>
      <c r="K625" s="665">
        <v>-2</v>
      </c>
      <c r="L625" s="149" t="str">
        <f t="shared" si="45"/>
        <v>423D@</v>
      </c>
      <c r="M625" s="150" t="str">
        <f t="shared" si="46"/>
        <v># DE VTE - X5 XDRIVE 35I/ X5 XDRIVE 40I</v>
      </c>
      <c r="N625" s="151">
        <f>+IF(OR($Q625=Parametres!$G$2,$Q625=Parametres!$G$3),I625,C625)</f>
        <v>-2</v>
      </c>
      <c r="O625" s="151">
        <f>+IF(OR($Q625=Parametres!$G$2,$Q625=Parametres!$G$3),J625,D625)</f>
        <v>0</v>
      </c>
      <c r="P625" s="151">
        <f>+IF(OR($Q625=Parametres!$G$2,$Q625=Parametres!$G$3),K625,E625)</f>
        <v>-2</v>
      </c>
      <c r="Q625" s="150" t="str">
        <f t="shared" si="47"/>
        <v>10-Compte compteur</v>
      </c>
      <c r="R625" s="149" t="str">
        <f t="shared" si="48"/>
        <v>423D</v>
      </c>
      <c r="S625" s="150">
        <f t="shared" si="49"/>
        <v>0</v>
      </c>
      <c r="T625" s="152" t="str">
        <f>+VLOOKUP($L625,Data_Validation!$A:$D,1,0)</f>
        <v>423D@</v>
      </c>
      <c r="U625" s="152" t="str">
        <f>+VLOOKUP($L625,Data_Validation!$A:$D,3,0)</f>
        <v>Véhicules neufs</v>
      </c>
      <c r="V625" s="152" t="str">
        <f>+VLOOKUP($L625,Data_Validation!$A:$D,4,0)</f>
        <v>Camions détail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71" t="s">
        <v>2498</v>
      </c>
      <c r="B626" s="671" t="s">
        <v>2499</v>
      </c>
      <c r="C626" s="672"/>
      <c r="D626" s="672"/>
      <c r="E626" s="672"/>
      <c r="F626" s="671" t="s">
        <v>4</v>
      </c>
      <c r="G626" s="671" t="s">
        <v>2495</v>
      </c>
      <c r="H626" s="666"/>
      <c r="I626" s="665">
        <v>-3</v>
      </c>
      <c r="J626" s="665">
        <v>-2</v>
      </c>
      <c r="K626" s="665">
        <v>-5</v>
      </c>
      <c r="L626" s="149" t="str">
        <f t="shared" si="45"/>
        <v>423F@</v>
      </c>
      <c r="M626" s="150" t="str">
        <f t="shared" si="46"/>
        <v># DE VTE - X5 xDRIVE50e</v>
      </c>
      <c r="N626" s="151">
        <f>+IF(OR($Q626=Parametres!$G$2,$Q626=Parametres!$G$3),I626,C626)</f>
        <v>-3</v>
      </c>
      <c r="O626" s="151">
        <f>+IF(OR($Q626=Parametres!$G$2,$Q626=Parametres!$G$3),J626,D626)</f>
        <v>-2</v>
      </c>
      <c r="P626" s="151">
        <f>+IF(OR($Q626=Parametres!$G$2,$Q626=Parametres!$G$3),K626,E626)</f>
        <v>-5</v>
      </c>
      <c r="Q626" s="150" t="str">
        <f t="shared" si="47"/>
        <v>10-Compte compteur</v>
      </c>
      <c r="R626" s="149" t="str">
        <f t="shared" si="48"/>
        <v>423F</v>
      </c>
      <c r="S626" s="150">
        <f t="shared" si="49"/>
        <v>0</v>
      </c>
      <c r="T626" s="152" t="str">
        <f>+VLOOKUP($L626,Data_Validation!$A:$D,1,0)</f>
        <v>423F@</v>
      </c>
      <c r="U626" s="152" t="str">
        <f>+VLOOKUP($L626,Data_Validation!$A:$D,3,0)</f>
        <v>Véhicules neufs</v>
      </c>
      <c r="V626" s="152" t="str">
        <f>+VLOOKUP($L626,Data_Validation!$A:$D,4,0)</f>
        <v>Camions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71" t="s">
        <v>1508</v>
      </c>
      <c r="B627" s="671" t="s">
        <v>714</v>
      </c>
      <c r="C627" s="672"/>
      <c r="D627" s="672"/>
      <c r="E627" s="672"/>
      <c r="F627" s="671" t="s">
        <v>4</v>
      </c>
      <c r="G627" s="671" t="s">
        <v>620</v>
      </c>
      <c r="H627" s="666"/>
      <c r="I627" s="665">
        <v>-1</v>
      </c>
      <c r="J627" s="665">
        <v>0</v>
      </c>
      <c r="K627" s="665">
        <v>-1</v>
      </c>
      <c r="L627" s="149" t="str">
        <f t="shared" si="45"/>
        <v>423G@</v>
      </c>
      <c r="M627" s="150" t="str">
        <f t="shared" si="46"/>
        <v># DE VTE - X3 XDR M40I</v>
      </c>
      <c r="N627" s="151">
        <f>+IF(OR($Q627=Parametres!$G$2,$Q627=Parametres!$G$3),I627,C627)</f>
        <v>-1</v>
      </c>
      <c r="O627" s="151">
        <f>+IF(OR($Q627=Parametres!$G$2,$Q627=Parametres!$G$3),J627,D627)</f>
        <v>0</v>
      </c>
      <c r="P627" s="151">
        <f>+IF(OR($Q627=Parametres!$G$2,$Q627=Parametres!$G$3),K627,E627)</f>
        <v>-1</v>
      </c>
      <c r="Q627" s="150" t="str">
        <f t="shared" si="47"/>
        <v>10-Compte compteur</v>
      </c>
      <c r="R627" s="149" t="str">
        <f t="shared" si="48"/>
        <v>423G</v>
      </c>
      <c r="S627" s="150">
        <f t="shared" si="49"/>
        <v>0</v>
      </c>
      <c r="T627" s="152" t="str">
        <f>+VLOOKUP($L627,Data_Validation!$A:$D,1,0)</f>
        <v>423G@</v>
      </c>
      <c r="U627" s="152" t="str">
        <f>+VLOOKUP($L627,Data_Validation!$A:$D,3,0)</f>
        <v>Véhicules neufs</v>
      </c>
      <c r="V627" s="152" t="str">
        <f>+VLOOKUP($L627,Data_Validation!$A:$D,4,0)</f>
        <v>Camions détail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71" t="s">
        <v>2547</v>
      </c>
      <c r="B628" s="671" t="s">
        <v>2548</v>
      </c>
      <c r="C628" s="672"/>
      <c r="D628" s="672"/>
      <c r="E628" s="672"/>
      <c r="F628" s="671" t="s">
        <v>4</v>
      </c>
      <c r="G628" s="671" t="s">
        <v>2540</v>
      </c>
      <c r="H628" s="666"/>
      <c r="I628" s="665">
        <v>0</v>
      </c>
      <c r="J628" s="665">
        <v>-1</v>
      </c>
      <c r="K628" s="665">
        <v>-1</v>
      </c>
      <c r="L628" s="149" t="str">
        <f t="shared" si="45"/>
        <v>424E@</v>
      </c>
      <c r="M628" s="150" t="str">
        <f t="shared" si="46"/>
        <v># OF VTES -VTE - i5 M60 xDRIVE</v>
      </c>
      <c r="N628" s="151">
        <f>+IF(OR($Q628=Parametres!$G$2,$Q628=Parametres!$G$3),I628,C628)</f>
        <v>0</v>
      </c>
      <c r="O628" s="151">
        <f>+IF(OR($Q628=Parametres!$G$2,$Q628=Parametres!$G$3),J628,D628)</f>
        <v>-1</v>
      </c>
      <c r="P628" s="151">
        <f>+IF(OR($Q628=Parametres!$G$2,$Q628=Parametres!$G$3),K628,E628)</f>
        <v>-1</v>
      </c>
      <c r="Q628" s="150" t="str">
        <f t="shared" si="47"/>
        <v>10-Compte compteur</v>
      </c>
      <c r="R628" s="149" t="str">
        <f t="shared" si="48"/>
        <v>424E</v>
      </c>
      <c r="S628" s="150">
        <f t="shared" si="49"/>
        <v>0</v>
      </c>
      <c r="T628" s="152" t="str">
        <f>+VLOOKUP($L628,Data_Validation!$A:$D,1,0)</f>
        <v>424E@</v>
      </c>
      <c r="U628" s="152" t="str">
        <f>+VLOOKUP($L628,Data_Validation!$A:$D,3,0)</f>
        <v>Véhicules neufs</v>
      </c>
      <c r="V628" s="152" t="str">
        <f>+VLOOKUP($L628,Data_Validation!$A:$D,4,0)</f>
        <v>Autos détail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71" t="s">
        <v>1511</v>
      </c>
      <c r="B629" s="671" t="s">
        <v>1042</v>
      </c>
      <c r="C629" s="672"/>
      <c r="D629" s="672"/>
      <c r="E629" s="672"/>
      <c r="F629" s="671" t="s">
        <v>4</v>
      </c>
      <c r="G629" s="671" t="s">
        <v>626</v>
      </c>
      <c r="H629" s="666"/>
      <c r="I629" s="665">
        <v>-35</v>
      </c>
      <c r="J629" s="665">
        <v>-28</v>
      </c>
      <c r="K629" s="665">
        <v>-63</v>
      </c>
      <c r="L629" s="149" t="str">
        <f t="shared" si="45"/>
        <v>430A@</v>
      </c>
      <c r="M629" s="150" t="str">
        <f t="shared" si="46"/>
        <v># DE VTE - MARQUAGE OTOPROTEC NEUF BMW AUTO</v>
      </c>
      <c r="N629" s="151">
        <f>+IF(OR($Q629=Parametres!$G$2,$Q629=Parametres!$G$3),I629,C629)</f>
        <v>-35</v>
      </c>
      <c r="O629" s="151">
        <f>+IF(OR($Q629=Parametres!$G$2,$Q629=Parametres!$G$3),J629,D629)</f>
        <v>-28</v>
      </c>
      <c r="P629" s="151">
        <f>+IF(OR($Q629=Parametres!$G$2,$Q629=Parametres!$G$3),K629,E629)</f>
        <v>-63</v>
      </c>
      <c r="Q629" s="150" t="str">
        <f t="shared" si="47"/>
        <v>10-Compte compteur</v>
      </c>
      <c r="R629" s="149" t="str">
        <f t="shared" si="48"/>
        <v>430</v>
      </c>
      <c r="S629" s="150">
        <f t="shared" si="49"/>
        <v>0</v>
      </c>
      <c r="T629" s="152" t="str">
        <f>+VLOOKUP($L629,Data_Validation!$A:$D,1,0)</f>
        <v>430A@</v>
      </c>
      <c r="U629" s="152" t="str">
        <f>+VLOOKUP($L629,Data_Validation!$A:$D,3,0)</f>
        <v>Véhicules neufs</v>
      </c>
      <c r="V629" s="152" t="str">
        <f>+VLOOKUP($L629,Data_Validation!$A:$D,4,0)</f>
        <v>Rev. Autres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71" t="s">
        <v>1512</v>
      </c>
      <c r="B630" s="671" t="s">
        <v>1043</v>
      </c>
      <c r="C630" s="672"/>
      <c r="D630" s="672"/>
      <c r="E630" s="672"/>
      <c r="F630" s="671" t="s">
        <v>4</v>
      </c>
      <c r="G630" s="671" t="s">
        <v>626</v>
      </c>
      <c r="H630" s="666"/>
      <c r="I630" s="665">
        <v>-7</v>
      </c>
      <c r="J630" s="665">
        <v>-5</v>
      </c>
      <c r="K630" s="665">
        <v>-12</v>
      </c>
      <c r="L630" s="149" t="str">
        <f t="shared" si="45"/>
        <v>430C@</v>
      </c>
      <c r="M630" s="150" t="str">
        <f t="shared" si="46"/>
        <v># DE VTE - ACCESSOIRES NEUFS BMW AUTO</v>
      </c>
      <c r="N630" s="151">
        <f>+IF(OR($Q630=Parametres!$G$2,$Q630=Parametres!$G$3),I630,C630)</f>
        <v>-7</v>
      </c>
      <c r="O630" s="151">
        <f>+IF(OR($Q630=Parametres!$G$2,$Q630=Parametres!$G$3),J630,D630)</f>
        <v>-5</v>
      </c>
      <c r="P630" s="151">
        <f>+IF(OR($Q630=Parametres!$G$2,$Q630=Parametres!$G$3),K630,E630)</f>
        <v>-12</v>
      </c>
      <c r="Q630" s="150" t="str">
        <f t="shared" si="47"/>
        <v>10-Compte compteur</v>
      </c>
      <c r="R630" s="149" t="str">
        <f t="shared" si="48"/>
        <v>430</v>
      </c>
      <c r="S630" s="150">
        <f t="shared" si="49"/>
        <v>0</v>
      </c>
      <c r="T630" s="152" t="str">
        <f>+VLOOKUP($L630,Data_Validation!$A:$D,1,0)</f>
        <v>430C@</v>
      </c>
      <c r="U630" s="152" t="str">
        <f>+VLOOKUP($L630,Data_Validation!$A:$D,3,0)</f>
        <v>Véhicules neufs</v>
      </c>
      <c r="V630" s="152" t="str">
        <f>+VLOOKUP($L630,Data_Validation!$A:$D,4,0)</f>
        <v>Rev. Autres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71" t="s">
        <v>1513</v>
      </c>
      <c r="B631" s="671" t="s">
        <v>1514</v>
      </c>
      <c r="C631" s="672"/>
      <c r="D631" s="672"/>
      <c r="E631" s="672"/>
      <c r="F631" s="671" t="s">
        <v>4</v>
      </c>
      <c r="G631" s="671" t="s">
        <v>626</v>
      </c>
      <c r="H631" s="666"/>
      <c r="I631" s="665">
        <v>-37</v>
      </c>
      <c r="J631" s="665">
        <v>-27</v>
      </c>
      <c r="K631" s="665">
        <v>-64</v>
      </c>
      <c r="L631" s="149" t="str">
        <f t="shared" si="45"/>
        <v>430E@</v>
      </c>
      <c r="M631" s="150" t="str">
        <f t="shared" si="46"/>
        <v># DE SLS - PROTEC ESTHETIQUE NEUF BMW AUTO</v>
      </c>
      <c r="N631" s="151">
        <f>+IF(OR($Q631=Parametres!$G$2,$Q631=Parametres!$G$3),I631,C631)</f>
        <v>-37</v>
      </c>
      <c r="O631" s="151">
        <f>+IF(OR($Q631=Parametres!$G$2,$Q631=Parametres!$G$3),J631,D631)</f>
        <v>-27</v>
      </c>
      <c r="P631" s="151">
        <f>+IF(OR($Q631=Parametres!$G$2,$Q631=Parametres!$G$3),K631,E631)</f>
        <v>-64</v>
      </c>
      <c r="Q631" s="150" t="str">
        <f t="shared" si="47"/>
        <v>10-Compte compteur</v>
      </c>
      <c r="R631" s="149" t="str">
        <f t="shared" si="48"/>
        <v>430</v>
      </c>
      <c r="S631" s="150">
        <f t="shared" si="49"/>
        <v>0</v>
      </c>
      <c r="T631" s="152" t="str">
        <f>+VLOOKUP($L631,Data_Validation!$A:$D,1,0)</f>
        <v>430E@</v>
      </c>
      <c r="U631" s="152" t="str">
        <f>+VLOOKUP($L631,Data_Validation!$A:$D,3,0)</f>
        <v>Véhicules neufs</v>
      </c>
      <c r="V631" s="152" t="str">
        <f>+VLOOKUP($L631,Data_Validation!$A:$D,4,0)</f>
        <v>Rev. Protections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71" t="s">
        <v>1515</v>
      </c>
      <c r="B632" s="671" t="s">
        <v>1516</v>
      </c>
      <c r="C632" s="672"/>
      <c r="D632" s="672"/>
      <c r="E632" s="672"/>
      <c r="F632" s="671" t="s">
        <v>4</v>
      </c>
      <c r="G632" s="671" t="s">
        <v>626</v>
      </c>
      <c r="H632" s="666"/>
      <c r="I632" s="665">
        <v>-1</v>
      </c>
      <c r="J632" s="665">
        <v>0</v>
      </c>
      <c r="K632" s="665">
        <v>-1</v>
      </c>
      <c r="L632" s="149" t="str">
        <f t="shared" si="45"/>
        <v>430F@</v>
      </c>
      <c r="M632" s="150" t="str">
        <f t="shared" si="46"/>
        <v># DE VTE - RIST FIN NEUF BMW AUTO</v>
      </c>
      <c r="N632" s="151">
        <f>+IF(OR($Q632=Parametres!$G$2,$Q632=Parametres!$G$3),I632,C632)</f>
        <v>-1</v>
      </c>
      <c r="O632" s="151">
        <f>+IF(OR($Q632=Parametres!$G$2,$Q632=Parametres!$G$3),J632,D632)</f>
        <v>0</v>
      </c>
      <c r="P632" s="151">
        <f>+IF(OR($Q632=Parametres!$G$2,$Q632=Parametres!$G$3),K632,E632)</f>
        <v>-1</v>
      </c>
      <c r="Q632" s="150" t="str">
        <f t="shared" si="47"/>
        <v>10-Compte compteur</v>
      </c>
      <c r="R632" s="149" t="str">
        <f t="shared" si="48"/>
        <v>430</v>
      </c>
      <c r="S632" s="150">
        <f t="shared" si="49"/>
        <v>0</v>
      </c>
      <c r="T632" s="152" t="str">
        <f>+VLOOKUP($L632,Data_Validation!$A:$D,1,0)</f>
        <v>430F@</v>
      </c>
      <c r="U632" s="152" t="str">
        <f>+VLOOKUP($L632,Data_Validation!$A:$D,3,0)</f>
        <v>Véhicules neufs</v>
      </c>
      <c r="V632" s="152" t="str">
        <f>+VLOOKUP($L632,Data_Validation!$A:$D,4,0)</f>
        <v>Rev. Finances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71" t="s">
        <v>1517</v>
      </c>
      <c r="B633" s="671" t="s">
        <v>1044</v>
      </c>
      <c r="C633" s="672"/>
      <c r="D633" s="672"/>
      <c r="E633" s="672"/>
      <c r="F633" s="671" t="s">
        <v>4</v>
      </c>
      <c r="G633" s="671" t="s">
        <v>626</v>
      </c>
      <c r="H633" s="666"/>
      <c r="I633" s="665">
        <v>-1</v>
      </c>
      <c r="J633" s="665">
        <v>-2</v>
      </c>
      <c r="K633" s="665">
        <v>-3</v>
      </c>
      <c r="L633" s="149" t="str">
        <f t="shared" si="45"/>
        <v>430P@</v>
      </c>
      <c r="M633" s="150" t="str">
        <f t="shared" si="46"/>
        <v># DE VTE - PROTEC PNEUS/JANTES NEUF BMW AUTO</v>
      </c>
      <c r="N633" s="151">
        <f>+IF(OR($Q633=Parametres!$G$2,$Q633=Parametres!$G$3),I633,C633)</f>
        <v>-1</v>
      </c>
      <c r="O633" s="151">
        <f>+IF(OR($Q633=Parametres!$G$2,$Q633=Parametres!$G$3),J633,D633)</f>
        <v>-2</v>
      </c>
      <c r="P633" s="151">
        <f>+IF(OR($Q633=Parametres!$G$2,$Q633=Parametres!$G$3),K633,E633)</f>
        <v>-3</v>
      </c>
      <c r="Q633" s="150" t="str">
        <f t="shared" si="47"/>
        <v>10-Compte compteur</v>
      </c>
      <c r="R633" s="149" t="str">
        <f t="shared" si="48"/>
        <v>430</v>
      </c>
      <c r="S633" s="150">
        <f t="shared" si="49"/>
        <v>0</v>
      </c>
      <c r="T633" s="152" t="str">
        <f>+VLOOKUP($L633,Data_Validation!$A:$D,1,0)</f>
        <v>430P@</v>
      </c>
      <c r="U633" s="152" t="str">
        <f>+VLOOKUP($L633,Data_Validation!$A:$D,3,0)</f>
        <v>Véhicules neufs</v>
      </c>
      <c r="V633" s="152" t="str">
        <f>+VLOOKUP($L633,Data_Validation!$A:$D,4,0)</f>
        <v>Rev. Protections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71" t="s">
        <v>1951</v>
      </c>
      <c r="B634" s="671" t="s">
        <v>1952</v>
      </c>
      <c r="C634" s="672"/>
      <c r="D634" s="672"/>
      <c r="E634" s="672"/>
      <c r="F634" s="671" t="s">
        <v>4</v>
      </c>
      <c r="G634" s="671" t="s">
        <v>626</v>
      </c>
      <c r="H634" s="666"/>
      <c r="I634" s="665">
        <v>0</v>
      </c>
      <c r="J634" s="665">
        <v>-1</v>
      </c>
      <c r="K634" s="665">
        <v>-1</v>
      </c>
      <c r="L634" s="149" t="str">
        <f t="shared" si="45"/>
        <v>430R@</v>
      </c>
      <c r="M634" s="150" t="str">
        <f t="shared" si="46"/>
        <v># DE VTE - ASS. REMP. NEUF BMW AUTO</v>
      </c>
      <c r="N634" s="151">
        <f>+IF(OR($Q634=Parametres!$G$2,$Q634=Parametres!$G$3),I634,C634)</f>
        <v>0</v>
      </c>
      <c r="O634" s="151">
        <f>+IF(OR($Q634=Parametres!$G$2,$Q634=Parametres!$G$3),J634,D634)</f>
        <v>-1</v>
      </c>
      <c r="P634" s="151">
        <f>+IF(OR($Q634=Parametres!$G$2,$Q634=Parametres!$G$3),K634,E634)</f>
        <v>-1</v>
      </c>
      <c r="Q634" s="150" t="str">
        <f t="shared" si="47"/>
        <v>10-Compte compteur</v>
      </c>
      <c r="R634" s="149" t="str">
        <f t="shared" si="48"/>
        <v>430</v>
      </c>
      <c r="S634" s="150">
        <f t="shared" si="49"/>
        <v>0</v>
      </c>
      <c r="T634" s="152" t="str">
        <f>+VLOOKUP($L634,Data_Validation!$A:$D,1,0)</f>
        <v>430R@</v>
      </c>
      <c r="U634" s="152" t="str">
        <f>+VLOOKUP($L634,Data_Validation!$A:$D,3,0)</f>
        <v>Véhicules neufs</v>
      </c>
      <c r="V634" s="152" t="str">
        <f>+VLOOKUP($L634,Data_Validation!$A:$D,4,0)</f>
        <v>Rev. Protections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71" t="s">
        <v>1518</v>
      </c>
      <c r="B635" s="671" t="s">
        <v>1519</v>
      </c>
      <c r="C635" s="672"/>
      <c r="D635" s="672"/>
      <c r="E635" s="672"/>
      <c r="F635" s="671" t="s">
        <v>4</v>
      </c>
      <c r="G635" s="671" t="s">
        <v>626</v>
      </c>
      <c r="H635" s="666"/>
      <c r="I635" s="665">
        <v>-2</v>
      </c>
      <c r="J635" s="665">
        <v>0</v>
      </c>
      <c r="K635" s="665">
        <v>-2</v>
      </c>
      <c r="L635" s="149" t="str">
        <f t="shared" si="45"/>
        <v>430T@</v>
      </c>
      <c r="M635" s="150" t="str">
        <f t="shared" si="46"/>
        <v># DE SLS - TRAITEMENT OTOPROTEC NEUF BMW AUTO</v>
      </c>
      <c r="N635" s="151">
        <f>+IF(OR($Q635=Parametres!$G$2,$Q635=Parametres!$G$3),I635,C635)</f>
        <v>-2</v>
      </c>
      <c r="O635" s="151">
        <f>+IF(OR($Q635=Parametres!$G$2,$Q635=Parametres!$G$3),J635,D635)</f>
        <v>0</v>
      </c>
      <c r="P635" s="151">
        <f>+IF(OR($Q635=Parametres!$G$2,$Q635=Parametres!$G$3),K635,E635)</f>
        <v>-2</v>
      </c>
      <c r="Q635" s="150" t="str">
        <f t="shared" si="47"/>
        <v>10-Compte compteur</v>
      </c>
      <c r="R635" s="149" t="str">
        <f t="shared" si="48"/>
        <v>430</v>
      </c>
      <c r="S635" s="150">
        <f t="shared" si="49"/>
        <v>0</v>
      </c>
      <c r="T635" s="152" t="str">
        <f>+VLOOKUP($L635,Data_Validation!$A:$D,1,0)</f>
        <v>430T@</v>
      </c>
      <c r="U635" s="152" t="str">
        <f>+VLOOKUP($L635,Data_Validation!$A:$D,3,0)</f>
        <v>Véhicules neufs</v>
      </c>
      <c r="V635" s="152" t="str">
        <f>+VLOOKUP($L635,Data_Validation!$A:$D,4,0)</f>
        <v>Rev. Autres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71" t="s">
        <v>1520</v>
      </c>
      <c r="B636" s="671" t="s">
        <v>1521</v>
      </c>
      <c r="C636" s="672"/>
      <c r="D636" s="672"/>
      <c r="E636" s="672"/>
      <c r="F636" s="671" t="s">
        <v>4</v>
      </c>
      <c r="G636" s="671" t="s">
        <v>626</v>
      </c>
      <c r="H636" s="666"/>
      <c r="I636" s="665">
        <v>-12</v>
      </c>
      <c r="J636" s="665">
        <v>-5</v>
      </c>
      <c r="K636" s="665">
        <v>-17</v>
      </c>
      <c r="L636" s="149" t="str">
        <f t="shared" si="45"/>
        <v>430U@</v>
      </c>
      <c r="M636" s="150" t="str">
        <f t="shared" si="46"/>
        <v># DE VTE - ASSIS USU NEUF BMW AUTO</v>
      </c>
      <c r="N636" s="151">
        <f>+IF(OR($Q636=Parametres!$G$2,$Q636=Parametres!$G$3),I636,C636)</f>
        <v>-12</v>
      </c>
      <c r="O636" s="151">
        <f>+IF(OR($Q636=Parametres!$G$2,$Q636=Parametres!$G$3),J636,D636)</f>
        <v>-5</v>
      </c>
      <c r="P636" s="151">
        <f>+IF(OR($Q636=Parametres!$G$2,$Q636=Parametres!$G$3),K636,E636)</f>
        <v>-17</v>
      </c>
      <c r="Q636" s="150" t="str">
        <f t="shared" si="47"/>
        <v>10-Compte compteur</v>
      </c>
      <c r="R636" s="149" t="str">
        <f t="shared" si="48"/>
        <v>430</v>
      </c>
      <c r="S636" s="150">
        <f t="shared" si="49"/>
        <v>0</v>
      </c>
      <c r="T636" s="152" t="str">
        <f>+VLOOKUP($L636,Data_Validation!$A:$D,1,0)</f>
        <v>430U@</v>
      </c>
      <c r="U636" s="152" t="str">
        <f>+VLOOKUP($L636,Data_Validation!$A:$D,3,0)</f>
        <v>Véhicules neufs</v>
      </c>
      <c r="V636" s="152" t="str">
        <f>+VLOOKUP($L636,Data_Validation!$A:$D,4,0)</f>
        <v>Rev. Protections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71" t="s">
        <v>1525</v>
      </c>
      <c r="B637" s="671" t="s">
        <v>722</v>
      </c>
      <c r="C637" s="672"/>
      <c r="D637" s="672"/>
      <c r="E637" s="672"/>
      <c r="F637" s="671" t="s">
        <v>4</v>
      </c>
      <c r="G637" s="671" t="s">
        <v>2013</v>
      </c>
      <c r="H637" s="666"/>
      <c r="I637" s="665">
        <v>-5</v>
      </c>
      <c r="J637" s="665">
        <v>-8</v>
      </c>
      <c r="K637" s="665">
        <v>-13</v>
      </c>
      <c r="L637" s="149" t="str">
        <f t="shared" si="45"/>
        <v>432A@</v>
      </c>
      <c r="M637" s="150" t="str">
        <f t="shared" si="46"/>
        <v># DE VTE - GAR PROL NEUF BMW AUTO</v>
      </c>
      <c r="N637" s="151">
        <f>+IF(OR($Q637=Parametres!$G$2,$Q637=Parametres!$G$3),I637,C637)</f>
        <v>-5</v>
      </c>
      <c r="O637" s="151">
        <f>+IF(OR($Q637=Parametres!$G$2,$Q637=Parametres!$G$3),J637,D637)</f>
        <v>-8</v>
      </c>
      <c r="P637" s="151">
        <f>+IF(OR($Q637=Parametres!$G$2,$Q637=Parametres!$G$3),K637,E637)</f>
        <v>-13</v>
      </c>
      <c r="Q637" s="150" t="str">
        <f t="shared" si="47"/>
        <v>10-Compte compteur</v>
      </c>
      <c r="R637" s="149" t="str">
        <f t="shared" si="48"/>
        <v>432</v>
      </c>
      <c r="S637" s="150">
        <f t="shared" si="49"/>
        <v>0</v>
      </c>
      <c r="T637" s="152" t="str">
        <f>+VLOOKUP($L637,Data_Validation!$A:$D,1,0)</f>
        <v>432A@</v>
      </c>
      <c r="U637" s="152" t="str">
        <f>+VLOOKUP($L637,Data_Validation!$A:$D,3,0)</f>
        <v>Véhicules neufs</v>
      </c>
      <c r="V637" s="152" t="str">
        <f>+VLOOKUP($L637,Data_Validation!$A:$D,4,0)</f>
        <v>Rev. Protections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71" t="s">
        <v>2110</v>
      </c>
      <c r="B638" s="671" t="s">
        <v>2109</v>
      </c>
      <c r="C638" s="672"/>
      <c r="D638" s="672"/>
      <c r="E638" s="672"/>
      <c r="F638" s="671" t="s">
        <v>4</v>
      </c>
      <c r="G638" s="671" t="s">
        <v>2368</v>
      </c>
      <c r="H638" s="666"/>
      <c r="I638" s="665">
        <v>-13</v>
      </c>
      <c r="J638" s="665">
        <v>-8</v>
      </c>
      <c r="K638" s="665">
        <v>-21</v>
      </c>
      <c r="L638" s="149" t="str">
        <f t="shared" si="45"/>
        <v>434A@</v>
      </c>
      <c r="M638" s="150" t="str">
        <f t="shared" si="46"/>
        <v># DE VTE - CONT ENTR NEUF BMW AUTO</v>
      </c>
      <c r="N638" s="151">
        <f>+IF(OR($Q638=Parametres!$G$2,$Q638=Parametres!$G$3),I638,C638)</f>
        <v>-13</v>
      </c>
      <c r="O638" s="151">
        <f>+IF(OR($Q638=Parametres!$G$2,$Q638=Parametres!$G$3),J638,D638)</f>
        <v>-8</v>
      </c>
      <c r="P638" s="151">
        <f>+IF(OR($Q638=Parametres!$G$2,$Q638=Parametres!$G$3),K638,E638)</f>
        <v>-21</v>
      </c>
      <c r="Q638" s="150" t="str">
        <f t="shared" si="47"/>
        <v>10-Compte compteur</v>
      </c>
      <c r="R638" s="149" t="str">
        <f t="shared" si="48"/>
        <v>434</v>
      </c>
      <c r="S638" s="150">
        <f t="shared" si="49"/>
        <v>0</v>
      </c>
      <c r="T638" s="152" t="str">
        <f>+VLOOKUP($L638,Data_Validation!$A:$D,1,0)</f>
        <v>434A@</v>
      </c>
      <c r="U638" s="152" t="str">
        <f>+VLOOKUP($L638,Data_Validation!$A:$D,3,0)</f>
        <v>Véhicules neufs</v>
      </c>
      <c r="V638" s="152" t="str">
        <f>+VLOOKUP($L638,Data_Validation!$A:$D,4,0)</f>
        <v>Rev. Protections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71" t="s">
        <v>1526</v>
      </c>
      <c r="B639" s="671" t="s">
        <v>723</v>
      </c>
      <c r="C639" s="672"/>
      <c r="D639" s="672"/>
      <c r="E639" s="672"/>
      <c r="F639" s="671" t="s">
        <v>4</v>
      </c>
      <c r="G639" s="671" t="s">
        <v>421</v>
      </c>
      <c r="H639" s="666"/>
      <c r="I639" s="665">
        <v>-10</v>
      </c>
      <c r="J639" s="665">
        <v>-4</v>
      </c>
      <c r="K639" s="665">
        <v>-14</v>
      </c>
      <c r="L639" s="149" t="str">
        <f t="shared" si="45"/>
        <v>440A@</v>
      </c>
      <c r="M639" s="150" t="str">
        <f t="shared" si="46"/>
        <v># DE VTE - USAGE BMW AUTO CERT</v>
      </c>
      <c r="N639" s="151">
        <f>+IF(OR($Q639=Parametres!$G$2,$Q639=Parametres!$G$3),I639,C639)</f>
        <v>-10</v>
      </c>
      <c r="O639" s="151">
        <f>+IF(OR($Q639=Parametres!$G$2,$Q639=Parametres!$G$3),J639,D639)</f>
        <v>-4</v>
      </c>
      <c r="P639" s="151">
        <f>+IF(OR($Q639=Parametres!$G$2,$Q639=Parametres!$G$3),K639,E639)</f>
        <v>-14</v>
      </c>
      <c r="Q639" s="150" t="str">
        <f t="shared" si="47"/>
        <v>10-Compte compteur</v>
      </c>
      <c r="R639" s="149" t="str">
        <f t="shared" si="48"/>
        <v>440A</v>
      </c>
      <c r="S639" s="150">
        <f t="shared" si="49"/>
        <v>0</v>
      </c>
      <c r="T639" s="152" t="str">
        <f>+VLOOKUP($L639,Data_Validation!$A:$D,1,0)</f>
        <v>440A@</v>
      </c>
      <c r="U639" s="152" t="str">
        <f>+VLOOKUP($L639,Data_Validation!$A:$D,3,0)</f>
        <v>Véhicules usagés</v>
      </c>
      <c r="V639" s="152" t="str">
        <f>+VLOOKUP($L639,Data_Validation!$A:$D,4,0)</f>
        <v>Certifié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71" t="s">
        <v>1527</v>
      </c>
      <c r="B640" s="671" t="s">
        <v>724</v>
      </c>
      <c r="C640" s="672"/>
      <c r="D640" s="672"/>
      <c r="E640" s="672"/>
      <c r="F640" s="671" t="s">
        <v>4</v>
      </c>
      <c r="G640" s="671" t="s">
        <v>417</v>
      </c>
      <c r="H640" s="666"/>
      <c r="I640" s="665">
        <v>-5</v>
      </c>
      <c r="J640" s="665">
        <v>-4</v>
      </c>
      <c r="K640" s="665">
        <v>-9</v>
      </c>
      <c r="L640" s="149" t="str">
        <f t="shared" si="45"/>
        <v>440B@</v>
      </c>
      <c r="M640" s="150" t="str">
        <f t="shared" si="46"/>
        <v># DE VTE - USAGE BMW AUTO NON-CERT</v>
      </c>
      <c r="N640" s="151">
        <f>+IF(OR($Q640=Parametres!$G$2,$Q640=Parametres!$G$3),I640,C640)</f>
        <v>-5</v>
      </c>
      <c r="O640" s="151">
        <f>+IF(OR($Q640=Parametres!$G$2,$Q640=Parametres!$G$3),J640,D640)</f>
        <v>-4</v>
      </c>
      <c r="P640" s="151">
        <f>+IF(OR($Q640=Parametres!$G$2,$Q640=Parametres!$G$3),K640,E640)</f>
        <v>-9</v>
      </c>
      <c r="Q640" s="150" t="str">
        <f t="shared" si="47"/>
        <v>10-Compte compteur</v>
      </c>
      <c r="R640" s="149" t="str">
        <f t="shared" si="48"/>
        <v>440B</v>
      </c>
      <c r="S640" s="150">
        <f t="shared" si="49"/>
        <v>0</v>
      </c>
      <c r="T640" s="152" t="str">
        <f>+VLOOKUP($L640,Data_Validation!$A:$D,1,0)</f>
        <v>440B@</v>
      </c>
      <c r="U640" s="152" t="str">
        <f>+VLOOKUP($L640,Data_Validation!$A:$D,3,0)</f>
        <v>Véhicules usagés</v>
      </c>
      <c r="V640" s="152" t="str">
        <f>+VLOOKUP($L640,Data_Validation!$A:$D,4,0)</f>
        <v>Non Certifié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71" t="s">
        <v>1528</v>
      </c>
      <c r="B641" s="671" t="s">
        <v>725</v>
      </c>
      <c r="C641" s="672"/>
      <c r="D641" s="672"/>
      <c r="E641" s="672"/>
      <c r="F641" s="671" t="s">
        <v>4</v>
      </c>
      <c r="G641" s="671" t="s">
        <v>385</v>
      </c>
      <c r="H641" s="666"/>
      <c r="I641" s="665">
        <v>-9</v>
      </c>
      <c r="J641" s="665">
        <v>-12</v>
      </c>
      <c r="K641" s="665">
        <v>-21</v>
      </c>
      <c r="L641" s="149" t="str">
        <f t="shared" si="45"/>
        <v>442@</v>
      </c>
      <c r="M641" s="150" t="str">
        <f t="shared" si="46"/>
        <v># DE VTE - USAGE AUTRES</v>
      </c>
      <c r="N641" s="151">
        <f>+IF(OR($Q641=Parametres!$G$2,$Q641=Parametres!$G$3),I641,C641)</f>
        <v>-9</v>
      </c>
      <c r="O641" s="151">
        <f>+IF(OR($Q641=Parametres!$G$2,$Q641=Parametres!$G$3),J641,D641)</f>
        <v>-12</v>
      </c>
      <c r="P641" s="151">
        <f>+IF(OR($Q641=Parametres!$G$2,$Q641=Parametres!$G$3),K641,E641)</f>
        <v>-21</v>
      </c>
      <c r="Q641" s="150" t="str">
        <f t="shared" si="47"/>
        <v>10-Compte compteur</v>
      </c>
      <c r="R641" s="149" t="str">
        <f t="shared" si="48"/>
        <v>442</v>
      </c>
      <c r="S641" s="150">
        <f t="shared" si="49"/>
        <v>0</v>
      </c>
      <c r="T641" s="152" t="str">
        <f>+VLOOKUP($L641,Data_Validation!$A:$D,1,0)</f>
        <v>442@</v>
      </c>
      <c r="U641" s="152" t="str">
        <f>+VLOOKUP($L641,Data_Validation!$A:$D,3,0)</f>
        <v>Véhicules usagés</v>
      </c>
      <c r="V641" s="152" t="str">
        <f>+VLOOKUP($L641,Data_Validation!$A:$D,4,0)</f>
        <v>Autres marques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71" t="s">
        <v>1529</v>
      </c>
      <c r="B642" s="671" t="s">
        <v>1530</v>
      </c>
      <c r="C642" s="672"/>
      <c r="D642" s="672"/>
      <c r="E642" s="672"/>
      <c r="F642" s="671" t="s">
        <v>4</v>
      </c>
      <c r="G642" s="671" t="s">
        <v>1073</v>
      </c>
      <c r="H642" s="666"/>
      <c r="I642" s="665">
        <v>-10</v>
      </c>
      <c r="J642" s="665">
        <v>-1</v>
      </c>
      <c r="K642" s="665">
        <v>-11</v>
      </c>
      <c r="L642" s="149" t="str">
        <f t="shared" ref="L642:L705" si="50">+B642</f>
        <v>444A@</v>
      </c>
      <c r="M642" s="150" t="str">
        <f t="shared" ref="M642:M705" si="51">+A642</f>
        <v># DE VTE - GROS BMW AUTO</v>
      </c>
      <c r="N642" s="151">
        <f>+IF(OR($Q642=Parametres!$G$2,$Q642=Parametres!$G$3),I642,C642)</f>
        <v>-10</v>
      </c>
      <c r="O642" s="151">
        <f>+IF(OR($Q642=Parametres!$G$2,$Q642=Parametres!$G$3),J642,D642)</f>
        <v>-1</v>
      </c>
      <c r="P642" s="151">
        <f>+IF(OR($Q642=Parametres!$G$2,$Q642=Parametres!$G$3),K642,E642)</f>
        <v>-11</v>
      </c>
      <c r="Q642" s="150" t="str">
        <f t="shared" ref="Q642:Q705" si="52">+F642</f>
        <v>10-Compte compteur</v>
      </c>
      <c r="R642" s="149" t="str">
        <f t="shared" ref="R642:R705" si="53">+G642</f>
        <v>444A</v>
      </c>
      <c r="S642" s="150">
        <f t="shared" ref="S642:S705" si="54">+H642</f>
        <v>0</v>
      </c>
      <c r="T642" s="152" t="str">
        <f>+VLOOKUP($L642,Data_Validation!$A:$D,1,0)</f>
        <v>444A@</v>
      </c>
      <c r="U642" s="152" t="str">
        <f>+VLOOKUP($L642,Data_Validation!$A:$D,3,0)</f>
        <v>Véhicules usagés</v>
      </c>
      <c r="V642" s="152" t="str">
        <f>+VLOOKUP($L642,Data_Validation!$A:$D,4,0)</f>
        <v>Ventes au Gros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71" t="s">
        <v>1531</v>
      </c>
      <c r="B643" s="671" t="s">
        <v>726</v>
      </c>
      <c r="C643" s="672"/>
      <c r="D643" s="672"/>
      <c r="E643" s="672"/>
      <c r="F643" s="671" t="s">
        <v>4</v>
      </c>
      <c r="G643" s="671" t="s">
        <v>399</v>
      </c>
      <c r="H643" s="666"/>
      <c r="I643" s="665">
        <v>-3</v>
      </c>
      <c r="J643" s="665">
        <v>-3</v>
      </c>
      <c r="K643" s="665">
        <v>-6</v>
      </c>
      <c r="L643" s="149" t="str">
        <f t="shared" si="50"/>
        <v>444B@</v>
      </c>
      <c r="M643" s="150" t="str">
        <f t="shared" si="51"/>
        <v># DE VTE - GROS BMW CAMION</v>
      </c>
      <c r="N643" s="151">
        <f>+IF(OR($Q643=Parametres!$G$2,$Q643=Parametres!$G$3),I643,C643)</f>
        <v>-3</v>
      </c>
      <c r="O643" s="151">
        <f>+IF(OR($Q643=Parametres!$G$2,$Q643=Parametres!$G$3),J643,D643)</f>
        <v>-3</v>
      </c>
      <c r="P643" s="151">
        <f>+IF(OR($Q643=Parametres!$G$2,$Q643=Parametres!$G$3),K643,E643)</f>
        <v>-6</v>
      </c>
      <c r="Q643" s="150" t="str">
        <f t="shared" si="52"/>
        <v>10-Compte compteur</v>
      </c>
      <c r="R643" s="149" t="str">
        <f t="shared" si="53"/>
        <v>444B</v>
      </c>
      <c r="S643" s="150">
        <f t="shared" si="54"/>
        <v>0</v>
      </c>
      <c r="T643" s="152" t="str">
        <f>+VLOOKUP($L643,Data_Validation!$A:$D,1,0)</f>
        <v>444B@</v>
      </c>
      <c r="U643" s="152" t="str">
        <f>+VLOOKUP($L643,Data_Validation!$A:$D,3,0)</f>
        <v>Véhicules usagés</v>
      </c>
      <c r="V643" s="152" t="str">
        <f>+VLOOKUP($L643,Data_Validation!$A:$D,4,0)</f>
        <v>Ventes au Gros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71" t="s">
        <v>1532</v>
      </c>
      <c r="B644" s="671" t="s">
        <v>727</v>
      </c>
      <c r="C644" s="672"/>
      <c r="D644" s="672"/>
      <c r="E644" s="672"/>
      <c r="F644" s="671" t="s">
        <v>4</v>
      </c>
      <c r="G644" s="671" t="s">
        <v>402</v>
      </c>
      <c r="H644" s="666"/>
      <c r="I644" s="665">
        <v>-24</v>
      </c>
      <c r="J644" s="665">
        <v>-12</v>
      </c>
      <c r="K644" s="665">
        <v>-36</v>
      </c>
      <c r="L644" s="149" t="str">
        <f t="shared" si="50"/>
        <v>444C@</v>
      </c>
      <c r="M644" s="150" t="str">
        <f t="shared" si="51"/>
        <v># DE VTE - GROS AUTRE</v>
      </c>
      <c r="N644" s="151">
        <f>+IF(OR($Q644=Parametres!$G$2,$Q644=Parametres!$G$3),I644,C644)</f>
        <v>-24</v>
      </c>
      <c r="O644" s="151">
        <f>+IF(OR($Q644=Parametres!$G$2,$Q644=Parametres!$G$3),J644,D644)</f>
        <v>-12</v>
      </c>
      <c r="P644" s="151">
        <f>+IF(OR($Q644=Parametres!$G$2,$Q644=Parametres!$G$3),K644,E644)</f>
        <v>-36</v>
      </c>
      <c r="Q644" s="150" t="str">
        <f t="shared" si="52"/>
        <v>10-Compte compteur</v>
      </c>
      <c r="R644" s="149" t="str">
        <f t="shared" si="53"/>
        <v>444C</v>
      </c>
      <c r="S644" s="150">
        <f t="shared" si="54"/>
        <v>0</v>
      </c>
      <c r="T644" s="152" t="str">
        <f>+VLOOKUP($L644,Data_Validation!$A:$D,1,0)</f>
        <v>444C@</v>
      </c>
      <c r="U644" s="152" t="str">
        <f>+VLOOKUP($L644,Data_Validation!$A:$D,3,0)</f>
        <v>Véhicules usagés</v>
      </c>
      <c r="V644" s="152" t="str">
        <f>+VLOOKUP($L644,Data_Validation!$A:$D,4,0)</f>
        <v>Ventes au Gros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71" t="s">
        <v>1533</v>
      </c>
      <c r="B645" s="671" t="s">
        <v>728</v>
      </c>
      <c r="C645" s="672"/>
      <c r="D645" s="672"/>
      <c r="E645" s="672"/>
      <c r="F645" s="671" t="s">
        <v>4</v>
      </c>
      <c r="G645" s="671" t="s">
        <v>419</v>
      </c>
      <c r="H645" s="666"/>
      <c r="I645" s="665">
        <v>-7</v>
      </c>
      <c r="J645" s="665">
        <v>-3</v>
      </c>
      <c r="K645" s="665">
        <v>-10</v>
      </c>
      <c r="L645" s="149" t="str">
        <f t="shared" si="50"/>
        <v>446A@</v>
      </c>
      <c r="M645" s="150" t="str">
        <f t="shared" si="51"/>
        <v># DE VTE - USAGE BMW CAMION CERT</v>
      </c>
      <c r="N645" s="151">
        <f>+IF(OR($Q645=Parametres!$G$2,$Q645=Parametres!$G$3),I645,C645)</f>
        <v>-7</v>
      </c>
      <c r="O645" s="151">
        <f>+IF(OR($Q645=Parametres!$G$2,$Q645=Parametres!$G$3),J645,D645)</f>
        <v>-3</v>
      </c>
      <c r="P645" s="151">
        <f>+IF(OR($Q645=Parametres!$G$2,$Q645=Parametres!$G$3),K645,E645)</f>
        <v>-10</v>
      </c>
      <c r="Q645" s="150" t="str">
        <f t="shared" si="52"/>
        <v>10-Compte compteur</v>
      </c>
      <c r="R645" s="149" t="str">
        <f t="shared" si="53"/>
        <v>446A</v>
      </c>
      <c r="S645" s="150">
        <f t="shared" si="54"/>
        <v>0</v>
      </c>
      <c r="T645" s="152" t="str">
        <f>+VLOOKUP($L645,Data_Validation!$A:$D,1,0)</f>
        <v>446A@</v>
      </c>
      <c r="U645" s="152" t="str">
        <f>+VLOOKUP($L645,Data_Validation!$A:$D,3,0)</f>
        <v>Véhicules usagés</v>
      </c>
      <c r="V645" s="152" t="str">
        <f>+VLOOKUP($L645,Data_Validation!$A:$D,4,0)</f>
        <v>Certifié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71" t="s">
        <v>1534</v>
      </c>
      <c r="B646" s="671" t="s">
        <v>729</v>
      </c>
      <c r="C646" s="672"/>
      <c r="D646" s="672"/>
      <c r="E646" s="672"/>
      <c r="F646" s="671" t="s">
        <v>4</v>
      </c>
      <c r="G646" s="671" t="s">
        <v>405</v>
      </c>
      <c r="H646" s="666"/>
      <c r="I646" s="665">
        <v>-8</v>
      </c>
      <c r="J646" s="665">
        <v>-5</v>
      </c>
      <c r="K646" s="665">
        <v>-13</v>
      </c>
      <c r="L646" s="149" t="str">
        <f t="shared" si="50"/>
        <v>446B@</v>
      </c>
      <c r="M646" s="150" t="str">
        <f t="shared" si="51"/>
        <v># DE VTE - USAGE BMW CAMION NON-CERT</v>
      </c>
      <c r="N646" s="151">
        <f>+IF(OR($Q646=Parametres!$G$2,$Q646=Parametres!$G$3),I646,C646)</f>
        <v>-8</v>
      </c>
      <c r="O646" s="151">
        <f>+IF(OR($Q646=Parametres!$G$2,$Q646=Parametres!$G$3),J646,D646)</f>
        <v>-5</v>
      </c>
      <c r="P646" s="151">
        <f>+IF(OR($Q646=Parametres!$G$2,$Q646=Parametres!$G$3),K646,E646)</f>
        <v>-13</v>
      </c>
      <c r="Q646" s="150" t="str">
        <f t="shared" si="52"/>
        <v>10-Compte compteur</v>
      </c>
      <c r="R646" s="149" t="str">
        <f t="shared" si="53"/>
        <v>446B</v>
      </c>
      <c r="S646" s="150">
        <f t="shared" si="54"/>
        <v>0</v>
      </c>
      <c r="T646" s="152" t="str">
        <f>+VLOOKUP($L646,Data_Validation!$A:$D,1,0)</f>
        <v>446B@</v>
      </c>
      <c r="U646" s="152" t="str">
        <f>+VLOOKUP($L646,Data_Validation!$A:$D,3,0)</f>
        <v>Véhicules usagés</v>
      </c>
      <c r="V646" s="152" t="str">
        <f>+VLOOKUP($L646,Data_Validation!$A:$D,4,0)</f>
        <v>Non Certifié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71" t="s">
        <v>1535</v>
      </c>
      <c r="B647" s="671" t="s">
        <v>730</v>
      </c>
      <c r="C647" s="672"/>
      <c r="D647" s="672"/>
      <c r="E647" s="672"/>
      <c r="F647" s="671" t="s">
        <v>4</v>
      </c>
      <c r="G647" s="671" t="s">
        <v>630</v>
      </c>
      <c r="H647" s="666"/>
      <c r="I647" s="665">
        <v>0</v>
      </c>
      <c r="J647" s="665">
        <v>-1</v>
      </c>
      <c r="K647" s="665">
        <v>-1</v>
      </c>
      <c r="L647" s="149" t="str">
        <f t="shared" si="50"/>
        <v>447@</v>
      </c>
      <c r="M647" s="150" t="str">
        <f t="shared" si="51"/>
        <v># DE VTE - X5 M</v>
      </c>
      <c r="N647" s="151">
        <f>+IF(OR($Q647=Parametres!$G$2,$Q647=Parametres!$G$3),I647,C647)</f>
        <v>0</v>
      </c>
      <c r="O647" s="151">
        <f>+IF(OR($Q647=Parametres!$G$2,$Q647=Parametres!$G$3),J647,D647)</f>
        <v>-1</v>
      </c>
      <c r="P647" s="151">
        <f>+IF(OR($Q647=Parametres!$G$2,$Q647=Parametres!$G$3),K647,E647)</f>
        <v>-1</v>
      </c>
      <c r="Q647" s="150" t="str">
        <f t="shared" si="52"/>
        <v>10-Compte compteur</v>
      </c>
      <c r="R647" s="149" t="str">
        <f t="shared" si="53"/>
        <v>447</v>
      </c>
      <c r="S647" s="150">
        <f t="shared" si="54"/>
        <v>0</v>
      </c>
      <c r="T647" s="152" t="str">
        <f>+VLOOKUP($L647,Data_Validation!$A:$D,1,0)</f>
        <v>447@</v>
      </c>
      <c r="U647" s="152" t="str">
        <f>+VLOOKUP($L647,Data_Validation!$A:$D,3,0)</f>
        <v>Véhicules neufs</v>
      </c>
      <c r="V647" s="152" t="str">
        <f>+VLOOKUP($L647,Data_Validation!$A:$D,4,0)</f>
        <v>Camions détail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71" t="s">
        <v>1536</v>
      </c>
      <c r="B648" s="671" t="s">
        <v>731</v>
      </c>
      <c r="C648" s="672"/>
      <c r="D648" s="672"/>
      <c r="E648" s="672"/>
      <c r="F648" s="671" t="s">
        <v>4</v>
      </c>
      <c r="G648" s="671" t="s">
        <v>401</v>
      </c>
      <c r="H648" s="666"/>
      <c r="I648" s="665">
        <v>-8</v>
      </c>
      <c r="J648" s="665">
        <v>-3</v>
      </c>
      <c r="K648" s="665">
        <v>-11</v>
      </c>
      <c r="L648" s="149" t="str">
        <f t="shared" si="50"/>
        <v>448@</v>
      </c>
      <c r="M648" s="150" t="str">
        <f t="shared" si="51"/>
        <v># DE VTE - RACHAT LOCATION BMW</v>
      </c>
      <c r="N648" s="151">
        <f>+IF(OR($Q648=Parametres!$G$2,$Q648=Parametres!$G$3),I648,C648)</f>
        <v>-8</v>
      </c>
      <c r="O648" s="151">
        <f>+IF(OR($Q648=Parametres!$G$2,$Q648=Parametres!$G$3),J648,D648)</f>
        <v>-3</v>
      </c>
      <c r="P648" s="151">
        <f>+IF(OR($Q648=Parametres!$G$2,$Q648=Parametres!$G$3),K648,E648)</f>
        <v>-11</v>
      </c>
      <c r="Q648" s="150" t="str">
        <f t="shared" si="52"/>
        <v>10-Compte compteur</v>
      </c>
      <c r="R648" s="149" t="str">
        <f t="shared" si="53"/>
        <v>448</v>
      </c>
      <c r="S648" s="150">
        <f t="shared" si="54"/>
        <v>0</v>
      </c>
      <c r="T648" s="152" t="str">
        <f>+VLOOKUP($L648,Data_Validation!$A:$D,1,0)</f>
        <v>448@</v>
      </c>
      <c r="U648" s="152" t="str">
        <f>+VLOOKUP($L648,Data_Validation!$A:$D,3,0)</f>
        <v>Véhicules neufs</v>
      </c>
      <c r="V648" s="152" t="str">
        <f>+VLOOKUP($L648,Data_Validation!$A:$D,4,0)</f>
        <v>Rachat bail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71" t="s">
        <v>1537</v>
      </c>
      <c r="B649" s="671" t="s">
        <v>1045</v>
      </c>
      <c r="C649" s="672"/>
      <c r="D649" s="672"/>
      <c r="E649" s="672"/>
      <c r="F649" s="671" t="s">
        <v>4</v>
      </c>
      <c r="G649" s="671" t="s">
        <v>1013</v>
      </c>
      <c r="H649" s="666"/>
      <c r="I649" s="665">
        <v>-13</v>
      </c>
      <c r="J649" s="665">
        <v>-5</v>
      </c>
      <c r="K649" s="665">
        <v>-18</v>
      </c>
      <c r="L649" s="149" t="str">
        <f t="shared" si="50"/>
        <v>450@</v>
      </c>
      <c r="M649" s="150" t="str">
        <f t="shared" si="51"/>
        <v># DE VTE - MARQUAGE OTOPROTEC USAGE BMW AUTO</v>
      </c>
      <c r="N649" s="151">
        <f>+IF(OR($Q649=Parametres!$G$2,$Q649=Parametres!$G$3),I649,C649)</f>
        <v>-13</v>
      </c>
      <c r="O649" s="477">
        <f>+IF(OR($Q649=Parametres!$G$2,$Q649=Parametres!$G$3),J649,D649)</f>
        <v>-5</v>
      </c>
      <c r="P649" s="151">
        <f>+IF(OR($Q649=Parametres!$G$2,$Q649=Parametres!$G$3),K649,E649)</f>
        <v>-18</v>
      </c>
      <c r="Q649" s="150" t="str">
        <f t="shared" si="52"/>
        <v>10-Compte compteur</v>
      </c>
      <c r="R649" s="149" t="str">
        <f t="shared" si="53"/>
        <v>450</v>
      </c>
      <c r="S649" s="150">
        <f t="shared" si="54"/>
        <v>0</v>
      </c>
      <c r="T649" s="152" t="str">
        <f>+VLOOKUP($L649,Data_Validation!$A:$D,1,0)</f>
        <v>450@</v>
      </c>
      <c r="U649" s="152" t="str">
        <f>+VLOOKUP($L649,Data_Validation!$A:$D,3,0)</f>
        <v>Véhicules usagés</v>
      </c>
      <c r="V649" s="152" t="str">
        <f>+VLOOKUP($L649,Data_Validation!$A:$D,4,0)</f>
        <v>Rev. Autres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71" t="s">
        <v>1539</v>
      </c>
      <c r="B650" s="671" t="s">
        <v>733</v>
      </c>
      <c r="C650" s="672"/>
      <c r="D650" s="672"/>
      <c r="E650" s="672"/>
      <c r="F650" s="671" t="s">
        <v>4</v>
      </c>
      <c r="G650" s="671" t="s">
        <v>1013</v>
      </c>
      <c r="H650" s="666"/>
      <c r="I650" s="665">
        <v>0</v>
      </c>
      <c r="J650" s="665">
        <v>-1</v>
      </c>
      <c r="K650" s="665">
        <v>-1</v>
      </c>
      <c r="L650" s="149" t="str">
        <f t="shared" si="50"/>
        <v>450C@</v>
      </c>
      <c r="M650" s="150" t="str">
        <f t="shared" si="51"/>
        <v># DE VTE - ACCESSOIRES USAGE BMW</v>
      </c>
      <c r="N650" s="151">
        <f>+IF(OR($Q650=Parametres!$G$2,$Q650=Parametres!$G$3),I650,C650)</f>
        <v>0</v>
      </c>
      <c r="O650" s="151">
        <f>+IF(OR($Q650=Parametres!$G$2,$Q650=Parametres!$G$3),J650,D650)</f>
        <v>-1</v>
      </c>
      <c r="P650" s="151">
        <f>+IF(OR($Q650=Parametres!$G$2,$Q650=Parametres!$G$3),K650,E650)</f>
        <v>-1</v>
      </c>
      <c r="Q650" s="150" t="str">
        <f t="shared" si="52"/>
        <v>10-Compte compteur</v>
      </c>
      <c r="R650" s="149" t="str">
        <f t="shared" si="53"/>
        <v>450</v>
      </c>
      <c r="S650" s="150">
        <f t="shared" si="54"/>
        <v>0</v>
      </c>
      <c r="T650" s="152" t="str">
        <f>+VLOOKUP($L650,Data_Validation!$A:$D,1,0)</f>
        <v>450C@</v>
      </c>
      <c r="U650" s="152" t="str">
        <f>+VLOOKUP($L650,Data_Validation!$A:$D,3,0)</f>
        <v>Véhicules usagés</v>
      </c>
      <c r="V650" s="152" t="str">
        <f>+VLOOKUP($L650,Data_Validation!$A:$D,4,0)</f>
        <v>Rev. Autres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71" t="s">
        <v>1540</v>
      </c>
      <c r="B651" s="671" t="s">
        <v>1541</v>
      </c>
      <c r="C651" s="672"/>
      <c r="D651" s="672"/>
      <c r="E651" s="672"/>
      <c r="F651" s="671" t="s">
        <v>4</v>
      </c>
      <c r="G651" s="671" t="s">
        <v>1013</v>
      </c>
      <c r="H651" s="666"/>
      <c r="I651" s="665">
        <v>-5</v>
      </c>
      <c r="J651" s="665">
        <v>0</v>
      </c>
      <c r="K651" s="665">
        <v>-5</v>
      </c>
      <c r="L651" s="149" t="str">
        <f t="shared" si="50"/>
        <v>450E@</v>
      </c>
      <c r="M651" s="150" t="str">
        <f t="shared" si="51"/>
        <v># DE SLS - PROTEC ESTHETIQUE USAGE BMW AUTO</v>
      </c>
      <c r="N651" s="151">
        <f>+IF(OR($Q651=Parametres!$G$2,$Q651=Parametres!$G$3),I651,C651)</f>
        <v>-5</v>
      </c>
      <c r="O651" s="477">
        <f>+IF(OR($Q651=Parametres!$G$2,$Q651=Parametres!$G$3),J651,D651)</f>
        <v>0</v>
      </c>
      <c r="P651" s="151">
        <f>+IF(OR($Q651=Parametres!$G$2,$Q651=Parametres!$G$3),K651,E651)</f>
        <v>-5</v>
      </c>
      <c r="Q651" s="150" t="str">
        <f t="shared" si="52"/>
        <v>10-Compte compteur</v>
      </c>
      <c r="R651" s="149" t="str">
        <f t="shared" si="53"/>
        <v>450</v>
      </c>
      <c r="S651" s="150">
        <f t="shared" si="54"/>
        <v>0</v>
      </c>
      <c r="T651" s="152" t="str">
        <f>+VLOOKUP($L651,Data_Validation!$A:$D,1,0)</f>
        <v>450E@</v>
      </c>
      <c r="U651" s="152" t="str">
        <f>+VLOOKUP($L651,Data_Validation!$A:$D,3,0)</f>
        <v>Véhicules usagés</v>
      </c>
      <c r="V651" s="152" t="str">
        <f>+VLOOKUP($L651,Data_Validation!$A:$D,4,0)</f>
        <v>Rev. Protections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71" t="s">
        <v>1542</v>
      </c>
      <c r="B652" s="671" t="s">
        <v>734</v>
      </c>
      <c r="C652" s="672"/>
      <c r="D652" s="672"/>
      <c r="E652" s="672"/>
      <c r="F652" s="671" t="s">
        <v>4</v>
      </c>
      <c r="G652" s="671" t="s">
        <v>1013</v>
      </c>
      <c r="H652" s="666"/>
      <c r="I652" s="665">
        <v>-11</v>
      </c>
      <c r="J652" s="665">
        <v>-2</v>
      </c>
      <c r="K652" s="665">
        <v>-13</v>
      </c>
      <c r="L652" s="149" t="str">
        <f t="shared" si="50"/>
        <v>450F@</v>
      </c>
      <c r="M652" s="150" t="str">
        <f t="shared" si="51"/>
        <v># DE VTE - RIST FIN USAGE BMW AUTO</v>
      </c>
      <c r="N652" s="151">
        <f>+IF(OR($Q652=Parametres!$G$2,$Q652=Parametres!$G$3),I652,C652)</f>
        <v>-11</v>
      </c>
      <c r="O652" s="151">
        <f>+IF(OR($Q652=Parametres!$G$2,$Q652=Parametres!$G$3),J652,D652)</f>
        <v>-2</v>
      </c>
      <c r="P652" s="151">
        <f>+IF(OR($Q652=Parametres!$G$2,$Q652=Parametres!$G$3),K652,E652)</f>
        <v>-13</v>
      </c>
      <c r="Q652" s="150" t="str">
        <f t="shared" si="52"/>
        <v>10-Compte compteur</v>
      </c>
      <c r="R652" s="149" t="str">
        <f t="shared" si="53"/>
        <v>450</v>
      </c>
      <c r="S652" s="150">
        <f t="shared" si="54"/>
        <v>0</v>
      </c>
      <c r="T652" s="152" t="str">
        <f>+VLOOKUP($L652,Data_Validation!$A:$D,1,0)</f>
        <v>450F@</v>
      </c>
      <c r="U652" s="152" t="str">
        <f>+VLOOKUP($L652,Data_Validation!$A:$D,3,0)</f>
        <v>Véhicules usagés</v>
      </c>
      <c r="V652" s="152" t="str">
        <f>+VLOOKUP($L652,Data_Validation!$A:$D,4,0)</f>
        <v>Rev. Finances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71" t="s">
        <v>1543</v>
      </c>
      <c r="B653" s="671" t="s">
        <v>1544</v>
      </c>
      <c r="C653" s="672"/>
      <c r="D653" s="672"/>
      <c r="E653" s="672"/>
      <c r="F653" s="671" t="s">
        <v>4</v>
      </c>
      <c r="G653" s="671" t="s">
        <v>1013</v>
      </c>
      <c r="H653" s="666"/>
      <c r="I653" s="665">
        <v>-1</v>
      </c>
      <c r="J653" s="665">
        <v>0</v>
      </c>
      <c r="K653" s="665">
        <v>-1</v>
      </c>
      <c r="L653" s="149" t="str">
        <f t="shared" si="50"/>
        <v>450H@</v>
      </c>
      <c r="M653" s="150" t="str">
        <f t="shared" si="51"/>
        <v># OF VTES -VTE - M850I XDR GRAN COUPE</v>
      </c>
      <c r="N653" s="151">
        <f>+IF(OR($Q653=Parametres!$G$2,$Q653=Parametres!$G$3),I653,C653)</f>
        <v>-1</v>
      </c>
      <c r="O653" s="477">
        <f>+IF(OR($Q653=Parametres!$G$2,$Q653=Parametres!$G$3),J653,D653)</f>
        <v>0</v>
      </c>
      <c r="P653" s="151">
        <f>+IF(OR($Q653=Parametres!$G$2,$Q653=Parametres!$G$3),K653,E653)</f>
        <v>-1</v>
      </c>
      <c r="Q653" s="150" t="str">
        <f t="shared" si="52"/>
        <v>10-Compte compteur</v>
      </c>
      <c r="R653" s="149" t="str">
        <f t="shared" si="53"/>
        <v>450</v>
      </c>
      <c r="S653" s="150">
        <f t="shared" si="54"/>
        <v>0</v>
      </c>
      <c r="T653" s="152" t="str">
        <f>+VLOOKUP($L653,Data_Validation!$A:$D,1,0)</f>
        <v>450H@</v>
      </c>
      <c r="U653" s="152" t="str">
        <f>+VLOOKUP($L653,Data_Validation!$A:$D,3,0)</f>
        <v>Véhicules neufs</v>
      </c>
      <c r="V653" s="152" t="str">
        <f>+VLOOKUP($L653,Data_Validation!$A:$D,4,0)</f>
        <v>Autos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71" t="s">
        <v>2027</v>
      </c>
      <c r="B654" s="671" t="s">
        <v>2028</v>
      </c>
      <c r="C654" s="672"/>
      <c r="D654" s="672"/>
      <c r="E654" s="672"/>
      <c r="F654" s="671" t="s">
        <v>4</v>
      </c>
      <c r="G654" s="671" t="s">
        <v>1013</v>
      </c>
      <c r="H654" s="666"/>
      <c r="I654" s="665">
        <v>-1</v>
      </c>
      <c r="J654" s="665">
        <v>0</v>
      </c>
      <c r="K654" s="665">
        <v>-1</v>
      </c>
      <c r="L654" s="149" t="str">
        <f t="shared" si="50"/>
        <v>450R@</v>
      </c>
      <c r="M654" s="150" t="str">
        <f t="shared" si="51"/>
        <v># DE VTE - ASS. REMP. USAGE BMW AUTO</v>
      </c>
      <c r="N654" s="151">
        <f>+IF(OR($Q654=Parametres!$G$2,$Q654=Parametres!$G$3),I654,C654)</f>
        <v>-1</v>
      </c>
      <c r="O654" s="151">
        <f>+IF(OR($Q654=Parametres!$G$2,$Q654=Parametres!$G$3),J654,D654)</f>
        <v>0</v>
      </c>
      <c r="P654" s="151">
        <f>+IF(OR($Q654=Parametres!$G$2,$Q654=Parametres!$G$3),K654,E654)</f>
        <v>-1</v>
      </c>
      <c r="Q654" s="150" t="str">
        <f t="shared" si="52"/>
        <v>10-Compte compteur</v>
      </c>
      <c r="R654" s="149" t="str">
        <f t="shared" si="53"/>
        <v>450</v>
      </c>
      <c r="S654" s="150">
        <f t="shared" si="54"/>
        <v>0</v>
      </c>
      <c r="T654" s="152" t="str">
        <f>+VLOOKUP($L654,Data_Validation!$A:$D,1,0)</f>
        <v>450R@</v>
      </c>
      <c r="U654" s="152" t="str">
        <f>+VLOOKUP($L654,Data_Validation!$A:$D,3,0)</f>
        <v>Véhicules usagés</v>
      </c>
      <c r="V654" s="152" t="str">
        <f>+VLOOKUP($L654,Data_Validation!$A:$D,4,0)</f>
        <v>Rev. Protections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71" t="s">
        <v>1553</v>
      </c>
      <c r="B655" s="671" t="s">
        <v>1554</v>
      </c>
      <c r="C655" s="672"/>
      <c r="D655" s="672"/>
      <c r="E655" s="672"/>
      <c r="F655" s="671" t="s">
        <v>4</v>
      </c>
      <c r="G655" s="671" t="s">
        <v>375</v>
      </c>
      <c r="H655" s="666"/>
      <c r="I655" s="665">
        <v>-7</v>
      </c>
      <c r="J655" s="665">
        <v>-6</v>
      </c>
      <c r="K655" s="665">
        <v>-13</v>
      </c>
      <c r="L655" s="149" t="str">
        <f t="shared" si="50"/>
        <v>451@</v>
      </c>
      <c r="M655" s="150" t="str">
        <f t="shared" si="51"/>
        <v># DE VTE - MARQUAGE OTOPROTEC USAGE AUTRE</v>
      </c>
      <c r="N655" s="151">
        <f>+IF(OR($Q655=Parametres!$G$2,$Q655=Parametres!$G$3),I655,C655)</f>
        <v>-7</v>
      </c>
      <c r="O655" s="477">
        <f>+IF(OR($Q655=Parametres!$G$2,$Q655=Parametres!$G$3),J655,D655)</f>
        <v>-6</v>
      </c>
      <c r="P655" s="151">
        <f>+IF(OR($Q655=Parametres!$G$2,$Q655=Parametres!$G$3),K655,E655)</f>
        <v>-13</v>
      </c>
      <c r="Q655" s="150" t="str">
        <f t="shared" si="52"/>
        <v>10-Compte compteur</v>
      </c>
      <c r="R655" s="149" t="str">
        <f t="shared" si="53"/>
        <v>451</v>
      </c>
      <c r="S655" s="150">
        <f t="shared" si="54"/>
        <v>0</v>
      </c>
      <c r="T655" s="152" t="str">
        <f>+VLOOKUP($L655,Data_Validation!$A:$D,1,0)</f>
        <v>451@</v>
      </c>
      <c r="U655" s="152" t="str">
        <f>+VLOOKUP($L655,Data_Validation!$A:$D,3,0)</f>
        <v>Véhicules usagés</v>
      </c>
      <c r="V655" s="152" t="str">
        <f>+VLOOKUP($L655,Data_Validation!$A:$D,4,0)</f>
        <v>Rev. Autres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71" t="s">
        <v>1557</v>
      </c>
      <c r="B656" s="671" t="s">
        <v>735</v>
      </c>
      <c r="C656" s="672"/>
      <c r="D656" s="672"/>
      <c r="E656" s="672"/>
      <c r="F656" s="671" t="s">
        <v>4</v>
      </c>
      <c r="G656" s="671" t="s">
        <v>369</v>
      </c>
      <c r="H656" s="666"/>
      <c r="I656" s="665">
        <v>-9</v>
      </c>
      <c r="J656" s="665">
        <v>0</v>
      </c>
      <c r="K656" s="665">
        <v>-9</v>
      </c>
      <c r="L656" s="149" t="str">
        <f t="shared" si="50"/>
        <v>452@</v>
      </c>
      <c r="M656" s="150" t="str">
        <f t="shared" si="51"/>
        <v># DE VTE - GAR PROL USAGE BMW AUTO</v>
      </c>
      <c r="N656" s="151">
        <f>+IF(OR($Q656=Parametres!$G$2,$Q656=Parametres!$G$3),I656,C656)</f>
        <v>-9</v>
      </c>
      <c r="O656" s="477">
        <f>+IF(OR($Q656=Parametres!$G$2,$Q656=Parametres!$G$3),J656,D656)</f>
        <v>0</v>
      </c>
      <c r="P656" s="151">
        <f>+IF(OR($Q656=Parametres!$G$2,$Q656=Parametres!$G$3),K656,E656)</f>
        <v>-9</v>
      </c>
      <c r="Q656" s="150" t="str">
        <f t="shared" si="52"/>
        <v>10-Compte compteur</v>
      </c>
      <c r="R656" s="149" t="str">
        <f t="shared" si="53"/>
        <v>452</v>
      </c>
      <c r="S656" s="150">
        <f t="shared" si="54"/>
        <v>0</v>
      </c>
      <c r="T656" s="152" t="str">
        <f>+VLOOKUP($L656,Data_Validation!$A:$D,1,0)</f>
        <v>452@</v>
      </c>
      <c r="U656" s="152" t="str">
        <f>+VLOOKUP($L656,Data_Validation!$A:$D,3,0)</f>
        <v>Véhicules usagés</v>
      </c>
      <c r="V656" s="152" t="str">
        <f>+VLOOKUP($L656,Data_Validation!$A:$D,4,0)</f>
        <v>Rev. Protections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71" t="s">
        <v>737</v>
      </c>
      <c r="B657" s="671" t="s">
        <v>738</v>
      </c>
      <c r="C657" s="672"/>
      <c r="D657" s="672"/>
      <c r="E657" s="672"/>
      <c r="F657" s="671" t="s">
        <v>4</v>
      </c>
      <c r="G657" s="671" t="s">
        <v>634</v>
      </c>
      <c r="H657" s="666"/>
      <c r="I657" s="665">
        <v>-1</v>
      </c>
      <c r="J657" s="665">
        <v>-1</v>
      </c>
      <c r="K657" s="665">
        <v>-2</v>
      </c>
      <c r="L657" s="149" t="str">
        <f t="shared" si="50"/>
        <v>452B@</v>
      </c>
      <c r="M657" s="150" t="str">
        <f t="shared" si="51"/>
        <v># OF VTES -VTES - Z4 M40I</v>
      </c>
      <c r="N657" s="151">
        <f>+IF(OR($Q657=Parametres!$G$2,$Q657=Parametres!$G$3),I657,C657)</f>
        <v>-1</v>
      </c>
      <c r="O657" s="477">
        <f>+IF(OR($Q657=Parametres!$G$2,$Q657=Parametres!$G$3),J657,D657)</f>
        <v>-1</v>
      </c>
      <c r="P657" s="151">
        <f>+IF(OR($Q657=Parametres!$G$2,$Q657=Parametres!$G$3),K657,E657)</f>
        <v>-2</v>
      </c>
      <c r="Q657" s="150" t="str">
        <f t="shared" si="52"/>
        <v>10-Compte compteur</v>
      </c>
      <c r="R657" s="149" t="str">
        <f t="shared" si="53"/>
        <v>452B</v>
      </c>
      <c r="S657" s="150">
        <f t="shared" si="54"/>
        <v>0</v>
      </c>
      <c r="T657" s="152" t="str">
        <f>+VLOOKUP($L657,Data_Validation!$A:$D,1,0)</f>
        <v>452B@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71" t="s">
        <v>1994</v>
      </c>
      <c r="B658" s="671" t="s">
        <v>1995</v>
      </c>
      <c r="C658" s="672"/>
      <c r="D658" s="672"/>
      <c r="E658" s="672"/>
      <c r="F658" s="671" t="s">
        <v>4</v>
      </c>
      <c r="G658" s="671" t="s">
        <v>369</v>
      </c>
      <c r="H658" s="666"/>
      <c r="I658" s="665">
        <v>-5</v>
      </c>
      <c r="J658" s="665">
        <v>-5</v>
      </c>
      <c r="K658" s="665">
        <v>-10</v>
      </c>
      <c r="L658" s="149" t="str">
        <f t="shared" si="50"/>
        <v>452C@</v>
      </c>
      <c r="M658" s="150" t="str">
        <f t="shared" si="51"/>
        <v># OF VTES -GAR PROL USAGE BMW NON-CERT</v>
      </c>
      <c r="N658" s="151">
        <f>+IF(OR($Q658=Parametres!$G$2,$Q658=Parametres!$G$3),I658,C658)</f>
        <v>-5</v>
      </c>
      <c r="O658" s="477">
        <f>+IF(OR($Q658=Parametres!$G$2,$Q658=Parametres!$G$3),J658,D658)</f>
        <v>-5</v>
      </c>
      <c r="P658" s="151">
        <f>+IF(OR($Q658=Parametres!$G$2,$Q658=Parametres!$G$3),K658,E658)</f>
        <v>-10</v>
      </c>
      <c r="Q658" s="150" t="str">
        <f t="shared" si="52"/>
        <v>10-Compte compteur</v>
      </c>
      <c r="R658" s="149" t="str">
        <f t="shared" si="53"/>
        <v>452</v>
      </c>
      <c r="S658" s="150">
        <f t="shared" si="54"/>
        <v>0</v>
      </c>
      <c r="T658" s="152" t="str">
        <f>+VLOOKUP($L658,Data_Validation!$A:$D,1,0)</f>
        <v>452C@</v>
      </c>
      <c r="U658" s="152" t="str">
        <f>+VLOOKUP($L658,Data_Validation!$A:$D,3,0)</f>
        <v>Véhicules usagés</v>
      </c>
      <c r="V658" s="152" t="str">
        <f>+VLOOKUP($L658,Data_Validation!$A:$D,4,0)</f>
        <v>Rev. Protections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71" t="s">
        <v>1559</v>
      </c>
      <c r="B659" s="671" t="s">
        <v>1560</v>
      </c>
      <c r="C659" s="672"/>
      <c r="D659" s="672"/>
      <c r="E659" s="672"/>
      <c r="F659" s="671" t="s">
        <v>4</v>
      </c>
      <c r="G659" s="671" t="s">
        <v>370</v>
      </c>
      <c r="H659" s="666"/>
      <c r="I659" s="665">
        <v>-2</v>
      </c>
      <c r="J659" s="665">
        <v>-6</v>
      </c>
      <c r="K659" s="665">
        <v>-8</v>
      </c>
      <c r="L659" s="149" t="str">
        <f t="shared" si="50"/>
        <v>453@</v>
      </c>
      <c r="M659" s="150" t="str">
        <f t="shared" si="51"/>
        <v># DE VTE - RIST FINANCE USAGE AUTRE</v>
      </c>
      <c r="N659" s="151">
        <f>+IF(OR($Q659=Parametres!$G$2,$Q659=Parametres!$G$3),I659,C659)</f>
        <v>-2</v>
      </c>
      <c r="O659" s="151">
        <f>+IF(OR($Q659=Parametres!$G$2,$Q659=Parametres!$G$3),J659,D659)</f>
        <v>-6</v>
      </c>
      <c r="P659" s="151">
        <f>+IF(OR($Q659=Parametres!$G$2,$Q659=Parametres!$G$3),K659,E659)</f>
        <v>-8</v>
      </c>
      <c r="Q659" s="150" t="str">
        <f t="shared" si="52"/>
        <v>10-Compte compteur</v>
      </c>
      <c r="R659" s="149" t="str">
        <f t="shared" si="53"/>
        <v>453</v>
      </c>
      <c r="S659" s="150">
        <f t="shared" si="54"/>
        <v>0</v>
      </c>
      <c r="T659" s="152" t="str">
        <f>+VLOOKUP($L659,Data_Validation!$A:$D,1,0)</f>
        <v>453@</v>
      </c>
      <c r="U659" s="152" t="str">
        <f>+VLOOKUP($L659,Data_Validation!$A:$D,3,0)</f>
        <v>Véhicules usagés</v>
      </c>
      <c r="V659" s="152" t="str">
        <f>+VLOOKUP($L659,Data_Validation!$A:$D,4,0)</f>
        <v>Rev. Finances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71" t="s">
        <v>2184</v>
      </c>
      <c r="B660" s="671" t="s">
        <v>2185</v>
      </c>
      <c r="C660" s="672"/>
      <c r="D660" s="672"/>
      <c r="E660" s="672"/>
      <c r="F660" s="671" t="s">
        <v>4</v>
      </c>
      <c r="G660" s="671" t="s">
        <v>2369</v>
      </c>
      <c r="H660" s="666"/>
      <c r="I660" s="665">
        <v>-6</v>
      </c>
      <c r="J660" s="665">
        <v>-2</v>
      </c>
      <c r="K660" s="665">
        <v>-8</v>
      </c>
      <c r="L660" s="149" t="str">
        <f t="shared" si="50"/>
        <v>454A@</v>
      </c>
      <c r="M660" s="150" t="str">
        <f t="shared" si="51"/>
        <v># OF VTES -CONT ENTRET USAGE BMW NON-CERT</v>
      </c>
      <c r="N660" s="151">
        <f>+IF(OR($Q660=Parametres!$G$2,$Q660=Parametres!$G$3),I660,C660)</f>
        <v>-6</v>
      </c>
      <c r="O660" s="151">
        <f>+IF(OR($Q660=Parametres!$G$2,$Q660=Parametres!$G$3),J660,D660)</f>
        <v>-2</v>
      </c>
      <c r="P660" s="151">
        <f>+IF(OR($Q660=Parametres!$G$2,$Q660=Parametres!$G$3),K660,E660)</f>
        <v>-8</v>
      </c>
      <c r="Q660" s="150" t="str">
        <f t="shared" si="52"/>
        <v>10-Compte compteur</v>
      </c>
      <c r="R660" s="149" t="str">
        <f t="shared" si="53"/>
        <v>454</v>
      </c>
      <c r="S660" s="150">
        <f t="shared" si="54"/>
        <v>0</v>
      </c>
      <c r="T660" s="152" t="str">
        <f>+VLOOKUP($L660,Data_Validation!$A:$D,1,0)</f>
        <v>454A@</v>
      </c>
      <c r="U660" s="152" t="str">
        <f>+VLOOKUP($L660,Data_Validation!$A:$D,3,0)</f>
        <v>Véhicules usagés</v>
      </c>
      <c r="V660" s="152" t="str">
        <f>+VLOOKUP($L660,Data_Validation!$A:$D,4,0)</f>
        <v>Rev. Protections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71" t="s">
        <v>2076</v>
      </c>
      <c r="B661" s="671" t="s">
        <v>2077</v>
      </c>
      <c r="C661" s="672"/>
      <c r="D661" s="672"/>
      <c r="E661" s="672"/>
      <c r="F661" s="671" t="s">
        <v>4</v>
      </c>
      <c r="G661" s="671" t="s">
        <v>1013</v>
      </c>
      <c r="H661" s="666"/>
      <c r="I661" s="665">
        <v>-1</v>
      </c>
      <c r="J661" s="665">
        <v>0</v>
      </c>
      <c r="K661" s="665">
        <v>-1</v>
      </c>
      <c r="L661" s="149" t="str">
        <f t="shared" si="50"/>
        <v>454E@</v>
      </c>
      <c r="M661" s="150" t="str">
        <f t="shared" si="51"/>
        <v># OF VTES -PROTEC ESTHETIQUE USAGE BMW NON-CE</v>
      </c>
      <c r="N661" s="151">
        <f>+IF(OR($Q661=Parametres!$G$2,$Q661=Parametres!$G$3),I661,C661)</f>
        <v>-1</v>
      </c>
      <c r="O661" s="151">
        <f>+IF(OR($Q661=Parametres!$G$2,$Q661=Parametres!$G$3),J661,D661)</f>
        <v>0</v>
      </c>
      <c r="P661" s="151">
        <f>+IF(OR($Q661=Parametres!$G$2,$Q661=Parametres!$G$3),K661,E661)</f>
        <v>-1</v>
      </c>
      <c r="Q661" s="150" t="str">
        <f t="shared" si="52"/>
        <v>10-Compte compteur</v>
      </c>
      <c r="R661" s="149" t="str">
        <f t="shared" si="53"/>
        <v>450</v>
      </c>
      <c r="S661" s="150">
        <f t="shared" si="54"/>
        <v>0</v>
      </c>
      <c r="T661" s="152" t="str">
        <f>+VLOOKUP($L661,Data_Validation!$A:$D,1,0)</f>
        <v>454E@</v>
      </c>
      <c r="U661" s="152" t="str">
        <f>+VLOOKUP($L661,Data_Validation!$A:$D,3,0)</f>
        <v>Véhicules usagés</v>
      </c>
      <c r="V661" s="152" t="str">
        <f>+VLOOKUP($L661,Data_Validation!$A:$D,4,0)</f>
        <v>Rev. Protections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71" t="s">
        <v>1959</v>
      </c>
      <c r="B662" s="671" t="s">
        <v>1960</v>
      </c>
      <c r="C662" s="672"/>
      <c r="D662" s="672"/>
      <c r="E662" s="672"/>
      <c r="F662" s="671" t="s">
        <v>4</v>
      </c>
      <c r="G662" s="671" t="s">
        <v>1013</v>
      </c>
      <c r="H662" s="666"/>
      <c r="I662" s="665">
        <v>-5</v>
      </c>
      <c r="J662" s="665">
        <v>-4</v>
      </c>
      <c r="K662" s="665">
        <v>-9</v>
      </c>
      <c r="L662" s="149" t="str">
        <f t="shared" si="50"/>
        <v>454F@</v>
      </c>
      <c r="M662" s="150" t="str">
        <f t="shared" si="51"/>
        <v># OF VTES -RIST FINANCE USAGE BMW NON-CERT</v>
      </c>
      <c r="N662" s="151">
        <f>+IF(OR($Q662=Parametres!$G$2,$Q662=Parametres!$G$3),I662,C662)</f>
        <v>-5</v>
      </c>
      <c r="O662" s="501">
        <f>+IF(OR($Q662=Parametres!$G$2,$Q662=Parametres!$G$3),J662,D662)</f>
        <v>-4</v>
      </c>
      <c r="P662" s="151">
        <f>+IF(OR($Q662=Parametres!$G$2,$Q662=Parametres!$G$3),K662,E662)</f>
        <v>-9</v>
      </c>
      <c r="Q662" s="150" t="str">
        <f t="shared" si="52"/>
        <v>10-Compte compteur</v>
      </c>
      <c r="R662" s="149" t="str">
        <f t="shared" si="53"/>
        <v>450</v>
      </c>
      <c r="S662" s="150">
        <f t="shared" si="54"/>
        <v>0</v>
      </c>
      <c r="T662" s="152" t="str">
        <f>+VLOOKUP($L662,Data_Validation!$A:$D,1,0)</f>
        <v>454F@</v>
      </c>
      <c r="U662" s="152" t="str">
        <f>+VLOOKUP($L662,Data_Validation!$A:$D,3,0)</f>
        <v>Véhicules usagés</v>
      </c>
      <c r="V662" s="152" t="str">
        <f>+VLOOKUP($L662,Data_Validation!$A:$D,4,0)</f>
        <v>Rev. Finances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71" t="s">
        <v>1961</v>
      </c>
      <c r="B663" s="671" t="s">
        <v>1962</v>
      </c>
      <c r="C663" s="672"/>
      <c r="D663" s="672"/>
      <c r="E663" s="672"/>
      <c r="F663" s="671" t="s">
        <v>4</v>
      </c>
      <c r="G663" s="671" t="s">
        <v>1013</v>
      </c>
      <c r="H663" s="666"/>
      <c r="I663" s="665">
        <v>-10</v>
      </c>
      <c r="J663" s="665">
        <v>-8</v>
      </c>
      <c r="K663" s="665">
        <v>-18</v>
      </c>
      <c r="L663" s="149" t="str">
        <f t="shared" si="50"/>
        <v>454M@</v>
      </c>
      <c r="M663" s="150" t="str">
        <f t="shared" si="51"/>
        <v># OF VTES -MARQUAGE USAGE BMW NON-CERT</v>
      </c>
      <c r="N663" s="151">
        <f>+IF(OR($Q663=Parametres!$G$2,$Q663=Parametres!$G$3),I663,C663)</f>
        <v>-10</v>
      </c>
      <c r="O663" s="151">
        <f>+IF(OR($Q663=Parametres!$G$2,$Q663=Parametres!$G$3),J663,D663)</f>
        <v>-8</v>
      </c>
      <c r="P663" s="151">
        <f>+IF(OR($Q663=Parametres!$G$2,$Q663=Parametres!$G$3),K663,E663)</f>
        <v>-18</v>
      </c>
      <c r="Q663" s="150" t="str">
        <f t="shared" si="52"/>
        <v>10-Compte compteur</v>
      </c>
      <c r="R663" s="149" t="str">
        <f t="shared" si="53"/>
        <v>450</v>
      </c>
      <c r="S663" s="150">
        <f t="shared" si="54"/>
        <v>0</v>
      </c>
      <c r="T663" s="152" t="str">
        <f>+VLOOKUP($L663,Data_Validation!$A:$D,1,0)</f>
        <v>454M@</v>
      </c>
      <c r="U663" s="152" t="str">
        <f>+VLOOKUP($L663,Data_Validation!$A:$D,3,0)</f>
        <v>Véhicules usagés</v>
      </c>
      <c r="V663" s="152" t="str">
        <f>+VLOOKUP($L663,Data_Validation!$A:$D,4,0)</f>
        <v>Rev. Protections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71" t="s">
        <v>2872</v>
      </c>
      <c r="B664" s="671" t="s">
        <v>2873</v>
      </c>
      <c r="C664" s="672"/>
      <c r="D664" s="672"/>
      <c r="E664" s="672"/>
      <c r="F664" s="671" t="s">
        <v>4</v>
      </c>
      <c r="G664" s="671" t="s">
        <v>1013</v>
      </c>
      <c r="H664" s="666"/>
      <c r="I664" s="665">
        <v>-1</v>
      </c>
      <c r="J664" s="665">
        <v>0</v>
      </c>
      <c r="K664" s="665">
        <v>-1</v>
      </c>
      <c r="L664" s="149" t="str">
        <f t="shared" si="50"/>
        <v>454T@</v>
      </c>
      <c r="M664" s="150" t="str">
        <f t="shared" si="51"/>
        <v># OF VTES -TRAITEMENT OTOPROTEC USAGE BMW NON</v>
      </c>
      <c r="N664" s="151">
        <f>+IF(OR($Q664=Parametres!$G$2,$Q664=Parametres!$G$3),I664,C664)</f>
        <v>-1</v>
      </c>
      <c r="O664" s="151">
        <f>+IF(OR($Q664=Parametres!$G$2,$Q664=Parametres!$G$3),J664,D664)</f>
        <v>0</v>
      </c>
      <c r="P664" s="151">
        <f>+IF(OR($Q664=Parametres!$G$2,$Q664=Parametres!$G$3),K664,E664)</f>
        <v>-1</v>
      </c>
      <c r="Q664" s="150" t="str">
        <f t="shared" si="52"/>
        <v>10-Compte compteur</v>
      </c>
      <c r="R664" s="149" t="str">
        <f t="shared" si="53"/>
        <v>450</v>
      </c>
      <c r="S664" s="150">
        <f t="shared" si="54"/>
        <v>0</v>
      </c>
      <c r="T664" s="152" t="str">
        <f>+VLOOKUP($L664,Data_Validation!$A:$D,1,0)</f>
        <v>454T@</v>
      </c>
      <c r="U664" s="152" t="str">
        <f>+VLOOKUP($L664,Data_Validation!$A:$D,3,0)</f>
        <v>Véhicules usagés</v>
      </c>
      <c r="V664" s="152" t="str">
        <f>+VLOOKUP($L664,Data_Validation!$A:$D,4,0)</f>
        <v>Rev. Autres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71" t="s">
        <v>1561</v>
      </c>
      <c r="B665" s="671" t="s">
        <v>739</v>
      </c>
      <c r="C665" s="672"/>
      <c r="D665" s="672"/>
      <c r="E665" s="672"/>
      <c r="F665" s="671" t="s">
        <v>4</v>
      </c>
      <c r="G665" s="671" t="s">
        <v>367</v>
      </c>
      <c r="H665" s="666"/>
      <c r="I665" s="665">
        <v>0</v>
      </c>
      <c r="J665" s="665">
        <v>-3</v>
      </c>
      <c r="K665" s="665">
        <v>-3</v>
      </c>
      <c r="L665" s="149" t="str">
        <f t="shared" si="50"/>
        <v>455@</v>
      </c>
      <c r="M665" s="150" t="str">
        <f t="shared" si="51"/>
        <v># DE VTE - GAR PROLONGE USAGE AUTRE</v>
      </c>
      <c r="N665" s="151">
        <f>+IF(OR($Q665=Parametres!$G$2,$Q665=Parametres!$G$3),I665,C665)</f>
        <v>0</v>
      </c>
      <c r="O665" s="151">
        <f>+IF(OR($Q665=Parametres!$G$2,$Q665=Parametres!$G$3),J665,D665)</f>
        <v>-3</v>
      </c>
      <c r="P665" s="151">
        <f>+IF(OR($Q665=Parametres!$G$2,$Q665=Parametres!$G$3),K665,E665)</f>
        <v>-3</v>
      </c>
      <c r="Q665" s="150" t="str">
        <f t="shared" si="52"/>
        <v>10-Compte compteur</v>
      </c>
      <c r="R665" s="149" t="str">
        <f t="shared" si="53"/>
        <v>455</v>
      </c>
      <c r="S665" s="150">
        <f t="shared" si="54"/>
        <v>0</v>
      </c>
      <c r="T665" s="152" t="str">
        <f>+VLOOKUP($L665,Data_Validation!$A:$D,1,0)</f>
        <v>455@</v>
      </c>
      <c r="U665" s="152" t="str">
        <f>+VLOOKUP($L665,Data_Validation!$A:$D,3,0)</f>
        <v>Véhicules usagés</v>
      </c>
      <c r="V665" s="152" t="str">
        <f>+VLOOKUP($L665,Data_Validation!$A:$D,4,0)</f>
        <v>Rev. Protections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71" t="s">
        <v>1562</v>
      </c>
      <c r="B666" s="671" t="s">
        <v>740</v>
      </c>
      <c r="C666" s="672"/>
      <c r="D666" s="672"/>
      <c r="E666" s="672"/>
      <c r="F666" s="671" t="s">
        <v>4</v>
      </c>
      <c r="G666" s="671" t="s">
        <v>451</v>
      </c>
      <c r="H666" s="666"/>
      <c r="I666" s="665">
        <v>-4</v>
      </c>
      <c r="J666" s="665">
        <v>-1</v>
      </c>
      <c r="K666" s="665">
        <v>-5</v>
      </c>
      <c r="L666" s="149" t="str">
        <f t="shared" si="50"/>
        <v>459A@</v>
      </c>
      <c r="M666" s="150" t="str">
        <f t="shared" si="51"/>
        <v># DE VTE - BMW SPA PROGRAMME</v>
      </c>
      <c r="N666" s="151">
        <f>+IF(OR($Q666=Parametres!$G$2,$Q666=Parametres!$G$3),I666,C666)</f>
        <v>-4</v>
      </c>
      <c r="O666" s="151">
        <f>+IF(OR($Q666=Parametres!$G$2,$Q666=Parametres!$G$3),J666,D666)</f>
        <v>-1</v>
      </c>
      <c r="P666" s="151">
        <f>+IF(OR($Q666=Parametres!$G$2,$Q666=Parametres!$G$3),K666,E666)</f>
        <v>-5</v>
      </c>
      <c r="Q666" s="150" t="str">
        <f t="shared" si="52"/>
        <v>10-Compte compteur</v>
      </c>
      <c r="R666" s="149" t="str">
        <f t="shared" si="53"/>
        <v>459A</v>
      </c>
      <c r="S666" s="150">
        <f t="shared" si="54"/>
        <v>0</v>
      </c>
      <c r="T666" s="152" t="str">
        <f>+VLOOKUP($L666,Data_Validation!$A:$D,1,0)</f>
        <v>459A@</v>
      </c>
      <c r="U666" s="152" t="str">
        <f>+VLOOKUP($L666,Data_Validation!$A:$D,3,0)</f>
        <v>service</v>
      </c>
      <c r="V666" s="152" t="str">
        <f>+VLOOKUP($L666,Data_Validation!$A:$D,4,0)</f>
        <v>M/O Esthétique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71" t="s">
        <v>2196</v>
      </c>
      <c r="B667" s="671" t="s">
        <v>2197</v>
      </c>
      <c r="C667" s="672"/>
      <c r="D667" s="672"/>
      <c r="E667" s="672"/>
      <c r="F667" s="671" t="s">
        <v>4</v>
      </c>
      <c r="G667" s="671" t="s">
        <v>2425</v>
      </c>
      <c r="H667" s="666"/>
      <c r="I667" s="665">
        <v>-104</v>
      </c>
      <c r="J667" s="665">
        <v>-128</v>
      </c>
      <c r="K667" s="665">
        <v>-232</v>
      </c>
      <c r="L667" s="149" t="str">
        <f t="shared" si="50"/>
        <v>459B@</v>
      </c>
      <c r="M667" s="150" t="str">
        <f t="shared" si="51"/>
        <v># OF VTES -VTE - SUBLET ESTHETIQUE</v>
      </c>
      <c r="N667" s="151">
        <f>+IF(OR($Q667=Parametres!$G$2,$Q667=Parametres!$G$3),I667,C667)</f>
        <v>-104</v>
      </c>
      <c r="O667" s="151">
        <f>+IF(OR($Q667=Parametres!$G$2,$Q667=Parametres!$G$3),J667,D667)</f>
        <v>-128</v>
      </c>
      <c r="P667" s="151">
        <f>+IF(OR($Q667=Parametres!$G$2,$Q667=Parametres!$G$3),K667,E667)</f>
        <v>-232</v>
      </c>
      <c r="Q667" s="150" t="str">
        <f t="shared" si="52"/>
        <v>10-Compte compteur</v>
      </c>
      <c r="R667" s="149" t="str">
        <f t="shared" si="53"/>
        <v>459</v>
      </c>
      <c r="S667" s="150">
        <f t="shared" si="54"/>
        <v>0</v>
      </c>
      <c r="T667" s="152" t="str">
        <f>+VLOOKUP($L667,Data_Validation!$A:$D,1,0)</f>
        <v>459B@</v>
      </c>
      <c r="U667" s="152" t="str">
        <f>+VLOOKUP($L667,Data_Validation!$A:$D,3,0)</f>
        <v>Service</v>
      </c>
      <c r="V667" s="152" t="str">
        <f>+VLOOKUP($L667,Data_Validation!$A:$D,4,0)</f>
        <v>M/O Esthétique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71" t="s">
        <v>1563</v>
      </c>
      <c r="B668" s="671" t="s">
        <v>1564</v>
      </c>
      <c r="C668" s="672"/>
      <c r="D668" s="672"/>
      <c r="E668" s="672"/>
      <c r="F668" s="671" t="s">
        <v>4</v>
      </c>
      <c r="G668" s="671" t="s">
        <v>1117</v>
      </c>
      <c r="H668" s="666"/>
      <c r="I668" s="665">
        <v>-115</v>
      </c>
      <c r="J668" s="665">
        <v>-97</v>
      </c>
      <c r="K668" s="665">
        <v>-212</v>
      </c>
      <c r="L668" s="149" t="str">
        <f t="shared" si="50"/>
        <v>460A@</v>
      </c>
      <c r="M668" s="150" t="str">
        <f t="shared" si="51"/>
        <v># DE VTE - M/O CLIENT BMW AUTO</v>
      </c>
      <c r="N668" s="151">
        <f>+IF(OR($Q668=Parametres!$G$2,$Q668=Parametres!$G$3),I668,C668)</f>
        <v>-115</v>
      </c>
      <c r="O668" s="477">
        <f>+IF(OR($Q668=Parametres!$G$2,$Q668=Parametres!$G$3),J668,D668)</f>
        <v>-97</v>
      </c>
      <c r="P668" s="151">
        <f>+IF(OR($Q668=Parametres!$G$2,$Q668=Parametres!$G$3),K668,E668)</f>
        <v>-212</v>
      </c>
      <c r="Q668" s="150" t="str">
        <f t="shared" si="52"/>
        <v>10-Compte compteur</v>
      </c>
      <c r="R668" s="149" t="str">
        <f t="shared" si="53"/>
        <v>460A</v>
      </c>
      <c r="S668" s="150">
        <f t="shared" si="54"/>
        <v>0</v>
      </c>
      <c r="T668" s="152" t="str">
        <f>+VLOOKUP($L668,Data_Validation!$A:$D,1,0)</f>
        <v>460A@</v>
      </c>
      <c r="U668" s="152" t="str">
        <f>+VLOOKUP($L668,Data_Validation!$A:$D,3,0)</f>
        <v>service</v>
      </c>
      <c r="V668" s="152" t="str">
        <f>+VLOOKUP($L668,Data_Validation!$A:$D,4,0)</f>
        <v>M/O Client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71" t="s">
        <v>1565</v>
      </c>
      <c r="B669" s="671" t="s">
        <v>741</v>
      </c>
      <c r="C669" s="672"/>
      <c r="D669" s="672"/>
      <c r="E669" s="672"/>
      <c r="F669" s="671" t="s">
        <v>4</v>
      </c>
      <c r="G669" s="671" t="s">
        <v>1117</v>
      </c>
      <c r="H669" s="666"/>
      <c r="I669" s="665">
        <v>-205</v>
      </c>
      <c r="J669" s="665">
        <v>-172</v>
      </c>
      <c r="K669" s="665">
        <v>-377</v>
      </c>
      <c r="L669" s="149" t="str">
        <f t="shared" si="50"/>
        <v>460B@</v>
      </c>
      <c r="M669" s="150" t="str">
        <f t="shared" si="51"/>
        <v># DE VTE - M/O CLIENT BMW CAMION</v>
      </c>
      <c r="N669" s="151">
        <f>+IF(OR($Q669=Parametres!$G$2,$Q669=Parametres!$G$3),I669,C669)</f>
        <v>-205</v>
      </c>
      <c r="O669" s="477">
        <f>+IF(OR($Q669=Parametres!$G$2,$Q669=Parametres!$G$3),J669,D669)</f>
        <v>-172</v>
      </c>
      <c r="P669" s="151">
        <f>+IF(OR($Q669=Parametres!$G$2,$Q669=Parametres!$G$3),K669,E669)</f>
        <v>-377</v>
      </c>
      <c r="Q669" s="150" t="str">
        <f t="shared" si="52"/>
        <v>10-Compte compteur</v>
      </c>
      <c r="R669" s="149" t="str">
        <f t="shared" si="53"/>
        <v>460A</v>
      </c>
      <c r="S669" s="150">
        <f t="shared" si="54"/>
        <v>0</v>
      </c>
      <c r="T669" s="152" t="str">
        <f>+VLOOKUP($L669,Data_Validation!$A:$D,1,0)</f>
        <v>460B@</v>
      </c>
      <c r="U669" s="152" t="str">
        <f>+VLOOKUP($L669,Data_Validation!$A:$D,3,0)</f>
        <v>service</v>
      </c>
      <c r="V669" s="152" t="str">
        <f>+VLOOKUP($L669,Data_Validation!$A:$D,4,0)</f>
        <v>M/O Client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71" t="s">
        <v>1048</v>
      </c>
      <c r="B670" s="671" t="s">
        <v>742</v>
      </c>
      <c r="C670" s="672"/>
      <c r="D670" s="672"/>
      <c r="E670" s="672"/>
      <c r="F670" s="671" t="s">
        <v>4</v>
      </c>
      <c r="G670" s="671" t="s">
        <v>1117</v>
      </c>
      <c r="H670" s="666"/>
      <c r="I670" s="665">
        <v>-27</v>
      </c>
      <c r="J670" s="665">
        <v>-27</v>
      </c>
      <c r="K670" s="665">
        <v>-54</v>
      </c>
      <c r="L670" s="149" t="str">
        <f t="shared" si="50"/>
        <v>460D@</v>
      </c>
      <c r="M670" s="150" t="str">
        <f t="shared" si="51"/>
        <v># DE VTE - M/O CLIENT BMW I</v>
      </c>
      <c r="N670" s="151">
        <f>+IF(OR($Q670=Parametres!$G$2,$Q670=Parametres!$G$3),I670,C670)</f>
        <v>-27</v>
      </c>
      <c r="O670" s="151">
        <f>+IF(OR($Q670=Parametres!$G$2,$Q670=Parametres!$G$3),J670,D670)</f>
        <v>-27</v>
      </c>
      <c r="P670" s="151">
        <f>+IF(OR($Q670=Parametres!$G$2,$Q670=Parametres!$G$3),K670,E670)</f>
        <v>-54</v>
      </c>
      <c r="Q670" s="150" t="str">
        <f t="shared" si="52"/>
        <v>10-Compte compteur</v>
      </c>
      <c r="R670" s="149" t="str">
        <f t="shared" si="53"/>
        <v>460A</v>
      </c>
      <c r="S670" s="150">
        <f t="shared" si="54"/>
        <v>0</v>
      </c>
      <c r="T670" s="152" t="str">
        <f>+VLOOKUP($L670,Data_Validation!$A:$D,1,0)</f>
        <v>460D@</v>
      </c>
      <c r="U670" s="152" t="str">
        <f>+VLOOKUP($L670,Data_Validation!$A:$D,3,0)</f>
        <v>service</v>
      </c>
      <c r="V670" s="152" t="str">
        <f>+VLOOKUP($L670,Data_Validation!$A:$D,4,0)</f>
        <v>M/O Client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71" t="s">
        <v>1566</v>
      </c>
      <c r="B671" s="671" t="s">
        <v>1567</v>
      </c>
      <c r="C671" s="672"/>
      <c r="D671" s="672"/>
      <c r="E671" s="672"/>
      <c r="F671" s="671" t="s">
        <v>4</v>
      </c>
      <c r="G671" s="671" t="s">
        <v>1111</v>
      </c>
      <c r="H671" s="666"/>
      <c r="I671" s="665">
        <v>-42</v>
      </c>
      <c r="J671" s="665">
        <v>-19</v>
      </c>
      <c r="K671" s="665">
        <v>-61</v>
      </c>
      <c r="L671" s="149" t="str">
        <f t="shared" si="50"/>
        <v>461A@</v>
      </c>
      <c r="M671" s="150" t="str">
        <f t="shared" si="51"/>
        <v># DE VTE - M/O GARANTIE BMW AUTO</v>
      </c>
      <c r="N671" s="151">
        <f>+IF(OR($Q671=Parametres!$G$2,$Q671=Parametres!$G$3),I671,C671)</f>
        <v>-42</v>
      </c>
      <c r="O671" s="477">
        <f>+IF(OR($Q671=Parametres!$G$2,$Q671=Parametres!$G$3),J671,D671)</f>
        <v>-19</v>
      </c>
      <c r="P671" s="151">
        <f>+IF(OR($Q671=Parametres!$G$2,$Q671=Parametres!$G$3),K671,E671)</f>
        <v>-61</v>
      </c>
      <c r="Q671" s="150" t="str">
        <f t="shared" si="52"/>
        <v>10-Compte compteur</v>
      </c>
      <c r="R671" s="149" t="str">
        <f t="shared" si="53"/>
        <v>461A</v>
      </c>
      <c r="S671" s="150">
        <f t="shared" si="54"/>
        <v>0</v>
      </c>
      <c r="T671" s="152" t="str">
        <f>+VLOOKUP($L671,Data_Validation!$A:$D,1,0)</f>
        <v>461A@</v>
      </c>
      <c r="U671" s="152" t="str">
        <f>+VLOOKUP($L671,Data_Validation!$A:$D,3,0)</f>
        <v>service</v>
      </c>
      <c r="V671" s="152" t="str">
        <f>+VLOOKUP($L671,Data_Validation!$A:$D,4,0)</f>
        <v>M/O Garantie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71" t="s">
        <v>1568</v>
      </c>
      <c r="B672" s="671" t="s">
        <v>743</v>
      </c>
      <c r="C672" s="672"/>
      <c r="D672" s="672"/>
      <c r="E672" s="672"/>
      <c r="F672" s="671" t="s">
        <v>4</v>
      </c>
      <c r="G672" s="671" t="s">
        <v>1111</v>
      </c>
      <c r="H672" s="666"/>
      <c r="I672" s="665">
        <v>-91</v>
      </c>
      <c r="J672" s="665">
        <v>-45</v>
      </c>
      <c r="K672" s="665">
        <v>-136</v>
      </c>
      <c r="L672" s="149" t="str">
        <f t="shared" si="50"/>
        <v>461B@</v>
      </c>
      <c r="M672" s="150" t="str">
        <f t="shared" si="51"/>
        <v># DE VTE - M/O GARANTIE BMW CAMION</v>
      </c>
      <c r="N672" s="151">
        <f>+IF(OR($Q672=Parametres!$G$2,$Q672=Parametres!$G$3),I672,C672)</f>
        <v>-91</v>
      </c>
      <c r="O672" s="477">
        <f>+IF(OR($Q672=Parametres!$G$2,$Q672=Parametres!$G$3),J672,D672)</f>
        <v>-45</v>
      </c>
      <c r="P672" s="151">
        <f>+IF(OR($Q672=Parametres!$G$2,$Q672=Parametres!$G$3),K672,E672)</f>
        <v>-136</v>
      </c>
      <c r="Q672" s="150" t="str">
        <f t="shared" si="52"/>
        <v>10-Compte compteur</v>
      </c>
      <c r="R672" s="149" t="str">
        <f t="shared" si="53"/>
        <v>461A</v>
      </c>
      <c r="S672" s="150">
        <f t="shared" si="54"/>
        <v>0</v>
      </c>
      <c r="T672" s="152" t="str">
        <f>+VLOOKUP($L672,Data_Validation!$A:$D,1,0)</f>
        <v>461B@</v>
      </c>
      <c r="U672" s="152" t="str">
        <f>+VLOOKUP($L672,Data_Validation!$A:$D,3,0)</f>
        <v>service</v>
      </c>
      <c r="V672" s="152" t="str">
        <f>+VLOOKUP($L672,Data_Validation!$A:$D,4,0)</f>
        <v>M/O Garantie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71" t="s">
        <v>1569</v>
      </c>
      <c r="B673" s="671" t="s">
        <v>744</v>
      </c>
      <c r="C673" s="672"/>
      <c r="D673" s="672"/>
      <c r="E673" s="672"/>
      <c r="F673" s="671" t="s">
        <v>4</v>
      </c>
      <c r="G673" s="671" t="s">
        <v>442</v>
      </c>
      <c r="H673" s="666"/>
      <c r="I673" s="665">
        <v>-63</v>
      </c>
      <c r="J673" s="665">
        <v>-24</v>
      </c>
      <c r="K673" s="665">
        <v>-87</v>
      </c>
      <c r="L673" s="149" t="str">
        <f t="shared" si="50"/>
        <v>461D@</v>
      </c>
      <c r="M673" s="150" t="str">
        <f t="shared" si="51"/>
        <v># DE VTE - M/O ENTRETIEN BMW AUTO</v>
      </c>
      <c r="N673" s="151">
        <f>+IF(OR($Q673=Parametres!$G$2,$Q673=Parametres!$G$3),I673,C673)</f>
        <v>-63</v>
      </c>
      <c r="O673" s="477">
        <f>+IF(OR($Q673=Parametres!$G$2,$Q673=Parametres!$G$3),J673,D673)</f>
        <v>-24</v>
      </c>
      <c r="P673" s="151">
        <f>+IF(OR($Q673=Parametres!$G$2,$Q673=Parametres!$G$3),K673,E673)</f>
        <v>-87</v>
      </c>
      <c r="Q673" s="150" t="str">
        <f t="shared" si="52"/>
        <v>10-Compte compteur</v>
      </c>
      <c r="R673" s="149" t="str">
        <f t="shared" si="53"/>
        <v>461D</v>
      </c>
      <c r="S673" s="150">
        <f t="shared" si="54"/>
        <v>0</v>
      </c>
      <c r="T673" s="152" t="str">
        <f>+VLOOKUP($L673,Data_Validation!$A:$D,1,0)</f>
        <v>461D@</v>
      </c>
      <c r="U673" s="152" t="str">
        <f>+VLOOKUP($L673,Data_Validation!$A:$D,3,0)</f>
        <v>service</v>
      </c>
      <c r="V673" s="152" t="str">
        <f>+VLOOKUP($L673,Data_Validation!$A:$D,4,0)</f>
        <v>M/O Garantie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71" t="s">
        <v>1570</v>
      </c>
      <c r="B674" s="671" t="s">
        <v>745</v>
      </c>
      <c r="C674" s="672"/>
      <c r="D674" s="672"/>
      <c r="E674" s="672"/>
      <c r="F674" s="671" t="s">
        <v>4</v>
      </c>
      <c r="G674" s="671" t="s">
        <v>442</v>
      </c>
      <c r="H674" s="666"/>
      <c r="I674" s="665">
        <v>-163</v>
      </c>
      <c r="J674" s="665">
        <v>-51</v>
      </c>
      <c r="K674" s="665">
        <v>-214</v>
      </c>
      <c r="L674" s="149" t="str">
        <f t="shared" si="50"/>
        <v>461E@</v>
      </c>
      <c r="M674" s="150" t="str">
        <f t="shared" si="51"/>
        <v># DE VTE - M/O ENTRETIEN BMW CAMION</v>
      </c>
      <c r="N674" s="151">
        <f>+IF(OR($Q674=Parametres!$G$2,$Q674=Parametres!$G$3),I674,C674)</f>
        <v>-163</v>
      </c>
      <c r="O674" s="151">
        <f>+IF(OR($Q674=Parametres!$G$2,$Q674=Parametres!$G$3),J674,D674)</f>
        <v>-51</v>
      </c>
      <c r="P674" s="151">
        <f>+IF(OR($Q674=Parametres!$G$2,$Q674=Parametres!$G$3),K674,E674)</f>
        <v>-214</v>
      </c>
      <c r="Q674" s="150" t="str">
        <f t="shared" si="52"/>
        <v>10-Compte compteur</v>
      </c>
      <c r="R674" s="149" t="str">
        <f t="shared" si="53"/>
        <v>461D</v>
      </c>
      <c r="S674" s="150">
        <f t="shared" si="54"/>
        <v>0</v>
      </c>
      <c r="T674" s="152" t="str">
        <f>+VLOOKUP($L674,Data_Validation!$A:$D,1,0)</f>
        <v>461E@</v>
      </c>
      <c r="U674" s="152" t="str">
        <f>+VLOOKUP($L674,Data_Validation!$A:$D,3,0)</f>
        <v>service</v>
      </c>
      <c r="V674" s="152" t="str">
        <f>+VLOOKUP($L674,Data_Validation!$A:$D,4,0)</f>
        <v>M/O Garantie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71" t="s">
        <v>1571</v>
      </c>
      <c r="B675" s="671" t="s">
        <v>746</v>
      </c>
      <c r="C675" s="672"/>
      <c r="D675" s="672"/>
      <c r="E675" s="672"/>
      <c r="F675" s="671" t="s">
        <v>4</v>
      </c>
      <c r="G675" s="671" t="s">
        <v>442</v>
      </c>
      <c r="H675" s="666"/>
      <c r="I675" s="665">
        <v>-3</v>
      </c>
      <c r="J675" s="665">
        <v>-6</v>
      </c>
      <c r="K675" s="665">
        <v>-9</v>
      </c>
      <c r="L675" s="149" t="str">
        <f t="shared" si="50"/>
        <v>461G@</v>
      </c>
      <c r="M675" s="150" t="str">
        <f t="shared" si="51"/>
        <v># DE VTE - M/O ENTRENTIEN BMW I</v>
      </c>
      <c r="N675" s="151">
        <f>+IF(OR($Q675=Parametres!$G$2,$Q675=Parametres!$G$3),I675,C675)</f>
        <v>-3</v>
      </c>
      <c r="O675" s="151">
        <f>+IF(OR($Q675=Parametres!$G$2,$Q675=Parametres!$G$3),J675,D675)</f>
        <v>-6</v>
      </c>
      <c r="P675" s="151">
        <f>+IF(OR($Q675=Parametres!$G$2,$Q675=Parametres!$G$3),K675,E675)</f>
        <v>-9</v>
      </c>
      <c r="Q675" s="150" t="str">
        <f t="shared" si="52"/>
        <v>10-Compte compteur</v>
      </c>
      <c r="R675" s="149" t="str">
        <f t="shared" si="53"/>
        <v>461D</v>
      </c>
      <c r="S675" s="150">
        <f t="shared" si="54"/>
        <v>0</v>
      </c>
      <c r="T675" s="152" t="str">
        <f>+VLOOKUP($L675,Data_Validation!$A:$D,1,0)</f>
        <v>461G@</v>
      </c>
      <c r="U675" s="152" t="str">
        <f>+VLOOKUP($L675,Data_Validation!$A:$D,3,0)</f>
        <v>service</v>
      </c>
      <c r="V675" s="152" t="str">
        <f>+VLOOKUP($L675,Data_Validation!$A:$D,4,0)</f>
        <v>M/O Garantie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71" t="s">
        <v>1572</v>
      </c>
      <c r="B676" s="671" t="s">
        <v>747</v>
      </c>
      <c r="C676" s="672"/>
      <c r="D676" s="672"/>
      <c r="E676" s="672"/>
      <c r="F676" s="671" t="s">
        <v>4</v>
      </c>
      <c r="G676" s="671" t="s">
        <v>1111</v>
      </c>
      <c r="H676" s="666"/>
      <c r="I676" s="665">
        <v>-31</v>
      </c>
      <c r="J676" s="665">
        <v>-6</v>
      </c>
      <c r="K676" s="665">
        <v>-37</v>
      </c>
      <c r="L676" s="149" t="str">
        <f t="shared" si="50"/>
        <v>461H@</v>
      </c>
      <c r="M676" s="150" t="str">
        <f t="shared" si="51"/>
        <v># DE VTE - M/O GARANTIE BMW</v>
      </c>
      <c r="N676" s="151">
        <f>+IF(OR($Q676=Parametres!$G$2,$Q676=Parametres!$G$3),I676,C676)</f>
        <v>-31</v>
      </c>
      <c r="O676" s="151">
        <f>+IF(OR($Q676=Parametres!$G$2,$Q676=Parametres!$G$3),J676,D676)</f>
        <v>-6</v>
      </c>
      <c r="P676" s="151">
        <f>+IF(OR($Q676=Parametres!$G$2,$Q676=Parametres!$G$3),K676,E676)</f>
        <v>-37</v>
      </c>
      <c r="Q676" s="150" t="str">
        <f t="shared" si="52"/>
        <v>10-Compte compteur</v>
      </c>
      <c r="R676" s="149" t="str">
        <f t="shared" si="53"/>
        <v>461A</v>
      </c>
      <c r="S676" s="150">
        <f t="shared" si="54"/>
        <v>0</v>
      </c>
      <c r="T676" s="152" t="str">
        <f>+VLOOKUP($L676,Data_Validation!$A:$D,1,0)</f>
        <v>461H@</v>
      </c>
      <c r="U676" s="152" t="str">
        <f>+VLOOKUP($L676,Data_Validation!$A:$D,3,0)</f>
        <v>service</v>
      </c>
      <c r="V676" s="152" t="str">
        <f>+VLOOKUP($L676,Data_Validation!$A:$D,4,0)</f>
        <v>M/O Garantie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71" t="s">
        <v>1573</v>
      </c>
      <c r="B677" s="671" t="s">
        <v>1574</v>
      </c>
      <c r="C677" s="672"/>
      <c r="D677" s="672"/>
      <c r="E677" s="672"/>
      <c r="F677" s="671" t="s">
        <v>4</v>
      </c>
      <c r="G677" s="671" t="s">
        <v>1140</v>
      </c>
      <c r="H677" s="666"/>
      <c r="I677" s="665">
        <v>-96</v>
      </c>
      <c r="J677" s="665">
        <v>-41</v>
      </c>
      <c r="K677" s="665">
        <v>-137</v>
      </c>
      <c r="L677" s="149" t="str">
        <f t="shared" si="50"/>
        <v>462A@</v>
      </c>
      <c r="M677" s="150" t="str">
        <f t="shared" si="51"/>
        <v># DE VTE - M/O INTERNE BMW AUTO</v>
      </c>
      <c r="N677" s="151">
        <f>+IF(OR($Q677=Parametres!$G$2,$Q677=Parametres!$G$3),I677,C677)</f>
        <v>-96</v>
      </c>
      <c r="O677" s="151">
        <f>+IF(OR($Q677=Parametres!$G$2,$Q677=Parametres!$G$3),J677,D677)</f>
        <v>-41</v>
      </c>
      <c r="P677" s="151">
        <f>+IF(OR($Q677=Parametres!$G$2,$Q677=Parametres!$G$3),K677,E677)</f>
        <v>-137</v>
      </c>
      <c r="Q677" s="150" t="str">
        <f t="shared" si="52"/>
        <v>10-Compte compteur</v>
      </c>
      <c r="R677" s="149" t="str">
        <f t="shared" si="53"/>
        <v>462A</v>
      </c>
      <c r="S677" s="150">
        <f t="shared" si="54"/>
        <v>0</v>
      </c>
      <c r="T677" s="152" t="str">
        <f>+VLOOKUP($L677,Data_Validation!$A:$D,1,0)</f>
        <v>462A@</v>
      </c>
      <c r="U677" s="152" t="str">
        <f>+VLOOKUP($L677,Data_Validation!$A:$D,3,0)</f>
        <v>service</v>
      </c>
      <c r="V677" s="152" t="str">
        <f>+VLOOKUP($L677,Data_Validation!$A:$D,4,0)</f>
        <v>M/O Interne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71" t="s">
        <v>1575</v>
      </c>
      <c r="B678" s="671" t="s">
        <v>748</v>
      </c>
      <c r="C678" s="672"/>
      <c r="D678" s="672"/>
      <c r="E678" s="672"/>
      <c r="F678" s="671" t="s">
        <v>4</v>
      </c>
      <c r="G678" s="671" t="s">
        <v>1140</v>
      </c>
      <c r="H678" s="666"/>
      <c r="I678" s="665">
        <v>-118</v>
      </c>
      <c r="J678" s="665">
        <v>-58</v>
      </c>
      <c r="K678" s="665">
        <v>-176</v>
      </c>
      <c r="L678" s="149" t="str">
        <f t="shared" si="50"/>
        <v>462B@</v>
      </c>
      <c r="M678" s="150" t="str">
        <f t="shared" si="51"/>
        <v># DE VTE - M/O INTERNE BMW CAMION</v>
      </c>
      <c r="N678" s="151">
        <f>+IF(OR($Q678=Parametres!$G$2,$Q678=Parametres!$G$3),I678,C678)</f>
        <v>-118</v>
      </c>
      <c r="O678" s="151">
        <f>+IF(OR($Q678=Parametres!$G$2,$Q678=Parametres!$G$3),J678,D678)</f>
        <v>-58</v>
      </c>
      <c r="P678" s="151">
        <f>+IF(OR($Q678=Parametres!$G$2,$Q678=Parametres!$G$3),K678,E678)</f>
        <v>-176</v>
      </c>
      <c r="Q678" s="150" t="str">
        <f t="shared" si="52"/>
        <v>10-Compte compteur</v>
      </c>
      <c r="R678" s="149" t="str">
        <f t="shared" si="53"/>
        <v>462A</v>
      </c>
      <c r="S678" s="150">
        <f t="shared" si="54"/>
        <v>0</v>
      </c>
      <c r="T678" s="152" t="str">
        <f>+VLOOKUP($L678,Data_Validation!$A:$D,1,0)</f>
        <v>462B@</v>
      </c>
      <c r="U678" s="152" t="str">
        <f>+VLOOKUP($L678,Data_Validation!$A:$D,3,0)</f>
        <v>service</v>
      </c>
      <c r="V678" s="152" t="str">
        <f>+VLOOKUP($L678,Data_Validation!$A:$D,4,0)</f>
        <v>M/O Interne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71" t="s">
        <v>1049</v>
      </c>
      <c r="B679" s="671" t="s">
        <v>749</v>
      </c>
      <c r="C679" s="672"/>
      <c r="D679" s="672"/>
      <c r="E679" s="672"/>
      <c r="F679" s="671" t="s">
        <v>4</v>
      </c>
      <c r="G679" s="671" t="s">
        <v>1140</v>
      </c>
      <c r="H679" s="666"/>
      <c r="I679" s="665">
        <v>-30</v>
      </c>
      <c r="J679" s="665">
        <v>-7</v>
      </c>
      <c r="K679" s="665">
        <v>-37</v>
      </c>
      <c r="L679" s="149" t="str">
        <f t="shared" si="50"/>
        <v>462D@</v>
      </c>
      <c r="M679" s="150" t="str">
        <f t="shared" si="51"/>
        <v># DE VTE - M/O INTERNE BMW I</v>
      </c>
      <c r="N679" s="151">
        <f>+IF(OR($Q679=Parametres!$G$2,$Q679=Parametres!$G$3),I679,C679)</f>
        <v>-30</v>
      </c>
      <c r="O679" s="151">
        <f>+IF(OR($Q679=Parametres!$G$2,$Q679=Parametres!$G$3),J679,D679)</f>
        <v>-7</v>
      </c>
      <c r="P679" s="151">
        <f>+IF(OR($Q679=Parametres!$G$2,$Q679=Parametres!$G$3),K679,E679)</f>
        <v>-37</v>
      </c>
      <c r="Q679" s="150" t="str">
        <f t="shared" si="52"/>
        <v>10-Compte compteur</v>
      </c>
      <c r="R679" s="149" t="str">
        <f t="shared" si="53"/>
        <v>462A</v>
      </c>
      <c r="S679" s="150">
        <f t="shared" si="54"/>
        <v>0</v>
      </c>
      <c r="T679" s="152" t="str">
        <f>+VLOOKUP($L679,Data_Validation!$A:$D,1,0)</f>
        <v>462D@</v>
      </c>
      <c r="U679" s="152" t="str">
        <f>+VLOOKUP($L679,Data_Validation!$A:$D,3,0)</f>
        <v>service</v>
      </c>
      <c r="V679" s="152" t="str">
        <f>+VLOOKUP($L679,Data_Validation!$A:$D,4,0)</f>
        <v>M/O Interne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2186</v>
      </c>
      <c r="B680" s="671" t="s">
        <v>2187</v>
      </c>
      <c r="C680" s="672"/>
      <c r="D680" s="672"/>
      <c r="E680" s="672"/>
      <c r="F680" s="671" t="s">
        <v>4</v>
      </c>
      <c r="G680" s="671" t="s">
        <v>1140</v>
      </c>
      <c r="H680" s="666"/>
      <c r="I680" s="665">
        <v>-69</v>
      </c>
      <c r="J680" s="665">
        <v>-37</v>
      </c>
      <c r="K680" s="665">
        <v>-106</v>
      </c>
      <c r="L680" s="149" t="str">
        <f t="shared" si="50"/>
        <v>462L@</v>
      </c>
      <c r="M680" s="150" t="str">
        <f t="shared" si="51"/>
        <v># OF VTES -SUBLET INTERNE AUTO</v>
      </c>
      <c r="N680" s="151">
        <f>+IF(OR($Q680=Parametres!$G$2,$Q680=Parametres!$G$3),I680,C680)</f>
        <v>-69</v>
      </c>
      <c r="O680" s="151">
        <f>+IF(OR($Q680=Parametres!$G$2,$Q680=Parametres!$G$3),J680,D680)</f>
        <v>-37</v>
      </c>
      <c r="P680" s="151">
        <f>+IF(OR($Q680=Parametres!$G$2,$Q680=Parametres!$G$3),K680,E680)</f>
        <v>-106</v>
      </c>
      <c r="Q680" s="150" t="str">
        <f t="shared" si="52"/>
        <v>10-Compte compteur</v>
      </c>
      <c r="R680" s="149" t="str">
        <f t="shared" si="53"/>
        <v>462A</v>
      </c>
      <c r="S680" s="150">
        <f t="shared" si="54"/>
        <v>0</v>
      </c>
      <c r="T680" s="152" t="str">
        <f>+VLOOKUP($L680,Data_Validation!$A:$D,1,0)</f>
        <v>462L@</v>
      </c>
      <c r="U680" s="152" t="str">
        <f>+VLOOKUP($L680,Data_Validation!$A:$D,3,0)</f>
        <v>Service</v>
      </c>
      <c r="V680" s="152" t="str">
        <f>+VLOOKUP($L680,Data_Validation!$A:$D,4,0)</f>
        <v>M/O Interne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2188</v>
      </c>
      <c r="B681" s="671" t="s">
        <v>2189</v>
      </c>
      <c r="C681" s="672"/>
      <c r="D681" s="672"/>
      <c r="E681" s="672"/>
      <c r="F681" s="671" t="s">
        <v>4</v>
      </c>
      <c r="G681" s="671" t="s">
        <v>1140</v>
      </c>
      <c r="H681" s="666"/>
      <c r="I681" s="665">
        <v>-56</v>
      </c>
      <c r="J681" s="665">
        <v>-36</v>
      </c>
      <c r="K681" s="665">
        <v>-92</v>
      </c>
      <c r="L681" s="149" t="str">
        <f t="shared" si="50"/>
        <v>462M@</v>
      </c>
      <c r="M681" s="150" t="str">
        <f t="shared" si="51"/>
        <v># OF VTES -SUBLET INTERNE CAMION</v>
      </c>
      <c r="N681" s="151">
        <f>+IF(OR($Q681=Parametres!$G$2,$Q681=Parametres!$G$3),I681,C681)</f>
        <v>-56</v>
      </c>
      <c r="O681" s="151">
        <f>+IF(OR($Q681=Parametres!$G$2,$Q681=Parametres!$G$3),J681,D681)</f>
        <v>-36</v>
      </c>
      <c r="P681" s="151">
        <f>+IF(OR($Q681=Parametres!$G$2,$Q681=Parametres!$G$3),K681,E681)</f>
        <v>-92</v>
      </c>
      <c r="Q681" s="150" t="str">
        <f t="shared" si="52"/>
        <v>10-Compte compteur</v>
      </c>
      <c r="R681" s="149" t="str">
        <f t="shared" si="53"/>
        <v>462A</v>
      </c>
      <c r="S681" s="150">
        <f t="shared" si="54"/>
        <v>0</v>
      </c>
      <c r="T681" s="152" t="str">
        <f>+VLOOKUP($L681,Data_Validation!$A:$D,1,0)</f>
        <v>462M@</v>
      </c>
      <c r="U681" s="152" t="str">
        <f>+VLOOKUP($L681,Data_Validation!$A:$D,3,0)</f>
        <v>Service</v>
      </c>
      <c r="V681" s="152" t="str">
        <f>+VLOOKUP($L681,Data_Validation!$A:$D,4,0)</f>
        <v>M/O Interne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2247</v>
      </c>
      <c r="B682" s="671" t="s">
        <v>2246</v>
      </c>
      <c r="C682" s="672"/>
      <c r="D682" s="672"/>
      <c r="E682" s="672"/>
      <c r="F682" s="671" t="s">
        <v>4</v>
      </c>
      <c r="G682" s="671" t="s">
        <v>1140</v>
      </c>
      <c r="H682" s="666"/>
      <c r="I682" s="665">
        <v>-12</v>
      </c>
      <c r="J682" s="665">
        <v>-9</v>
      </c>
      <c r="K682" s="665">
        <v>-21</v>
      </c>
      <c r="L682" s="149" t="str">
        <f t="shared" si="50"/>
        <v>462N@</v>
      </c>
      <c r="M682" s="150" t="str">
        <f t="shared" si="51"/>
        <v># OF VTES -SUBLET INTERNE ESTHETIQUE</v>
      </c>
      <c r="N682" s="151">
        <f>+IF(OR($Q682=Parametres!$G$2,$Q682=Parametres!$G$3),I682,C682)</f>
        <v>-12</v>
      </c>
      <c r="O682" s="151">
        <f>+IF(OR($Q682=Parametres!$G$2,$Q682=Parametres!$G$3),J682,D682)</f>
        <v>-9</v>
      </c>
      <c r="P682" s="151">
        <f>+IF(OR($Q682=Parametres!$G$2,$Q682=Parametres!$G$3),K682,E682)</f>
        <v>-21</v>
      </c>
      <c r="Q682" s="150" t="str">
        <f t="shared" si="52"/>
        <v>10-Compte compteur</v>
      </c>
      <c r="R682" s="149" t="str">
        <f t="shared" si="53"/>
        <v>462A</v>
      </c>
      <c r="S682" s="150">
        <f t="shared" si="54"/>
        <v>0</v>
      </c>
      <c r="T682" s="152" t="str">
        <f>+VLOOKUP($L682,Data_Validation!$A:$D,1,0)</f>
        <v>462N@</v>
      </c>
      <c r="U682" s="152" t="str">
        <f>+VLOOKUP($L682,Data_Validation!$A:$D,3,0)</f>
        <v>Service</v>
      </c>
      <c r="V682" s="152" t="str">
        <f>+VLOOKUP($L682,Data_Validation!$A:$D,4,0)</f>
        <v>M/O Interne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1576</v>
      </c>
      <c r="B683" s="671" t="s">
        <v>1577</v>
      </c>
      <c r="C683" s="672"/>
      <c r="D683" s="672"/>
      <c r="E683" s="672"/>
      <c r="F683" s="671" t="s">
        <v>4</v>
      </c>
      <c r="G683" s="671" t="s">
        <v>1144</v>
      </c>
      <c r="H683" s="666"/>
      <c r="I683" s="665">
        <v>-10</v>
      </c>
      <c r="J683" s="665">
        <v>-3</v>
      </c>
      <c r="K683" s="665">
        <v>-13</v>
      </c>
      <c r="L683" s="149" t="str">
        <f t="shared" si="50"/>
        <v>463A@</v>
      </c>
      <c r="M683" s="150" t="str">
        <f t="shared" si="51"/>
        <v># DE VTE - SOUS-TRAITANCE BMW AUTO</v>
      </c>
      <c r="N683" s="151">
        <f>+IF(OR($Q683=Parametres!$G$2,$Q683=Parametres!$G$3),I683,C683)</f>
        <v>-10</v>
      </c>
      <c r="O683" s="151">
        <f>+IF(OR($Q683=Parametres!$G$2,$Q683=Parametres!$G$3),J683,D683)</f>
        <v>-3</v>
      </c>
      <c r="P683" s="151">
        <f>+IF(OR($Q683=Parametres!$G$2,$Q683=Parametres!$G$3),K683,E683)</f>
        <v>-13</v>
      </c>
      <c r="Q683" s="150" t="str">
        <f t="shared" si="52"/>
        <v>10-Compte compteur</v>
      </c>
      <c r="R683" s="149" t="str">
        <f t="shared" si="53"/>
        <v>463A</v>
      </c>
      <c r="S683" s="150">
        <f t="shared" si="54"/>
        <v>0</v>
      </c>
      <c r="T683" s="152" t="str">
        <f>+VLOOKUP($L683,Data_Validation!$A:$D,1,0)</f>
        <v>463A@</v>
      </c>
      <c r="U683" s="152" t="str">
        <f>+VLOOKUP($L683,Data_Validation!$A:$D,3,0)</f>
        <v>service</v>
      </c>
      <c r="V683" s="152" t="str">
        <f>+VLOOKUP($L683,Data_Validation!$A:$D,4,0)</f>
        <v>Sous-traitement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1578</v>
      </c>
      <c r="B684" s="671" t="s">
        <v>750</v>
      </c>
      <c r="C684" s="672"/>
      <c r="D684" s="672"/>
      <c r="E684" s="672"/>
      <c r="F684" s="671" t="s">
        <v>4</v>
      </c>
      <c r="G684" s="671" t="s">
        <v>1144</v>
      </c>
      <c r="H684" s="666"/>
      <c r="I684" s="665">
        <v>-14</v>
      </c>
      <c r="J684" s="665">
        <v>-2</v>
      </c>
      <c r="K684" s="665">
        <v>-16</v>
      </c>
      <c r="L684" s="149" t="str">
        <f t="shared" si="50"/>
        <v>463B@</v>
      </c>
      <c r="M684" s="150" t="str">
        <f t="shared" si="51"/>
        <v># DE VTE - SOUS-TRAITANCE BMW CAMION</v>
      </c>
      <c r="N684" s="151">
        <f>+IF(OR($Q684=Parametres!$G$2,$Q684=Parametres!$G$3),I684,C684)</f>
        <v>-14</v>
      </c>
      <c r="O684" s="151">
        <f>+IF(OR($Q684=Parametres!$G$2,$Q684=Parametres!$G$3),J684,D684)</f>
        <v>-2</v>
      </c>
      <c r="P684" s="151">
        <f>+IF(OR($Q684=Parametres!$G$2,$Q684=Parametres!$G$3),K684,E684)</f>
        <v>-16</v>
      </c>
      <c r="Q684" s="150" t="str">
        <f t="shared" si="52"/>
        <v>10-Compte compteur</v>
      </c>
      <c r="R684" s="149" t="str">
        <f t="shared" si="53"/>
        <v>463A</v>
      </c>
      <c r="S684" s="150">
        <f t="shared" si="54"/>
        <v>0</v>
      </c>
      <c r="T684" s="152" t="str">
        <f>+VLOOKUP($L684,Data_Validation!$A:$D,1,0)</f>
        <v>463B@</v>
      </c>
      <c r="U684" s="152" t="str">
        <f>+VLOOKUP($L684,Data_Validation!$A:$D,3,0)</f>
        <v>service</v>
      </c>
      <c r="V684" s="152" t="str">
        <f>+VLOOKUP($L684,Data_Validation!$A:$D,4,0)</f>
        <v>Sous-traitement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1050</v>
      </c>
      <c r="B685" s="671" t="s">
        <v>1051</v>
      </c>
      <c r="C685" s="672"/>
      <c r="D685" s="672"/>
      <c r="E685" s="672"/>
      <c r="F685" s="671" t="s">
        <v>4</v>
      </c>
      <c r="G685" s="671" t="s">
        <v>1144</v>
      </c>
      <c r="H685" s="666"/>
      <c r="I685" s="665">
        <v>-4</v>
      </c>
      <c r="J685" s="665">
        <v>0</v>
      </c>
      <c r="K685" s="665">
        <v>-4</v>
      </c>
      <c r="L685" s="149" t="str">
        <f t="shared" si="50"/>
        <v>463D@</v>
      </c>
      <c r="M685" s="150" t="str">
        <f t="shared" si="51"/>
        <v># DE VTE - SOUS-TRAITANCE BMW I</v>
      </c>
      <c r="N685" s="151">
        <f>+IF(OR($Q685=Parametres!$G$2,$Q685=Parametres!$G$3),I685,C685)</f>
        <v>-4</v>
      </c>
      <c r="O685" s="151">
        <f>+IF(OR($Q685=Parametres!$G$2,$Q685=Parametres!$G$3),J685,D685)</f>
        <v>0</v>
      </c>
      <c r="P685" s="151">
        <f>+IF(OR($Q685=Parametres!$G$2,$Q685=Parametres!$G$3),K685,E685)</f>
        <v>-4</v>
      </c>
      <c r="Q685" s="150" t="str">
        <f t="shared" si="52"/>
        <v>10-Compte compteur</v>
      </c>
      <c r="R685" s="149" t="str">
        <f t="shared" si="53"/>
        <v>463A</v>
      </c>
      <c r="S685" s="150">
        <f t="shared" si="54"/>
        <v>0</v>
      </c>
      <c r="T685" s="152" t="str">
        <f>+VLOOKUP($L685,Data_Validation!$A:$D,1,0)</f>
        <v>463D@</v>
      </c>
      <c r="U685" s="152" t="str">
        <f>+VLOOKUP($L685,Data_Validation!$A:$D,3,0)</f>
        <v>service</v>
      </c>
      <c r="V685" s="152" t="str">
        <f>+VLOOKUP($L685,Data_Validation!$A:$D,4,0)</f>
        <v>Sous-traitement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1581</v>
      </c>
      <c r="B686" s="671" t="s">
        <v>1582</v>
      </c>
      <c r="C686" s="672"/>
      <c r="D686" s="672"/>
      <c r="E686" s="672"/>
      <c r="F686" s="671" t="s">
        <v>4</v>
      </c>
      <c r="G686" s="671" t="s">
        <v>1121</v>
      </c>
      <c r="H686" s="666"/>
      <c r="I686" s="665">
        <v>-79</v>
      </c>
      <c r="J686" s="665">
        <v>-43</v>
      </c>
      <c r="K686" s="665">
        <v>-122</v>
      </c>
      <c r="L686" s="149" t="str">
        <f t="shared" si="50"/>
        <v>470A@</v>
      </c>
      <c r="M686" s="150" t="str">
        <f t="shared" si="51"/>
        <v># DE VTE - PCS BT CLIENT BMW AUTO</v>
      </c>
      <c r="N686" s="151">
        <f>+IF(OR($Q686=Parametres!$G$2,$Q686=Parametres!$G$3),I686,C686)</f>
        <v>-79</v>
      </c>
      <c r="O686" s="151">
        <f>+IF(OR($Q686=Parametres!$G$2,$Q686=Parametres!$G$3),J686,D686)</f>
        <v>-43</v>
      </c>
      <c r="P686" s="151">
        <f>+IF(OR($Q686=Parametres!$G$2,$Q686=Parametres!$G$3),K686,E686)</f>
        <v>-122</v>
      </c>
      <c r="Q686" s="150" t="str">
        <f t="shared" si="52"/>
        <v>10-Compte compteur</v>
      </c>
      <c r="R686" s="149" t="str">
        <f t="shared" si="53"/>
        <v>470A</v>
      </c>
      <c r="S686" s="150">
        <f t="shared" si="54"/>
        <v>0</v>
      </c>
      <c r="T686" s="152" t="str">
        <f>+VLOOKUP($L686,Data_Validation!$A:$D,1,0)</f>
        <v>470A@</v>
      </c>
      <c r="U686" s="152" t="str">
        <f>+VLOOKUP($L686,Data_Validation!$A:$D,3,0)</f>
        <v>Pièces</v>
      </c>
      <c r="V686" s="152" t="str">
        <f>+VLOOKUP($L686,Data_Validation!$A:$D,4,0)</f>
        <v>Pièces Ro Clients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1583</v>
      </c>
      <c r="B687" s="671" t="s">
        <v>751</v>
      </c>
      <c r="C687" s="672"/>
      <c r="D687" s="672"/>
      <c r="E687" s="672"/>
      <c r="F687" s="671" t="s">
        <v>4</v>
      </c>
      <c r="G687" s="671" t="s">
        <v>1121</v>
      </c>
      <c r="H687" s="666"/>
      <c r="I687" s="665">
        <v>-144</v>
      </c>
      <c r="J687" s="665">
        <v>-55</v>
      </c>
      <c r="K687" s="665">
        <v>-199</v>
      </c>
      <c r="L687" s="149" t="str">
        <f t="shared" si="50"/>
        <v>470B@</v>
      </c>
      <c r="M687" s="150" t="str">
        <f t="shared" si="51"/>
        <v># DE VTE - PCS BT CLIENT BMW CAMION</v>
      </c>
      <c r="N687" s="151">
        <f>+IF(OR($Q687=Parametres!$G$2,$Q687=Parametres!$G$3),I687,C687)</f>
        <v>-144</v>
      </c>
      <c r="O687" s="477">
        <f>+IF(OR($Q687=Parametres!$G$2,$Q687=Parametres!$G$3),J687,D687)</f>
        <v>-55</v>
      </c>
      <c r="P687" s="151">
        <f>+IF(OR($Q687=Parametres!$G$2,$Q687=Parametres!$G$3),K687,E687)</f>
        <v>-199</v>
      </c>
      <c r="Q687" s="150" t="str">
        <f t="shared" si="52"/>
        <v>10-Compte compteur</v>
      </c>
      <c r="R687" s="149" t="str">
        <f t="shared" si="53"/>
        <v>470A</v>
      </c>
      <c r="S687" s="150">
        <f t="shared" si="54"/>
        <v>0</v>
      </c>
      <c r="T687" s="152" t="str">
        <f>+VLOOKUP($L687,Data_Validation!$A:$D,1,0)</f>
        <v>470B@</v>
      </c>
      <c r="U687" s="152" t="str">
        <f>+VLOOKUP($L687,Data_Validation!$A:$D,3,0)</f>
        <v>Pièces</v>
      </c>
      <c r="V687" s="152" t="str">
        <f>+VLOOKUP($L687,Data_Validation!$A:$D,4,0)</f>
        <v>Pièces Ro Clients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1584</v>
      </c>
      <c r="B688" s="671" t="s">
        <v>1052</v>
      </c>
      <c r="C688" s="672"/>
      <c r="D688" s="672"/>
      <c r="E688" s="672"/>
      <c r="F688" s="671" t="s">
        <v>4</v>
      </c>
      <c r="G688" s="671" t="s">
        <v>1121</v>
      </c>
      <c r="H688" s="666"/>
      <c r="I688" s="665">
        <v>-13</v>
      </c>
      <c r="J688" s="665">
        <v>-4</v>
      </c>
      <c r="K688" s="665">
        <v>-17</v>
      </c>
      <c r="L688" s="149" t="str">
        <f t="shared" si="50"/>
        <v>470D@</v>
      </c>
      <c r="M688" s="150" t="str">
        <f t="shared" si="51"/>
        <v># DE VTE - PIECES BT CLIENT BMW I</v>
      </c>
      <c r="N688" s="151">
        <f>+IF(OR($Q688=Parametres!$G$2,$Q688=Parametres!$G$3),I688,C688)</f>
        <v>-13</v>
      </c>
      <c r="O688" s="151">
        <f>+IF(OR($Q688=Parametres!$G$2,$Q688=Parametres!$G$3),J688,D688)</f>
        <v>-4</v>
      </c>
      <c r="P688" s="151">
        <f>+IF(OR($Q688=Parametres!$G$2,$Q688=Parametres!$G$3),K688,E688)</f>
        <v>-17</v>
      </c>
      <c r="Q688" s="150" t="str">
        <f t="shared" si="52"/>
        <v>10-Compte compteur</v>
      </c>
      <c r="R688" s="149" t="str">
        <f t="shared" si="53"/>
        <v>470A</v>
      </c>
      <c r="S688" s="150">
        <f t="shared" si="54"/>
        <v>0</v>
      </c>
      <c r="T688" s="152" t="str">
        <f>+VLOOKUP($L688,Data_Validation!$A:$D,1,0)</f>
        <v>470D@</v>
      </c>
      <c r="U688" s="152" t="str">
        <f>+VLOOKUP($L688,Data_Validation!$A:$D,3,0)</f>
        <v>Pièces</v>
      </c>
      <c r="V688" s="152" t="str">
        <f>+VLOOKUP($L688,Data_Validation!$A:$D,4,0)</f>
        <v>Pièces Ro Clients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2091</v>
      </c>
      <c r="B689" s="671" t="s">
        <v>2092</v>
      </c>
      <c r="C689" s="672"/>
      <c r="D689" s="672"/>
      <c r="E689" s="672"/>
      <c r="F689" s="671" t="s">
        <v>4</v>
      </c>
      <c r="G689" s="671" t="s">
        <v>2084</v>
      </c>
      <c r="H689" s="666"/>
      <c r="I689" s="665">
        <v>-1</v>
      </c>
      <c r="J689" s="665">
        <v>0</v>
      </c>
      <c r="K689" s="665">
        <v>-1</v>
      </c>
      <c r="L689" s="149" t="str">
        <f t="shared" si="50"/>
        <v>471A@</v>
      </c>
      <c r="M689" s="150" t="str">
        <f t="shared" si="51"/>
        <v># DE VTE - PCS BT CARROSS BMW AUTO</v>
      </c>
      <c r="N689" s="151">
        <f>+IF(OR($Q689=Parametres!$G$2,$Q689=Parametres!$G$3),I689,C689)</f>
        <v>-1</v>
      </c>
      <c r="O689" s="151">
        <f>+IF(OR($Q689=Parametres!$G$2,$Q689=Parametres!$G$3),J689,D689)</f>
        <v>0</v>
      </c>
      <c r="P689" s="151">
        <f>+IF(OR($Q689=Parametres!$G$2,$Q689=Parametres!$G$3),K689,E689)</f>
        <v>-1</v>
      </c>
      <c r="Q689" s="150" t="str">
        <f t="shared" si="52"/>
        <v>10-Compte compteur</v>
      </c>
      <c r="R689" s="149" t="str">
        <f t="shared" si="53"/>
        <v>471A</v>
      </c>
      <c r="S689" s="150">
        <f t="shared" si="54"/>
        <v>0</v>
      </c>
      <c r="T689" s="152" t="str">
        <f>+VLOOKUP($L689,Data_Validation!$A:$D,1,0)</f>
        <v>471A@</v>
      </c>
      <c r="U689" s="152" t="str">
        <f>+VLOOKUP($L689,Data_Validation!$A:$D,3,0)</f>
        <v>Pièces</v>
      </c>
      <c r="V689" s="152" t="str">
        <f>+VLOOKUP($L689,Data_Validation!$A:$D,4,0)</f>
        <v>Pièces Ro Carrosserie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2490</v>
      </c>
      <c r="B690" s="671" t="s">
        <v>2491</v>
      </c>
      <c r="C690" s="672"/>
      <c r="D690" s="672"/>
      <c r="E690" s="672"/>
      <c r="F690" s="671" t="s">
        <v>4</v>
      </c>
      <c r="G690" s="671" t="s">
        <v>2084</v>
      </c>
      <c r="H690" s="666"/>
      <c r="I690" s="665">
        <v>-1</v>
      </c>
      <c r="J690" s="665">
        <v>-1</v>
      </c>
      <c r="K690" s="665">
        <v>-2</v>
      </c>
      <c r="L690" s="149" t="str">
        <f t="shared" si="50"/>
        <v>471D@</v>
      </c>
      <c r="M690" s="150" t="str">
        <f t="shared" si="51"/>
        <v># DE VTE - PIECES BT CARROSS. BMW I</v>
      </c>
      <c r="N690" s="151">
        <f>+IF(OR($Q690=Parametres!$G$2,$Q690=Parametres!$G$3),I690,C690)</f>
        <v>-1</v>
      </c>
      <c r="O690" s="151">
        <f>+IF(OR($Q690=Parametres!$G$2,$Q690=Parametres!$G$3),J690,D690)</f>
        <v>-1</v>
      </c>
      <c r="P690" s="151">
        <f>+IF(OR($Q690=Parametres!$G$2,$Q690=Parametres!$G$3),K690,E690)</f>
        <v>-2</v>
      </c>
      <c r="Q690" s="150" t="str">
        <f t="shared" si="52"/>
        <v>10-Compte compteur</v>
      </c>
      <c r="R690" s="149" t="str">
        <f t="shared" si="53"/>
        <v>471A</v>
      </c>
      <c r="S690" s="150">
        <f t="shared" si="54"/>
        <v>0</v>
      </c>
      <c r="T690" s="152" t="str">
        <f>+VLOOKUP($L690,Data_Validation!$A:$D,1,0)</f>
        <v>471D@</v>
      </c>
      <c r="U690" s="152" t="str">
        <f>+VLOOKUP($L690,Data_Validation!$A:$D,3,0)</f>
        <v>Pièces</v>
      </c>
      <c r="V690" s="152" t="str">
        <f>+VLOOKUP($L690,Data_Validation!$A:$D,4,0)</f>
        <v>Pièces Ro Carrosserie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1585</v>
      </c>
      <c r="B691" s="671" t="s">
        <v>1586</v>
      </c>
      <c r="C691" s="672"/>
      <c r="D691" s="672"/>
      <c r="E691" s="672"/>
      <c r="F691" s="671" t="s">
        <v>4</v>
      </c>
      <c r="G691" s="671" t="s">
        <v>1097</v>
      </c>
      <c r="H691" s="666"/>
      <c r="I691" s="665">
        <v>-50</v>
      </c>
      <c r="J691" s="665">
        <v>-21</v>
      </c>
      <c r="K691" s="665">
        <v>-71</v>
      </c>
      <c r="L691" s="149" t="str">
        <f t="shared" si="50"/>
        <v>472A@</v>
      </c>
      <c r="M691" s="150" t="str">
        <f t="shared" si="51"/>
        <v># DE VTE - PCS GARANTIE BMW AUTO</v>
      </c>
      <c r="N691" s="151">
        <f>+IF(OR($Q691=Parametres!$G$2,$Q691=Parametres!$G$3),I691,C691)</f>
        <v>-50</v>
      </c>
      <c r="O691" s="151">
        <f>+IF(OR($Q691=Parametres!$G$2,$Q691=Parametres!$G$3),J691,D691)</f>
        <v>-21</v>
      </c>
      <c r="P691" s="151">
        <f>+IF(OR($Q691=Parametres!$G$2,$Q691=Parametres!$G$3),K691,E691)</f>
        <v>-71</v>
      </c>
      <c r="Q691" s="150" t="str">
        <f t="shared" si="52"/>
        <v>10-Compte compteur</v>
      </c>
      <c r="R691" s="149" t="str">
        <f t="shared" si="53"/>
        <v>472A</v>
      </c>
      <c r="S691" s="150">
        <f t="shared" si="54"/>
        <v>0</v>
      </c>
      <c r="T691" s="152" t="str">
        <f>+VLOOKUP($L691,Data_Validation!$A:$D,1,0)</f>
        <v>472A@</v>
      </c>
      <c r="U691" s="152" t="str">
        <f>+VLOOKUP($L691,Data_Validation!$A:$D,3,0)</f>
        <v>pièces</v>
      </c>
      <c r="V691" s="152" t="str">
        <f>+VLOOKUP($L691,Data_Validation!$A:$D,4,0)</f>
        <v>P/A Garantie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1587</v>
      </c>
      <c r="B692" s="671" t="s">
        <v>752</v>
      </c>
      <c r="C692" s="672"/>
      <c r="D692" s="672"/>
      <c r="E692" s="672"/>
      <c r="F692" s="671" t="s">
        <v>4</v>
      </c>
      <c r="G692" s="671" t="s">
        <v>1097</v>
      </c>
      <c r="H692" s="666"/>
      <c r="I692" s="665">
        <v>-90</v>
      </c>
      <c r="J692" s="665">
        <v>-45</v>
      </c>
      <c r="K692" s="665">
        <v>-135</v>
      </c>
      <c r="L692" s="149" t="str">
        <f t="shared" si="50"/>
        <v>472B@</v>
      </c>
      <c r="M692" s="150" t="str">
        <f t="shared" si="51"/>
        <v># DE VTE - PCS GARANTIE BMW CAMION</v>
      </c>
      <c r="N692" s="151">
        <f>+IF(OR($Q692=Parametres!$G$2,$Q692=Parametres!$G$3),I692,C692)</f>
        <v>-90</v>
      </c>
      <c r="O692" s="151">
        <f>+IF(OR($Q692=Parametres!$G$2,$Q692=Parametres!$G$3),J692,D692)</f>
        <v>-45</v>
      </c>
      <c r="P692" s="151">
        <f>+IF(OR($Q692=Parametres!$G$2,$Q692=Parametres!$G$3),K692,E692)</f>
        <v>-135</v>
      </c>
      <c r="Q692" s="150" t="str">
        <f t="shared" si="52"/>
        <v>10-Compte compteur</v>
      </c>
      <c r="R692" s="149" t="str">
        <f t="shared" si="53"/>
        <v>472A</v>
      </c>
      <c r="S692" s="150">
        <f t="shared" si="54"/>
        <v>0</v>
      </c>
      <c r="T692" s="152" t="str">
        <f>+VLOOKUP($L692,Data_Validation!$A:$D,1,0)</f>
        <v>472B@</v>
      </c>
      <c r="U692" s="152" t="str">
        <f>+VLOOKUP($L692,Data_Validation!$A:$D,3,0)</f>
        <v>pièces</v>
      </c>
      <c r="V692" s="152" t="str">
        <f>+VLOOKUP($L692,Data_Validation!$A:$D,4,0)</f>
        <v>P/A Garantie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1588</v>
      </c>
      <c r="B693" s="671" t="s">
        <v>753</v>
      </c>
      <c r="C693" s="672"/>
      <c r="D693" s="672"/>
      <c r="E693" s="672"/>
      <c r="F693" s="671" t="s">
        <v>4</v>
      </c>
      <c r="G693" s="671" t="s">
        <v>435</v>
      </c>
      <c r="H693" s="666"/>
      <c r="I693" s="665">
        <v>-58</v>
      </c>
      <c r="J693" s="665">
        <v>-23</v>
      </c>
      <c r="K693" s="665">
        <v>-81</v>
      </c>
      <c r="L693" s="149" t="str">
        <f t="shared" si="50"/>
        <v>472D@</v>
      </c>
      <c r="M693" s="150" t="str">
        <f t="shared" si="51"/>
        <v># DE VTE - PCS ENTRETIEN BMW AUTO</v>
      </c>
      <c r="N693" s="151">
        <f>+IF(OR($Q693=Parametres!$G$2,$Q693=Parametres!$G$3),I693,C693)</f>
        <v>-58</v>
      </c>
      <c r="O693" s="151">
        <f>+IF(OR($Q693=Parametres!$G$2,$Q693=Parametres!$G$3),J693,D693)</f>
        <v>-23</v>
      </c>
      <c r="P693" s="151">
        <f>+IF(OR($Q693=Parametres!$G$2,$Q693=Parametres!$G$3),K693,E693)</f>
        <v>-81</v>
      </c>
      <c r="Q693" s="150" t="str">
        <f t="shared" si="52"/>
        <v>10-Compte compteur</v>
      </c>
      <c r="R693" s="149" t="str">
        <f t="shared" si="53"/>
        <v>472D</v>
      </c>
      <c r="S693" s="150">
        <f t="shared" si="54"/>
        <v>0</v>
      </c>
      <c r="T693" s="152" t="str">
        <f>+VLOOKUP($L693,Data_Validation!$A:$D,1,0)</f>
        <v>472D@</v>
      </c>
      <c r="U693" s="152" t="str">
        <f>+VLOOKUP($L693,Data_Validation!$A:$D,3,0)</f>
        <v>pièces</v>
      </c>
      <c r="V693" s="152" t="str">
        <f>+VLOOKUP($L693,Data_Validation!$A:$D,4,0)</f>
        <v>P/A Garantie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1589</v>
      </c>
      <c r="B694" s="671" t="s">
        <v>754</v>
      </c>
      <c r="C694" s="672"/>
      <c r="D694" s="672"/>
      <c r="E694" s="672"/>
      <c r="F694" s="671" t="s">
        <v>4</v>
      </c>
      <c r="G694" s="671" t="s">
        <v>435</v>
      </c>
      <c r="H694" s="666"/>
      <c r="I694" s="665">
        <v>-146</v>
      </c>
      <c r="J694" s="665">
        <v>-46</v>
      </c>
      <c r="K694" s="665">
        <v>-192</v>
      </c>
      <c r="L694" s="149" t="str">
        <f t="shared" si="50"/>
        <v>472E@</v>
      </c>
      <c r="M694" s="150" t="str">
        <f t="shared" si="51"/>
        <v># DE VTE - PCS ENTRETIEN BMW CAMION</v>
      </c>
      <c r="N694" s="151">
        <f>+IF(OR($Q694=Parametres!$G$2,$Q694=Parametres!$G$3),I694,C694)</f>
        <v>-146</v>
      </c>
      <c r="O694" s="151">
        <f>+IF(OR($Q694=Parametres!$G$2,$Q694=Parametres!$G$3),J694,D694)</f>
        <v>-46</v>
      </c>
      <c r="P694" s="151">
        <f>+IF(OR($Q694=Parametres!$G$2,$Q694=Parametres!$G$3),K694,E694)</f>
        <v>-192</v>
      </c>
      <c r="Q694" s="150" t="str">
        <f t="shared" si="52"/>
        <v>10-Compte compteur</v>
      </c>
      <c r="R694" s="149" t="str">
        <f t="shared" si="53"/>
        <v>472D</v>
      </c>
      <c r="S694" s="150">
        <f t="shared" si="54"/>
        <v>0</v>
      </c>
      <c r="T694" s="152" t="str">
        <f>+VLOOKUP($L694,Data_Validation!$A:$D,1,0)</f>
        <v>472E@</v>
      </c>
      <c r="U694" s="152" t="str">
        <f>+VLOOKUP($L694,Data_Validation!$A:$D,3,0)</f>
        <v>pièces</v>
      </c>
      <c r="V694" s="152" t="str">
        <f>+VLOOKUP($L694,Data_Validation!$A:$D,4,0)</f>
        <v>P/A Garantie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1590</v>
      </c>
      <c r="B695" s="671" t="s">
        <v>1053</v>
      </c>
      <c r="C695" s="672"/>
      <c r="D695" s="672"/>
      <c r="E695" s="672"/>
      <c r="F695" s="671" t="s">
        <v>4</v>
      </c>
      <c r="G695" s="671" t="s">
        <v>435</v>
      </c>
      <c r="H695" s="666"/>
      <c r="I695" s="665">
        <v>0</v>
      </c>
      <c r="J695" s="665">
        <v>-3</v>
      </c>
      <c r="K695" s="665">
        <v>-3</v>
      </c>
      <c r="L695" s="149" t="str">
        <f t="shared" si="50"/>
        <v>472G@</v>
      </c>
      <c r="M695" s="150" t="str">
        <f t="shared" si="51"/>
        <v># DE VTE - PIECES ENTRETIEN BMW I</v>
      </c>
      <c r="N695" s="151">
        <f>+IF(OR($Q695=Parametres!$G$2,$Q695=Parametres!$G$3),I695,C695)</f>
        <v>0</v>
      </c>
      <c r="O695" s="151">
        <f>+IF(OR($Q695=Parametres!$G$2,$Q695=Parametres!$G$3),J695,D695)</f>
        <v>-3</v>
      </c>
      <c r="P695" s="151">
        <f>+IF(OR($Q695=Parametres!$G$2,$Q695=Parametres!$G$3),K695,E695)</f>
        <v>-3</v>
      </c>
      <c r="Q695" s="150" t="str">
        <f t="shared" si="52"/>
        <v>10-Compte compteur</v>
      </c>
      <c r="R695" s="149" t="str">
        <f t="shared" si="53"/>
        <v>472D</v>
      </c>
      <c r="S695" s="150">
        <f t="shared" si="54"/>
        <v>0</v>
      </c>
      <c r="T695" s="152" t="str">
        <f>+VLOOKUP($L695,Data_Validation!$A:$D,1,0)</f>
        <v>472G@</v>
      </c>
      <c r="U695" s="152" t="str">
        <f>+VLOOKUP($L695,Data_Validation!$A:$D,3,0)</f>
        <v>pièces</v>
      </c>
      <c r="V695" s="152" t="str">
        <f>+VLOOKUP($L695,Data_Validation!$A:$D,4,0)</f>
        <v>P/A Garantie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1054</v>
      </c>
      <c r="B696" s="671" t="s">
        <v>1055</v>
      </c>
      <c r="C696" s="672"/>
      <c r="D696" s="672"/>
      <c r="E696" s="672"/>
      <c r="F696" s="671" t="s">
        <v>4</v>
      </c>
      <c r="G696" s="671" t="s">
        <v>1097</v>
      </c>
      <c r="H696" s="666"/>
      <c r="I696" s="665">
        <v>-34</v>
      </c>
      <c r="J696" s="665">
        <v>-8</v>
      </c>
      <c r="K696" s="665">
        <v>-42</v>
      </c>
      <c r="L696" s="149" t="str">
        <f t="shared" si="50"/>
        <v>472H@</v>
      </c>
      <c r="M696" s="150" t="str">
        <f t="shared" si="51"/>
        <v># DE VTE - PIECES GARANTIE BMW I</v>
      </c>
      <c r="N696" s="151">
        <f>+IF(OR($Q696=Parametres!$G$2,$Q696=Parametres!$G$3),I696,C696)</f>
        <v>-34</v>
      </c>
      <c r="O696" s="151">
        <f>+IF(OR($Q696=Parametres!$G$2,$Q696=Parametres!$G$3),J696,D696)</f>
        <v>-8</v>
      </c>
      <c r="P696" s="151">
        <f>+IF(OR($Q696=Parametres!$G$2,$Q696=Parametres!$G$3),K696,E696)</f>
        <v>-42</v>
      </c>
      <c r="Q696" s="150" t="str">
        <f t="shared" si="52"/>
        <v>10-Compte compteur</v>
      </c>
      <c r="R696" s="149" t="str">
        <f t="shared" si="53"/>
        <v>472A</v>
      </c>
      <c r="S696" s="150">
        <f t="shared" si="54"/>
        <v>0</v>
      </c>
      <c r="T696" s="152" t="str">
        <f>+VLOOKUP($L696,Data_Validation!$A:$D,1,0)</f>
        <v>472H@</v>
      </c>
      <c r="U696" s="152" t="str">
        <f>+VLOOKUP($L696,Data_Validation!$A:$D,3,0)</f>
        <v>pièces</v>
      </c>
      <c r="V696" s="152" t="str">
        <f>+VLOOKUP($L696,Data_Validation!$A:$D,4,0)</f>
        <v>P/A Garantie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1591</v>
      </c>
      <c r="B697" s="671" t="s">
        <v>1592</v>
      </c>
      <c r="C697" s="672"/>
      <c r="D697" s="672"/>
      <c r="E697" s="672"/>
      <c r="F697" s="671" t="s">
        <v>4</v>
      </c>
      <c r="G697" s="671" t="s">
        <v>1133</v>
      </c>
      <c r="H697" s="666"/>
      <c r="I697" s="665">
        <v>-84</v>
      </c>
      <c r="J697" s="665">
        <v>-40</v>
      </c>
      <c r="K697" s="665">
        <v>-124</v>
      </c>
      <c r="L697" s="149" t="str">
        <f t="shared" si="50"/>
        <v>473A@</v>
      </c>
      <c r="M697" s="150" t="str">
        <f t="shared" si="51"/>
        <v># DE VTE - PCS INTERNE BMW AUTO</v>
      </c>
      <c r="N697" s="151">
        <f>+IF(OR($Q697=Parametres!$G$2,$Q697=Parametres!$G$3),I697,C697)</f>
        <v>-84</v>
      </c>
      <c r="O697" s="151">
        <f>+IF(OR($Q697=Parametres!$G$2,$Q697=Parametres!$G$3),J697,D697)</f>
        <v>-40</v>
      </c>
      <c r="P697" s="151">
        <f>+IF(OR($Q697=Parametres!$G$2,$Q697=Parametres!$G$3),K697,E697)</f>
        <v>-124</v>
      </c>
      <c r="Q697" s="150" t="str">
        <f t="shared" si="52"/>
        <v>10-Compte compteur</v>
      </c>
      <c r="R697" s="149" t="str">
        <f t="shared" si="53"/>
        <v>473A</v>
      </c>
      <c r="S697" s="150">
        <f t="shared" si="54"/>
        <v>0</v>
      </c>
      <c r="T697" s="152" t="str">
        <f>+VLOOKUP($L697,Data_Validation!$A:$D,1,0)</f>
        <v>473A@</v>
      </c>
      <c r="U697" s="152" t="str">
        <f>+VLOOKUP($L697,Data_Validation!$A:$D,3,0)</f>
        <v>pièces</v>
      </c>
      <c r="V697" s="152" t="str">
        <f>+VLOOKUP($L697,Data_Validation!$A:$D,4,0)</f>
        <v>Ventes Internes</v>
      </c>
      <c r="W697" s="152" t="str">
        <f>+VLOOKUP($L697,Data_Validation!$A:$E,5,0)</f>
        <v>nb</v>
      </c>
    </row>
    <row r="698" spans="1:24" ht="15.75" customHeight="1">
      <c r="A698" s="671" t="s">
        <v>1593</v>
      </c>
      <c r="B698" s="671" t="s">
        <v>755</v>
      </c>
      <c r="C698" s="672"/>
      <c r="D698" s="672"/>
      <c r="E698" s="672"/>
      <c r="F698" s="671" t="s">
        <v>4</v>
      </c>
      <c r="G698" s="671" t="s">
        <v>1133</v>
      </c>
      <c r="H698" s="666"/>
      <c r="I698" s="665">
        <v>-45</v>
      </c>
      <c r="J698" s="665">
        <v>-26</v>
      </c>
      <c r="K698" s="665">
        <v>-71</v>
      </c>
      <c r="L698" s="149" t="str">
        <f t="shared" si="50"/>
        <v>473B@</v>
      </c>
      <c r="M698" s="150" t="str">
        <f t="shared" si="51"/>
        <v># DE VTE - PCS INTERNE BMW CAMION</v>
      </c>
      <c r="N698" s="151">
        <f>+IF(OR($Q698=Parametres!$G$2,$Q698=Parametres!$G$3),I698,C698)</f>
        <v>-45</v>
      </c>
      <c r="O698" s="151">
        <f>+IF(OR($Q698=Parametres!$G$2,$Q698=Parametres!$G$3),J698,D698)</f>
        <v>-26</v>
      </c>
      <c r="P698" s="151">
        <f>+IF(OR($Q698=Parametres!$G$2,$Q698=Parametres!$G$3),K698,E698)</f>
        <v>-71</v>
      </c>
      <c r="Q698" s="150" t="str">
        <f t="shared" si="52"/>
        <v>10-Compte compteur</v>
      </c>
      <c r="R698" s="149" t="str">
        <f t="shared" si="53"/>
        <v>473A</v>
      </c>
      <c r="S698" s="150">
        <f t="shared" si="54"/>
        <v>0</v>
      </c>
      <c r="T698" s="152" t="str">
        <f>+VLOOKUP($L698,Data_Validation!$A:$D,1,0)</f>
        <v>473B@</v>
      </c>
      <c r="U698" s="152" t="str">
        <f>+VLOOKUP($L698,Data_Validation!$A:$D,3,0)</f>
        <v>pièces</v>
      </c>
      <c r="V698" s="152" t="str">
        <f>+VLOOKUP($L698,Data_Validation!$A:$D,4,0)</f>
        <v>Ventes Internes</v>
      </c>
      <c r="W698" s="152" t="str">
        <f>+VLOOKUP($L698,Data_Validation!$A:$E,5,0)</f>
        <v>nb</v>
      </c>
    </row>
    <row r="699" spans="1:24" ht="15.75" customHeight="1">
      <c r="A699" s="671" t="s">
        <v>1056</v>
      </c>
      <c r="B699" s="671" t="s">
        <v>1057</v>
      </c>
      <c r="C699" s="672"/>
      <c r="D699" s="672"/>
      <c r="E699" s="672"/>
      <c r="F699" s="671" t="s">
        <v>4</v>
      </c>
      <c r="G699" s="671" t="s">
        <v>1133</v>
      </c>
      <c r="H699" s="666"/>
      <c r="I699" s="665">
        <v>-22</v>
      </c>
      <c r="J699" s="665">
        <v>-4</v>
      </c>
      <c r="K699" s="665">
        <v>-26</v>
      </c>
      <c r="L699" s="149" t="str">
        <f t="shared" si="50"/>
        <v>473D@</v>
      </c>
      <c r="M699" s="150" t="str">
        <f t="shared" si="51"/>
        <v># DE VTE - PIECES INTERNE BMW I</v>
      </c>
      <c r="N699" s="151">
        <f>+IF(OR($Q699=Parametres!$G$2,$Q699=Parametres!$G$3),I699,C699)</f>
        <v>-22</v>
      </c>
      <c r="O699" s="151">
        <f>+IF(OR($Q699=Parametres!$G$2,$Q699=Parametres!$G$3),J699,D699)</f>
        <v>-4</v>
      </c>
      <c r="P699" s="151">
        <f>+IF(OR($Q699=Parametres!$G$2,$Q699=Parametres!$G$3),K699,E699)</f>
        <v>-26</v>
      </c>
      <c r="Q699" s="150" t="str">
        <f t="shared" si="52"/>
        <v>10-Compte compteur</v>
      </c>
      <c r="R699" s="149" t="str">
        <f t="shared" si="53"/>
        <v>473A</v>
      </c>
      <c r="S699" s="150">
        <f t="shared" si="54"/>
        <v>0</v>
      </c>
      <c r="T699" s="152" t="str">
        <f>+VLOOKUP($L699,Data_Validation!$A:$D,1,0)</f>
        <v>473D@</v>
      </c>
      <c r="U699" s="152" t="str">
        <f>+VLOOKUP($L699,Data_Validation!$A:$D,3,0)</f>
        <v>pièces</v>
      </c>
      <c r="V699" s="152" t="str">
        <f>+VLOOKUP($L699,Data_Validation!$A:$D,4,0)</f>
        <v>Ventes Internes</v>
      </c>
      <c r="W699" s="152" t="str">
        <f>+VLOOKUP($L699,Data_Validation!$A:$E,5,0)</f>
        <v>nb</v>
      </c>
    </row>
    <row r="700" spans="1:24" ht="15.75" customHeight="1">
      <c r="A700" s="671" t="s">
        <v>1594</v>
      </c>
      <c r="B700" s="671" t="s">
        <v>1595</v>
      </c>
      <c r="C700" s="672"/>
      <c r="D700" s="672"/>
      <c r="E700" s="672"/>
      <c r="F700" s="671" t="s">
        <v>4</v>
      </c>
      <c r="G700" s="671" t="s">
        <v>1119</v>
      </c>
      <c r="H700" s="666"/>
      <c r="I700" s="665">
        <v>-214</v>
      </c>
      <c r="J700" s="665">
        <v>-84</v>
      </c>
      <c r="K700" s="665">
        <v>-298</v>
      </c>
      <c r="L700" s="149" t="str">
        <f t="shared" si="50"/>
        <v>474A@</v>
      </c>
      <c r="M700" s="150" t="str">
        <f t="shared" si="51"/>
        <v># DE VTE - PCS COMPTOIR BMW AUTO</v>
      </c>
      <c r="N700" s="151">
        <f>+IF(OR($Q700=Parametres!$G$2,$Q700=Parametres!$G$3),I700,C700)</f>
        <v>-214</v>
      </c>
      <c r="O700" s="151">
        <f>+IF(OR($Q700=Parametres!$G$2,$Q700=Parametres!$G$3),J700,D700)</f>
        <v>-84</v>
      </c>
      <c r="P700" s="151">
        <f>+IF(OR($Q700=Parametres!$G$2,$Q700=Parametres!$G$3),K700,E700)</f>
        <v>-298</v>
      </c>
      <c r="Q700" s="150" t="str">
        <f t="shared" si="52"/>
        <v>10-Compte compteur</v>
      </c>
      <c r="R700" s="149" t="str">
        <f t="shared" si="53"/>
        <v>474A</v>
      </c>
      <c r="S700" s="150">
        <f t="shared" si="54"/>
        <v>0</v>
      </c>
      <c r="T700" s="152" t="str">
        <f>+VLOOKUP($L700,Data_Validation!$A:$D,1,0)</f>
        <v>474A@</v>
      </c>
      <c r="U700" s="152" t="str">
        <f>+VLOOKUP($L700,Data_Validation!$A:$D,3,0)</f>
        <v>pièces</v>
      </c>
      <c r="V700" s="152" t="str">
        <f>+VLOOKUP($L700,Data_Validation!$A:$D,4,0)</f>
        <v>Ventes Détails</v>
      </c>
      <c r="W700" s="152" t="str">
        <f>+VLOOKUP($L700,Data_Validation!$A:$E,5,0)</f>
        <v>nb</v>
      </c>
    </row>
    <row r="701" spans="1:24" ht="15.75" customHeight="1">
      <c r="A701" s="671" t="s">
        <v>1596</v>
      </c>
      <c r="B701" s="671" t="s">
        <v>756</v>
      </c>
      <c r="C701" s="672"/>
      <c r="D701" s="672"/>
      <c r="E701" s="672"/>
      <c r="F701" s="671" t="s">
        <v>4</v>
      </c>
      <c r="G701" s="671" t="s">
        <v>1119</v>
      </c>
      <c r="H701" s="666"/>
      <c r="I701" s="665">
        <v>-22</v>
      </c>
      <c r="J701" s="665">
        <v>-13</v>
      </c>
      <c r="K701" s="665">
        <v>-35</v>
      </c>
      <c r="L701" s="149" t="str">
        <f t="shared" si="50"/>
        <v>474D@</v>
      </c>
      <c r="M701" s="150" t="str">
        <f t="shared" si="51"/>
        <v># DE VTE - PCS COMP. BMW LIFESTYLE</v>
      </c>
      <c r="N701" s="151">
        <f>+IF(OR($Q701=Parametres!$G$2,$Q701=Parametres!$G$3),I701,C701)</f>
        <v>-22</v>
      </c>
      <c r="O701" s="151">
        <f>+IF(OR($Q701=Parametres!$G$2,$Q701=Parametres!$G$3),J701,D701)</f>
        <v>-13</v>
      </c>
      <c r="P701" s="151">
        <f>+IF(OR($Q701=Parametres!$G$2,$Q701=Parametres!$G$3),K701,E701)</f>
        <v>-35</v>
      </c>
      <c r="Q701" s="150" t="str">
        <f t="shared" si="52"/>
        <v>10-Compte compteur</v>
      </c>
      <c r="R701" s="149" t="str">
        <f t="shared" si="53"/>
        <v>474A</v>
      </c>
      <c r="S701" s="150">
        <f t="shared" si="54"/>
        <v>0</v>
      </c>
      <c r="T701" s="152" t="str">
        <f>+VLOOKUP($L701,Data_Validation!$A:$D,1,0)</f>
        <v>474D@</v>
      </c>
      <c r="U701" s="152" t="str">
        <f>+VLOOKUP($L701,Data_Validation!$A:$D,3,0)</f>
        <v>pièces</v>
      </c>
      <c r="V701" s="152" t="str">
        <f>+VLOOKUP($L701,Data_Validation!$A:$D,4,0)</f>
        <v>Ventes Détails</v>
      </c>
      <c r="W701" s="152" t="str">
        <f>+VLOOKUP($L701,Data_Validation!$A:$E,5,0)</f>
        <v>nb</v>
      </c>
    </row>
    <row r="702" spans="1:24" ht="15.75" customHeight="1">
      <c r="A702" s="671" t="s">
        <v>1597</v>
      </c>
      <c r="B702" s="671" t="s">
        <v>757</v>
      </c>
      <c r="C702" s="672"/>
      <c r="D702" s="672"/>
      <c r="E702" s="672"/>
      <c r="F702" s="671" t="s">
        <v>4</v>
      </c>
      <c r="G702" s="671" t="s">
        <v>1119</v>
      </c>
      <c r="H702" s="666"/>
      <c r="I702" s="665">
        <v>-97</v>
      </c>
      <c r="J702" s="665">
        <v>-38</v>
      </c>
      <c r="K702" s="665">
        <v>-135</v>
      </c>
      <c r="L702" s="149" t="str">
        <f t="shared" si="50"/>
        <v>474E@</v>
      </c>
      <c r="M702" s="150" t="str">
        <f t="shared" si="51"/>
        <v># DE VTE - PCS COMP. BMW ACCESS.</v>
      </c>
      <c r="N702" s="151">
        <f>+IF(OR($Q702=Parametres!$G$2,$Q702=Parametres!$G$3),I702,C702)</f>
        <v>-97</v>
      </c>
      <c r="O702" s="151">
        <f>+IF(OR($Q702=Parametres!$G$2,$Q702=Parametres!$G$3),J702,D702)</f>
        <v>-38</v>
      </c>
      <c r="P702" s="151">
        <f>+IF(OR($Q702=Parametres!$G$2,$Q702=Parametres!$G$3),K702,E702)</f>
        <v>-135</v>
      </c>
      <c r="Q702" s="150" t="str">
        <f t="shared" si="52"/>
        <v>10-Compte compteur</v>
      </c>
      <c r="R702" s="149" t="str">
        <f t="shared" si="53"/>
        <v>474A</v>
      </c>
      <c r="S702" s="150">
        <f t="shared" si="54"/>
        <v>0</v>
      </c>
      <c r="T702" s="152" t="str">
        <f>+VLOOKUP($L702,Data_Validation!$A:$D,1,0)</f>
        <v>474E@</v>
      </c>
      <c r="U702" s="152" t="str">
        <f>+VLOOKUP($L702,Data_Validation!$A:$D,3,0)</f>
        <v>pièces</v>
      </c>
      <c r="V702" s="152" t="str">
        <f>+VLOOKUP($L702,Data_Validation!$A:$D,4,0)</f>
        <v>Ventes Détails</v>
      </c>
      <c r="W702" s="152" t="str">
        <f>+VLOOKUP($L702,Data_Validation!$A:$E,5,0)</f>
        <v>nb</v>
      </c>
    </row>
    <row r="703" spans="1:24" ht="15.75" customHeight="1">
      <c r="A703" s="671" t="s">
        <v>1598</v>
      </c>
      <c r="B703" s="671" t="s">
        <v>1599</v>
      </c>
      <c r="C703" s="672"/>
      <c r="D703" s="672"/>
      <c r="E703" s="672"/>
      <c r="F703" s="671" t="s">
        <v>4</v>
      </c>
      <c r="G703" s="671" t="s">
        <v>1168</v>
      </c>
      <c r="H703" s="666"/>
      <c r="I703" s="665">
        <v>-293</v>
      </c>
      <c r="J703" s="665">
        <v>-98</v>
      </c>
      <c r="K703" s="665">
        <v>-391</v>
      </c>
      <c r="L703" s="149" t="str">
        <f t="shared" si="50"/>
        <v>475A@</v>
      </c>
      <c r="M703" s="150" t="str">
        <f t="shared" si="51"/>
        <v># DE VTE - PIECES GROS BMW AUTO</v>
      </c>
      <c r="N703" s="151">
        <f>+IF(OR($Q703=Parametres!$G$2,$Q703=Parametres!$G$3),I703,C703)</f>
        <v>-293</v>
      </c>
      <c r="O703" s="151">
        <f>+IF(OR($Q703=Parametres!$G$2,$Q703=Parametres!$G$3),J703,D703)</f>
        <v>-98</v>
      </c>
      <c r="P703" s="151">
        <f>+IF(OR($Q703=Parametres!$G$2,$Q703=Parametres!$G$3),K703,E703)</f>
        <v>-391</v>
      </c>
      <c r="Q703" s="150" t="str">
        <f t="shared" si="52"/>
        <v>10-Compte compteur</v>
      </c>
      <c r="R703" s="149" t="str">
        <f t="shared" si="53"/>
        <v>475A</v>
      </c>
      <c r="S703" s="150">
        <f t="shared" si="54"/>
        <v>0</v>
      </c>
      <c r="T703" s="152" t="str">
        <f>+VLOOKUP($L703,Data_Validation!$A:$D,1,0)</f>
        <v>475A@</v>
      </c>
      <c r="U703" s="152" t="str">
        <f>+VLOOKUP($L703,Data_Validation!$A:$D,3,0)</f>
        <v>pièces</v>
      </c>
      <c r="V703" s="152" t="str">
        <f>+VLOOKUP($L703,Data_Validation!$A:$D,4,0)</f>
        <v>Ventes de Gros</v>
      </c>
      <c r="W703" s="152" t="str">
        <f>+VLOOKUP($L703,Data_Validation!$A:$E,5,0)</f>
        <v>nb</v>
      </c>
    </row>
    <row r="704" spans="1:24" ht="15.75" customHeight="1">
      <c r="A704" s="671" t="s">
        <v>2534</v>
      </c>
      <c r="B704" s="671" t="s">
        <v>2535</v>
      </c>
      <c r="C704" s="672"/>
      <c r="D704" s="672"/>
      <c r="E704" s="672"/>
      <c r="F704" s="671" t="s">
        <v>4</v>
      </c>
      <c r="G704" s="671" t="s">
        <v>2528</v>
      </c>
      <c r="H704" s="666"/>
      <c r="I704" s="665">
        <v>0</v>
      </c>
      <c r="J704" s="665">
        <v>-1</v>
      </c>
      <c r="K704" s="665">
        <v>-1</v>
      </c>
      <c r="L704" s="149" t="str">
        <f t="shared" si="50"/>
        <v>480C@</v>
      </c>
      <c r="M704" s="150" t="str">
        <f t="shared" si="51"/>
        <v># DE VTE - X7 M60i</v>
      </c>
      <c r="N704" s="151">
        <f>+IF(OR($Q704=Parametres!$G$2,$Q704=Parametres!$G$3),I704,C704)</f>
        <v>0</v>
      </c>
      <c r="O704" s="151">
        <f>+IF(OR($Q704=Parametres!$G$2,$Q704=Parametres!$G$3),J704,D704)</f>
        <v>-1</v>
      </c>
      <c r="P704" s="151">
        <f>+IF(OR($Q704=Parametres!$G$2,$Q704=Parametres!$G$3),K704,E704)</f>
        <v>-1</v>
      </c>
      <c r="Q704" s="150" t="str">
        <f t="shared" si="52"/>
        <v>10-Compte compteur</v>
      </c>
      <c r="R704" s="149" t="str">
        <f t="shared" si="53"/>
        <v>480C</v>
      </c>
      <c r="S704" s="150">
        <f t="shared" si="54"/>
        <v>0</v>
      </c>
      <c r="T704" s="152" t="str">
        <f>+VLOOKUP($L704,Data_Validation!$A:$D,1,0)</f>
        <v>480C@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</row>
    <row r="705" spans="1:23" ht="15.75" customHeight="1">
      <c r="A705" s="671" t="s">
        <v>2863</v>
      </c>
      <c r="B705" s="671" t="s">
        <v>2874</v>
      </c>
      <c r="C705" s="672"/>
      <c r="D705" s="672"/>
      <c r="E705" s="672"/>
      <c r="F705" s="671" t="s">
        <v>4</v>
      </c>
      <c r="G705" s="671" t="s">
        <v>2530</v>
      </c>
      <c r="H705" s="666"/>
      <c r="I705" s="665">
        <v>-1</v>
      </c>
      <c r="J705" s="665">
        <v>0</v>
      </c>
      <c r="K705" s="665">
        <v>-1</v>
      </c>
      <c r="L705" s="149" t="str">
        <f t="shared" si="50"/>
        <v>481A@</v>
      </c>
      <c r="M705" s="150" t="str">
        <f t="shared" si="51"/>
        <v>XM LABEL</v>
      </c>
      <c r="N705" s="151">
        <f>+IF(OR($Q705=Parametres!$G$2,$Q705=Parametres!$G$3),I705,C705)</f>
        <v>-1</v>
      </c>
      <c r="O705" s="151">
        <f>+IF(OR($Q705=Parametres!$G$2,$Q705=Parametres!$G$3),J705,D705)</f>
        <v>0</v>
      </c>
      <c r="P705" s="151">
        <f>+IF(OR($Q705=Parametres!$G$2,$Q705=Parametres!$G$3),K705,E705)</f>
        <v>-1</v>
      </c>
      <c r="Q705" s="150" t="str">
        <f t="shared" si="52"/>
        <v>10-Compte compteur</v>
      </c>
      <c r="R705" s="149" t="str">
        <f t="shared" si="53"/>
        <v>481</v>
      </c>
      <c r="S705" s="150">
        <f t="shared" si="54"/>
        <v>0</v>
      </c>
      <c r="T705" s="152" t="str">
        <f>+VLOOKUP($L705,Data_Validation!$A:$D,1,0)</f>
        <v>481A@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</row>
    <row r="706" spans="1:23" ht="15.75" customHeight="1">
      <c r="A706" s="671" t="s">
        <v>1601</v>
      </c>
      <c r="B706" s="671" t="s">
        <v>762</v>
      </c>
      <c r="C706" s="672"/>
      <c r="D706" s="672"/>
      <c r="E706" s="672"/>
      <c r="F706" s="671" t="s">
        <v>4</v>
      </c>
      <c r="G706" s="671" t="s">
        <v>418</v>
      </c>
      <c r="H706" s="666"/>
      <c r="I706" s="665">
        <v>-46</v>
      </c>
      <c r="J706" s="665">
        <v>-70</v>
      </c>
      <c r="K706" s="665">
        <v>-116</v>
      </c>
      <c r="L706" s="149" t="str">
        <f t="shared" ref="L706:L769" si="55">+B706</f>
        <v>488A@</v>
      </c>
      <c r="M706" s="150" t="str">
        <f t="shared" ref="M706:M769" si="56">+A706</f>
        <v># DE VTE - PNEUS</v>
      </c>
      <c r="N706" s="151">
        <f>+IF(OR($Q706=Parametres!$G$2,$Q706=Parametres!$G$3),I706,C706)</f>
        <v>-46</v>
      </c>
      <c r="O706" s="151">
        <f>+IF(OR($Q706=Parametres!$G$2,$Q706=Parametres!$G$3),J706,D706)</f>
        <v>-70</v>
      </c>
      <c r="P706" s="151">
        <f>+IF(OR($Q706=Parametres!$G$2,$Q706=Parametres!$G$3),K706,E706)</f>
        <v>-116</v>
      </c>
      <c r="Q706" s="150" t="str">
        <f t="shared" ref="Q706:Q769" si="57">+F706</f>
        <v>10-Compte compteur</v>
      </c>
      <c r="R706" s="149" t="str">
        <f t="shared" ref="R706:R769" si="58">+G706</f>
        <v>488A</v>
      </c>
      <c r="S706" s="150">
        <f t="shared" ref="S706:S769" si="59">+H706</f>
        <v>0</v>
      </c>
      <c r="T706" s="152" t="str">
        <f>+VLOOKUP($L706,Data_Validation!$A:$D,1,0)</f>
        <v>488A@</v>
      </c>
      <c r="U706" s="152" t="str">
        <f>+VLOOKUP($L706,Data_Validation!$A:$D,3,0)</f>
        <v>pièces</v>
      </c>
      <c r="V706" s="152" t="str">
        <f>+VLOOKUP($L706,Data_Validation!$A:$D,4,0)</f>
        <v>Ventes Pneus</v>
      </c>
      <c r="W706" s="152" t="str">
        <f>+VLOOKUP($L706,Data_Validation!$A:$E,5,0)</f>
        <v>nb</v>
      </c>
    </row>
    <row r="707" spans="1:23" ht="15.75" customHeight="1">
      <c r="A707" s="671" t="s">
        <v>1602</v>
      </c>
      <c r="B707" s="671" t="s">
        <v>763</v>
      </c>
      <c r="C707" s="672"/>
      <c r="D707" s="672"/>
      <c r="E707" s="672"/>
      <c r="F707" s="671" t="s">
        <v>4</v>
      </c>
      <c r="G707" s="671" t="s">
        <v>446</v>
      </c>
      <c r="H707" s="666"/>
      <c r="I707" s="665">
        <v>-126</v>
      </c>
      <c r="J707" s="665">
        <v>-71</v>
      </c>
      <c r="K707" s="665">
        <v>-197</v>
      </c>
      <c r="L707" s="149" t="str">
        <f t="shared" si="55"/>
        <v>489A@</v>
      </c>
      <c r="M707" s="150" t="str">
        <f t="shared" si="56"/>
        <v># DE VTE - HUILES &amp; GRAISSES</v>
      </c>
      <c r="N707" s="151">
        <f>+IF(OR($Q707=Parametres!$G$2,$Q707=Parametres!$G$3),I707,C707)</f>
        <v>-126</v>
      </c>
      <c r="O707" s="151">
        <f>+IF(OR($Q707=Parametres!$G$2,$Q707=Parametres!$G$3),J707,D707)</f>
        <v>-71</v>
      </c>
      <c r="P707" s="151">
        <f>+IF(OR($Q707=Parametres!$G$2,$Q707=Parametres!$G$3),K707,E707)</f>
        <v>-197</v>
      </c>
      <c r="Q707" s="150" t="str">
        <f t="shared" si="57"/>
        <v>10-Compte compteur</v>
      </c>
      <c r="R707" s="149" t="str">
        <f t="shared" si="58"/>
        <v>489A</v>
      </c>
      <c r="S707" s="150">
        <f t="shared" si="59"/>
        <v>0</v>
      </c>
      <c r="T707" s="152" t="str">
        <f>+VLOOKUP($L707,Data_Validation!$A:$D,1,0)</f>
        <v>489A@</v>
      </c>
      <c r="U707" s="152" t="str">
        <f>+VLOOKUP($L707,Data_Validation!$A:$D,3,0)</f>
        <v>pièces</v>
      </c>
      <c r="V707" s="152" t="str">
        <f>+VLOOKUP($L707,Data_Validation!$A:$D,4,0)</f>
        <v>Huiles et Graisse</v>
      </c>
      <c r="W707" s="152" t="str">
        <f>+VLOOKUP($L707,Data_Validation!$A:$E,5,0)</f>
        <v>nb</v>
      </c>
    </row>
    <row r="708" spans="1:23" ht="15.75" customHeight="1">
      <c r="A708" s="671" t="s">
        <v>1603</v>
      </c>
      <c r="B708" s="671" t="s">
        <v>1604</v>
      </c>
      <c r="C708" s="672"/>
      <c r="D708" s="672"/>
      <c r="E708" s="672"/>
      <c r="F708" s="671" t="s">
        <v>4</v>
      </c>
      <c r="G708" s="671" t="s">
        <v>446</v>
      </c>
      <c r="H708" s="666"/>
      <c r="I708" s="665">
        <v>-210</v>
      </c>
      <c r="J708" s="665">
        <v>-79</v>
      </c>
      <c r="K708" s="665">
        <v>-289</v>
      </c>
      <c r="L708" s="149" t="str">
        <f t="shared" si="55"/>
        <v>489B@</v>
      </c>
      <c r="M708" s="150" t="str">
        <f t="shared" si="56"/>
        <v># DE VTE - HUILE &amp; GRAISSE</v>
      </c>
      <c r="N708" s="151">
        <f>+IF(OR($Q708=Parametres!$G$2,$Q708=Parametres!$G$3),I708,C708)</f>
        <v>-210</v>
      </c>
      <c r="O708" s="151">
        <f>+IF(OR($Q708=Parametres!$G$2,$Q708=Parametres!$G$3),J708,D708)</f>
        <v>-79</v>
      </c>
      <c r="P708" s="151">
        <f>+IF(OR($Q708=Parametres!$G$2,$Q708=Parametres!$G$3),K708,E708)</f>
        <v>-289</v>
      </c>
      <c r="Q708" s="150" t="str">
        <f t="shared" si="57"/>
        <v>10-Compte compteur</v>
      </c>
      <c r="R708" s="149" t="str">
        <f t="shared" si="58"/>
        <v>489A</v>
      </c>
      <c r="S708" s="150">
        <f t="shared" si="59"/>
        <v>0</v>
      </c>
      <c r="T708" s="152" t="str">
        <f>+VLOOKUP($L708,Data_Validation!$A:$D,1,0)</f>
        <v>489B@</v>
      </c>
      <c r="U708" s="152" t="str">
        <f>+VLOOKUP($L708,Data_Validation!$A:$D,3,0)</f>
        <v>pièces</v>
      </c>
      <c r="V708" s="152" t="str">
        <f>+VLOOKUP($L708,Data_Validation!$A:$D,4,0)</f>
        <v>Huiles et Graisse</v>
      </c>
      <c r="W708" s="152" t="str">
        <f>+VLOOKUP($L708,Data_Validation!$A:$E,5,0)</f>
        <v>nb</v>
      </c>
    </row>
    <row r="709" spans="1:23" ht="15.75" customHeight="1">
      <c r="A709" s="671" t="s">
        <v>1605</v>
      </c>
      <c r="B709" s="671" t="s">
        <v>764</v>
      </c>
      <c r="C709" s="672"/>
      <c r="D709" s="672"/>
      <c r="E709" s="672"/>
      <c r="F709" s="671" t="s">
        <v>4</v>
      </c>
      <c r="G709" s="671" t="s">
        <v>366</v>
      </c>
      <c r="H709" s="666"/>
      <c r="I709" s="665">
        <v>-18</v>
      </c>
      <c r="J709" s="665">
        <v>-1</v>
      </c>
      <c r="K709" s="665">
        <v>-19</v>
      </c>
      <c r="L709" s="149" t="str">
        <f t="shared" si="55"/>
        <v>493@</v>
      </c>
      <c r="M709" s="150" t="str">
        <f t="shared" si="56"/>
        <v># DE VTE - M/O CARROSERIE BMW</v>
      </c>
      <c r="N709" s="151">
        <f>+IF(OR($Q709=Parametres!$G$2,$Q709=Parametres!$G$3),I709,C709)</f>
        <v>-18</v>
      </c>
      <c r="O709" s="151">
        <f>+IF(OR($Q709=Parametres!$G$2,$Q709=Parametres!$G$3),J709,D709)</f>
        <v>-1</v>
      </c>
      <c r="P709" s="151">
        <f>+IF(OR($Q709=Parametres!$G$2,$Q709=Parametres!$G$3),K709,E709)</f>
        <v>-19</v>
      </c>
      <c r="Q709" s="150" t="str">
        <f t="shared" si="57"/>
        <v>10-Compte compteur</v>
      </c>
      <c r="R709" s="149" t="str">
        <f t="shared" si="58"/>
        <v>493</v>
      </c>
      <c r="S709" s="150">
        <f t="shared" si="59"/>
        <v>0</v>
      </c>
      <c r="T709" s="152" t="str">
        <f>+VLOOKUP($L709,Data_Validation!$A:$D,1,0)</f>
        <v>493@</v>
      </c>
      <c r="U709" s="152" t="str">
        <f>+VLOOKUP($L709,Data_Validation!$A:$D,3,0)</f>
        <v>carrosserie</v>
      </c>
      <c r="V709" s="152" t="str">
        <f>+VLOOKUP($L709,Data_Validation!$A:$D,4,0)</f>
        <v>M/O Sous-traitement</v>
      </c>
      <c r="W709" s="152" t="str">
        <f>+VLOOKUP($L709,Data_Validation!$A:$E,5,0)</f>
        <v>nb</v>
      </c>
    </row>
    <row r="710" spans="1:23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</row>
    <row r="711" spans="1:23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</row>
    <row r="712" spans="1:23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</row>
    <row r="713" spans="1:23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</row>
    <row r="714" spans="1:23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</row>
    <row r="715" spans="1:23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</row>
    <row r="716" spans="1:23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</row>
    <row r="717" spans="1:23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</row>
    <row r="718" spans="1:23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3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3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3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3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3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3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3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3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3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3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3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3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3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3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3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3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3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3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</row>
    <row r="737" spans="1:23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3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3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3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3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3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</row>
    <row r="743" spans="1:23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3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3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3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</row>
    <row r="747" spans="1:23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</row>
    <row r="748" spans="1:23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3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3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3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3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3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3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3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3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3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3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3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3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3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3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3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</row>
    <row r="796" spans="1:23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</row>
    <row r="797" spans="1:23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</row>
    <row r="798" spans="1:23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</row>
    <row r="799" spans="1:23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3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107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2456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2456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2456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2456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2456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2456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2456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2456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2456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2456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2456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2549</v>
      </c>
      <c r="B24" s="718" t="s">
        <v>2550</v>
      </c>
      <c r="C24" s="720"/>
      <c r="D24" s="720"/>
      <c r="E24" s="720"/>
      <c r="F24" s="718" t="s">
        <v>1</v>
      </c>
      <c r="G24" s="718" t="s">
        <v>2456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2458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2458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2551</v>
      </c>
      <c r="B27" s="718" t="s">
        <v>2552</v>
      </c>
      <c r="C27" s="720"/>
      <c r="D27" s="720"/>
      <c r="E27" s="720"/>
      <c r="F27" s="718" t="s">
        <v>1</v>
      </c>
      <c r="G27" s="718" t="s">
        <v>2458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2476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2476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2476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2476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2476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2421</v>
      </c>
      <c r="B33" s="718" t="s">
        <v>2422</v>
      </c>
      <c r="C33" s="720"/>
      <c r="D33" s="720"/>
      <c r="E33" s="720"/>
      <c r="F33" s="718" t="s">
        <v>1</v>
      </c>
      <c r="G33" s="718" t="s">
        <v>2476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2476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2476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2476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2553</v>
      </c>
      <c r="B37" s="718" t="s">
        <v>2554</v>
      </c>
      <c r="C37" s="720"/>
      <c r="D37" s="720"/>
      <c r="E37" s="720"/>
      <c r="F37" s="718" t="s">
        <v>1</v>
      </c>
      <c r="G37" s="718" t="s">
        <v>2476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2457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2457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2457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2457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2457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2457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2457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2457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2457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2457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2457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2555</v>
      </c>
      <c r="B49" s="718" t="s">
        <v>2556</v>
      </c>
      <c r="C49" s="720"/>
      <c r="D49" s="720"/>
      <c r="E49" s="720"/>
      <c r="F49" s="718" t="s">
        <v>1</v>
      </c>
      <c r="G49" s="718" t="s">
        <v>2457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2458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2458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2458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2458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2458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2458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2458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2458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2458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2459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2459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2459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2459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2459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2459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2459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2459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2459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2459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2459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2557</v>
      </c>
      <c r="B70" s="718" t="s">
        <v>2558</v>
      </c>
      <c r="C70" s="720"/>
      <c r="D70" s="720"/>
      <c r="E70" s="720"/>
      <c r="F70" s="718" t="s">
        <v>1</v>
      </c>
      <c r="G70" s="718" t="s">
        <v>2459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2460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2460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2460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2460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2492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2461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2461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2461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2461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2462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2462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2462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2462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2468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2463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2464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2465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2466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2466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2467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2340</v>
      </c>
      <c r="B132" s="718" t="s">
        <v>2341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2342</v>
      </c>
      <c r="B136" s="718" t="s">
        <v>2343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2335</v>
      </c>
      <c r="B138" s="718" t="s">
        <v>2336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2428</v>
      </c>
      <c r="B187" s="718" t="s">
        <v>2429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2559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2449</v>
      </c>
      <c r="B189" s="718" t="s">
        <v>2450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2439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2423</v>
      </c>
      <c r="B207" s="718" t="s">
        <v>2424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2436</v>
      </c>
      <c r="B212" s="718" t="s">
        <v>2437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2437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2337</v>
      </c>
      <c r="B213" s="718" t="s">
        <v>2338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2338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2394</v>
      </c>
      <c r="B234" s="718" t="s">
        <v>2395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2395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2344</v>
      </c>
      <c r="B235" s="718" t="s">
        <v>2345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2345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2415</v>
      </c>
      <c r="B236" s="718" t="s">
        <v>2416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2416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2346</v>
      </c>
      <c r="B237" s="718" t="s">
        <v>2347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2347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2348</v>
      </c>
      <c r="B238" s="718" t="s">
        <v>2349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2349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2370</v>
      </c>
      <c r="B242" s="671" t="s">
        <v>2371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2371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2387</v>
      </c>
      <c r="B246" s="671" t="s">
        <v>2388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2388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2372</v>
      </c>
      <c r="B249" s="718" t="s">
        <v>2373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2493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2469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2396</v>
      </c>
      <c r="B259" s="718" t="s">
        <v>2397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2397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2440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2475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2470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2368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2374</v>
      </c>
      <c r="B303" s="718" t="s">
        <v>2369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2369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2369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2409</v>
      </c>
      <c r="B309" s="718" t="s">
        <v>2410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2425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2430</v>
      </c>
      <c r="B335" s="671" t="s">
        <v>2431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2398</v>
      </c>
      <c r="B354" s="671" t="s">
        <v>2399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2395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2350</v>
      </c>
      <c r="B355" s="718" t="s">
        <v>2351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2345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2417</v>
      </c>
      <c r="B356" s="718" t="s">
        <v>2418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2416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2352</v>
      </c>
      <c r="B357" s="718" t="s">
        <v>2353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2347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2354</v>
      </c>
      <c r="B358" s="671" t="s">
        <v>2355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2349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2375</v>
      </c>
      <c r="B362" s="718" t="s">
        <v>2376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2371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2389</v>
      </c>
      <c r="B366" s="718" t="s">
        <v>2390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2388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2377</v>
      </c>
      <c r="B369" s="671" t="s">
        <v>2378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2373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2469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2400</v>
      </c>
      <c r="B380" s="718" t="s">
        <v>2401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2397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2441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2475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2471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2368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2379</v>
      </c>
      <c r="B426" s="718" t="s">
        <v>2380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2369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2411</v>
      </c>
      <c r="B431" s="718" t="s">
        <v>2412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2432</v>
      </c>
      <c r="B459" s="718" t="s">
        <v>2433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2445</v>
      </c>
      <c r="B550" s="718" t="s">
        <v>2446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2522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2447</v>
      </c>
      <c r="B551" s="718" t="s">
        <v>2448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2522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2436</v>
      </c>
      <c r="B661" s="671" t="s">
        <v>2438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2438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2404</v>
      </c>
      <c r="B679" s="671" t="s">
        <v>2405</v>
      </c>
      <c r="C679" s="672"/>
      <c r="D679" s="672"/>
      <c r="E679" s="672"/>
      <c r="F679" s="671" t="s">
        <v>4</v>
      </c>
      <c r="G679" s="671" t="s">
        <v>2395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2356</v>
      </c>
      <c r="B680" s="671" t="s">
        <v>2357</v>
      </c>
      <c r="C680" s="672"/>
      <c r="D680" s="672"/>
      <c r="E680" s="672"/>
      <c r="F680" s="671" t="s">
        <v>4</v>
      </c>
      <c r="G680" s="671" t="s">
        <v>2345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2419</v>
      </c>
      <c r="B681" s="671" t="s">
        <v>2420</v>
      </c>
      <c r="C681" s="672"/>
      <c r="D681" s="672"/>
      <c r="E681" s="672"/>
      <c r="F681" s="671" t="s">
        <v>4</v>
      </c>
      <c r="G681" s="671" t="s">
        <v>2416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2358</v>
      </c>
      <c r="B682" s="671" t="s">
        <v>2359</v>
      </c>
      <c r="C682" s="672"/>
      <c r="D682" s="672"/>
      <c r="E682" s="672"/>
      <c r="F682" s="671" t="s">
        <v>4</v>
      </c>
      <c r="G682" s="671" t="s">
        <v>2347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2360</v>
      </c>
      <c r="B683" s="671" t="s">
        <v>2361</v>
      </c>
      <c r="C683" s="672"/>
      <c r="D683" s="672"/>
      <c r="E683" s="672"/>
      <c r="F683" s="671" t="s">
        <v>4</v>
      </c>
      <c r="G683" s="671" t="s">
        <v>2349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2381</v>
      </c>
      <c r="B687" s="671" t="s">
        <v>2382</v>
      </c>
      <c r="C687" s="672"/>
      <c r="D687" s="672"/>
      <c r="E687" s="672"/>
      <c r="F687" s="671" t="s">
        <v>4</v>
      </c>
      <c r="G687" s="671" t="s">
        <v>2489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2391</v>
      </c>
      <c r="B691" s="671" t="s">
        <v>2392</v>
      </c>
      <c r="C691" s="672"/>
      <c r="D691" s="672"/>
      <c r="E691" s="672"/>
      <c r="F691" s="671" t="s">
        <v>4</v>
      </c>
      <c r="G691" s="671" t="s">
        <v>2388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2383</v>
      </c>
      <c r="B694" s="671" t="s">
        <v>2384</v>
      </c>
      <c r="C694" s="672"/>
      <c r="D694" s="672"/>
      <c r="E694" s="672"/>
      <c r="F694" s="671" t="s">
        <v>4</v>
      </c>
      <c r="G694" s="671" t="s">
        <v>2493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2469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2406</v>
      </c>
      <c r="B704" s="671" t="s">
        <v>2407</v>
      </c>
      <c r="C704" s="672"/>
      <c r="D704" s="672"/>
      <c r="E704" s="672"/>
      <c r="F704" s="671" t="s">
        <v>4</v>
      </c>
      <c r="G704" s="671" t="s">
        <v>2397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2442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2475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2472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2385</v>
      </c>
      <c r="B748" s="671" t="s">
        <v>2386</v>
      </c>
      <c r="C748" s="672"/>
      <c r="D748" s="672"/>
      <c r="E748" s="672"/>
      <c r="F748" s="671" t="s">
        <v>4</v>
      </c>
      <c r="G748" s="671" t="s">
        <v>2369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2443</v>
      </c>
      <c r="B753" s="671" t="s">
        <v>2444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2413</v>
      </c>
      <c r="B754" s="671" t="s">
        <v>2414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2425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2434</v>
      </c>
      <c r="B780" s="664" t="s">
        <v>2435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04" activePane="bottomLeft" state="frozen"/>
      <selection pane="bottomLeft" activeCell="E1022" sqref="E1022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2822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2822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2822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str">
        <f>+VLOOKUP(Table_1[[#This Row],[Account]],BV_Data_An_Cour!$L:$Q,6,0)</f>
        <v>6-Coût des ventes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2426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str">
        <f>+VLOOKUP(Table_1[[#This Row],[Account]],BV_Data_An_Cour!$L:$Q,6,0)</f>
        <v>2-Actifs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str">
        <f>+VLOOKUP(Table_1[[#This Row],[Account]],BV_Data_An_Cour!$L:$Q,6,0)</f>
        <v>2-Actifs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e">
        <f>+VLOOKUP(Table_1[[#This Row],[Account]],BV_Data_An_Cour!$L:$Q,6,0)</f>
        <v>#N/A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e">
        <f>+VLOOKUP(Table_1[[#This Row],[Account]],BV_Data_An_Cour!$L:$Q,6,0)</f>
        <v>#N/A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2822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e">
        <f>+VLOOKUP(Table_1[[#This Row],[Account]],BV_Data_An_Cour!$L:$Q,6,0)</f>
        <v>#N/A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e">
        <f>+VLOOKUP(Table_1[[#This Row],[Account]],BV_Data_An_Cour!$L:$Q,6,0)</f>
        <v>#N/A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e">
        <f>+VLOOKUP(Table_1[[#This Row],[Account]],BV_Data_An_Cour!$L:$Q,6,0)</f>
        <v>#N/A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 t="s">
        <v>1910</v>
      </c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e">
        <f>+VLOOKUP(Table_1[[#This Row],[Account]],BV_Data_An_Cour!$L:$Q,6,0)</f>
        <v>#N/A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2336</v>
      </c>
      <c r="B917" s="158" t="s">
        <v>2335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2338</v>
      </c>
      <c r="B918" s="158" t="s">
        <v>2337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2341</v>
      </c>
      <c r="B919" s="158" t="s">
        <v>2340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2343</v>
      </c>
      <c r="B920" s="158" t="s">
        <v>2342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2345</v>
      </c>
      <c r="B921" s="158" t="s">
        <v>2344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2347</v>
      </c>
      <c r="B922" s="158" t="s">
        <v>2346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2349</v>
      </c>
      <c r="B923" s="158" t="s">
        <v>2348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2351</v>
      </c>
      <c r="B924" s="178" t="s">
        <v>2350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2353</v>
      </c>
      <c r="B925" s="173" t="s">
        <v>2352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2355</v>
      </c>
      <c r="B926" s="173" t="s">
        <v>2354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2357</v>
      </c>
      <c r="B927" s="158" t="s">
        <v>2356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2359</v>
      </c>
      <c r="B928" s="173" t="s">
        <v>2358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2361</v>
      </c>
      <c r="B929" s="173" t="s">
        <v>2360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2371</v>
      </c>
      <c r="B930" s="158" t="s">
        <v>2370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2373</v>
      </c>
      <c r="B931" s="158" t="s">
        <v>2372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2369</v>
      </c>
      <c r="B932" s="158" t="s">
        <v>2374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2376</v>
      </c>
      <c r="B933" s="158" t="s">
        <v>2375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2378</v>
      </c>
      <c r="B934" s="158" t="s">
        <v>2377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2380</v>
      </c>
      <c r="B935" s="158" t="s">
        <v>2379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2382</v>
      </c>
      <c r="B936" s="158" t="s">
        <v>2381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2384</v>
      </c>
      <c r="B937" s="158" t="s">
        <v>2383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2386</v>
      </c>
      <c r="B938" s="158" t="s">
        <v>2385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2388</v>
      </c>
      <c r="B939" s="158" t="s">
        <v>2387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2390</v>
      </c>
      <c r="B940" s="158" t="s">
        <v>2389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2392</v>
      </c>
      <c r="B941" s="178" t="s">
        <v>2391</v>
      </c>
      <c r="C941" s="159" t="s">
        <v>75</v>
      </c>
      <c r="D941" s="159" t="s">
        <v>86</v>
      </c>
      <c r="E941" s="192" t="s">
        <v>2393</v>
      </c>
      <c r="F941" s="160"/>
      <c r="G941" s="500"/>
      <c r="H941" s="160"/>
    </row>
    <row r="942" spans="1:29" ht="15" customHeight="1">
      <c r="A942" s="162" t="s">
        <v>2395</v>
      </c>
      <c r="B942" s="158" t="s">
        <v>2394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2397</v>
      </c>
      <c r="B943" s="158" t="s">
        <v>2396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2399</v>
      </c>
      <c r="B944" s="158" t="s">
        <v>2398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2401</v>
      </c>
      <c r="B945" s="158" t="s">
        <v>2400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2403</v>
      </c>
      <c r="B946" s="158" t="s">
        <v>2402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2405</v>
      </c>
      <c r="B947" s="158" t="s">
        <v>2404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2407</v>
      </c>
      <c r="B948" s="158" t="s">
        <v>2406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2410</v>
      </c>
      <c r="B949" s="158" t="s">
        <v>2409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2412</v>
      </c>
      <c r="B950" s="158" t="s">
        <v>2411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2414</v>
      </c>
      <c r="B951" s="158" t="s">
        <v>2413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2416</v>
      </c>
      <c r="B952" s="158" t="s">
        <v>2415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2418</v>
      </c>
      <c r="B953" s="158" t="s">
        <v>2417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2420</v>
      </c>
      <c r="B954" s="158" t="s">
        <v>2419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2422</v>
      </c>
      <c r="B955" s="158" t="s">
        <v>2421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2424</v>
      </c>
      <c r="B956" s="158" t="s">
        <v>2423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2438</v>
      </c>
      <c r="B957" s="158" t="s">
        <v>2436</v>
      </c>
      <c r="C957" s="159" t="s">
        <v>185</v>
      </c>
      <c r="D957" s="1097" t="s">
        <v>2426</v>
      </c>
      <c r="E957" s="500"/>
      <c r="F957" s="160"/>
      <c r="G957" s="500"/>
      <c r="H957" s="160"/>
    </row>
    <row r="958" spans="1:15" ht="15" customHeight="1">
      <c r="A958" s="162" t="s">
        <v>2429</v>
      </c>
      <c r="B958" s="158" t="s">
        <v>2428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2431</v>
      </c>
      <c r="B959" s="159" t="s">
        <v>2430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2433</v>
      </c>
      <c r="B960" s="158" t="s">
        <v>2432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2435</v>
      </c>
      <c r="B961" s="158" t="s">
        <v>2434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2437</v>
      </c>
      <c r="B962" s="180" t="s">
        <v>2436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2446</v>
      </c>
      <c r="B963" s="158" t="s">
        <v>2445</v>
      </c>
      <c r="C963" s="159" t="s">
        <v>147</v>
      </c>
      <c r="D963" s="159" t="s">
        <v>120</v>
      </c>
      <c r="E963" s="192" t="s">
        <v>286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2448</v>
      </c>
      <c r="B964" s="158" t="s">
        <v>2447</v>
      </c>
      <c r="C964" s="159" t="s">
        <v>1895</v>
      </c>
      <c r="D964" s="159" t="s">
        <v>120</v>
      </c>
      <c r="E964" s="192" t="s">
        <v>286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2444</v>
      </c>
      <c r="B965" s="158" t="s">
        <v>2443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2450</v>
      </c>
      <c r="B966" s="158" t="s">
        <v>2449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2474</v>
      </c>
      <c r="B967" s="158" t="s">
        <v>2473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2478</v>
      </c>
      <c r="B968" s="158" t="s">
        <v>2477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2480</v>
      </c>
      <c r="B969" s="158" t="s">
        <v>2479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2482</v>
      </c>
      <c r="B970" s="158" t="s">
        <v>2481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2484</v>
      </c>
      <c r="B971" s="158" t="s">
        <v>2483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2486</v>
      </c>
      <c r="B972" s="158" t="s">
        <v>2485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2488</v>
      </c>
      <c r="B973" s="158" t="s">
        <v>2487</v>
      </c>
      <c r="C973" s="159" t="s">
        <v>75</v>
      </c>
      <c r="D973" s="159" t="s">
        <v>86</v>
      </c>
      <c r="E973" s="192" t="s">
        <v>284</v>
      </c>
      <c r="F973" s="2" t="s">
        <v>2156</v>
      </c>
      <c r="G973" s="500"/>
      <c r="H973" s="160"/>
    </row>
    <row r="974" spans="1:29" ht="15" customHeight="1">
      <c r="A974" s="162" t="s">
        <v>2491</v>
      </c>
      <c r="B974" s="158" t="s">
        <v>2490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2495</v>
      </c>
      <c r="B975" s="158" t="s">
        <v>2494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2497</v>
      </c>
      <c r="B976" s="158" t="s">
        <v>2496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2499</v>
      </c>
      <c r="B977" s="158" t="s">
        <v>2498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2501</v>
      </c>
      <c r="B978" s="158" t="s">
        <v>2500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2503</v>
      </c>
      <c r="B979" s="158" t="s">
        <v>2502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2505</v>
      </c>
      <c r="B980" s="158" t="s">
        <v>2504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2507</v>
      </c>
      <c r="B981" s="158" t="s">
        <v>2506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2509</v>
      </c>
      <c r="B982" s="158" t="s">
        <v>2508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2511</v>
      </c>
      <c r="B983" s="158" t="s">
        <v>2510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2513</v>
      </c>
      <c r="B984" s="158" t="s">
        <v>2512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2515</v>
      </c>
      <c r="B985" s="158" t="s">
        <v>2514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2517</v>
      </c>
      <c r="B986" s="158" t="s">
        <v>2516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2519</v>
      </c>
      <c r="B987" s="158" t="s">
        <v>2518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2524</v>
      </c>
      <c r="B988" s="150" t="s">
        <v>2523</v>
      </c>
      <c r="C988" s="159" t="s">
        <v>75</v>
      </c>
      <c r="D988" s="159" t="s">
        <v>1898</v>
      </c>
      <c r="E988" s="192" t="s">
        <v>286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2526</v>
      </c>
      <c r="B989" s="150" t="s">
        <v>2525</v>
      </c>
      <c r="C989" s="159" t="s">
        <v>140</v>
      </c>
      <c r="D989" s="159" t="s">
        <v>1898</v>
      </c>
      <c r="E989" s="192" t="s">
        <v>286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2528</v>
      </c>
      <c r="B990" s="158" t="s">
        <v>2527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2530</v>
      </c>
      <c r="B991" s="158" t="s">
        <v>2529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2532</v>
      </c>
      <c r="B992" s="158" t="s">
        <v>2531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2533</v>
      </c>
      <c r="B993" s="158" t="s">
        <v>2529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2535</v>
      </c>
      <c r="B994" s="158" t="s">
        <v>2534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2536</v>
      </c>
      <c r="B995" s="174" t="s">
        <v>2529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2538</v>
      </c>
      <c r="B996" s="158" t="s">
        <v>2537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2540</v>
      </c>
      <c r="B997" s="158" t="s">
        <v>2539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2542</v>
      </c>
      <c r="B998" s="158" t="s">
        <v>2541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2544</v>
      </c>
      <c r="B999" s="158" t="s">
        <v>2543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2546</v>
      </c>
      <c r="B1000" s="158" t="s">
        <v>2545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2548</v>
      </c>
      <c r="B1001" s="158" t="s">
        <v>2547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2561</v>
      </c>
      <c r="B1002" s="158" t="s">
        <v>2560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2563</v>
      </c>
      <c r="B1003" s="158" t="s">
        <v>2562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2565</v>
      </c>
      <c r="B1004" s="158" t="s">
        <v>2564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2862</v>
      </c>
      <c r="B1005" s="158" t="s">
        <v>2861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2864</v>
      </c>
      <c r="B1006" s="158" t="s">
        <v>2863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2866</v>
      </c>
      <c r="B1007" s="158" t="s">
        <v>2865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2859</v>
      </c>
      <c r="B1008" s="158" t="s">
        <v>2867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2868</v>
      </c>
      <c r="B1009" s="158" t="s">
        <v>2863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2870</v>
      </c>
      <c r="B1010" s="158" t="s">
        <v>2869</v>
      </c>
      <c r="C1010" s="159" t="s">
        <v>274</v>
      </c>
      <c r="D1010" s="159" t="s">
        <v>2827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2860</v>
      </c>
      <c r="B1011" s="158" t="s">
        <v>2871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2873</v>
      </c>
      <c r="B1012" s="158" t="s">
        <v>2872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2874</v>
      </c>
      <c r="B1013" s="158" t="s">
        <v>2863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 t="s">
        <v>2883</v>
      </c>
      <c r="B1014" s="158" t="s">
        <v>2882</v>
      </c>
      <c r="C1014" s="159" t="s">
        <v>75</v>
      </c>
      <c r="D1014" s="159" t="s">
        <v>87</v>
      </c>
      <c r="E1014" s="192" t="s">
        <v>286</v>
      </c>
      <c r="F1014" s="2" t="s">
        <v>2198</v>
      </c>
      <c r="G1014" s="500"/>
      <c r="H1014" s="160"/>
    </row>
    <row r="1015" spans="1:8" ht="15" customHeight="1">
      <c r="A1015" s="162" t="s">
        <v>2884</v>
      </c>
      <c r="B1015" s="158" t="s">
        <v>2882</v>
      </c>
      <c r="C1015" s="159" t="s">
        <v>75</v>
      </c>
      <c r="D1015" s="159" t="s">
        <v>87</v>
      </c>
      <c r="E1015" s="192" t="s">
        <v>286</v>
      </c>
      <c r="F1015" s="160"/>
      <c r="G1015" s="500"/>
      <c r="H1015" s="160"/>
    </row>
    <row r="1016" spans="1:8" ht="15" customHeight="1">
      <c r="A1016" s="162" t="s">
        <v>2885</v>
      </c>
      <c r="B1016" s="158" t="s">
        <v>2882</v>
      </c>
      <c r="C1016" s="159" t="s">
        <v>75</v>
      </c>
      <c r="D1016" s="159" t="s">
        <v>87</v>
      </c>
      <c r="E1016" s="192" t="s">
        <v>284</v>
      </c>
      <c r="F1016" s="160"/>
      <c r="G1016" s="500"/>
      <c r="H1016" s="160"/>
    </row>
    <row r="1017" spans="1:8" ht="15" customHeight="1">
      <c r="A1017" s="162" t="s">
        <v>2902</v>
      </c>
      <c r="B1017" s="158" t="s">
        <v>2901</v>
      </c>
      <c r="C1017" s="159" t="s">
        <v>75</v>
      </c>
      <c r="D1017" s="159" t="s">
        <v>87</v>
      </c>
      <c r="E1017" s="500" t="s">
        <v>286</v>
      </c>
      <c r="F1017" s="160" t="s">
        <v>2198</v>
      </c>
      <c r="G1017" s="500"/>
      <c r="H1017" s="160"/>
    </row>
    <row r="1018" spans="1:8" ht="15" customHeight="1">
      <c r="A1018" s="162" t="s">
        <v>2903</v>
      </c>
      <c r="B1018" s="178" t="s">
        <v>2901</v>
      </c>
      <c r="C1018" s="159" t="s">
        <v>75</v>
      </c>
      <c r="D1018" s="159" t="s">
        <v>87</v>
      </c>
      <c r="E1018" s="500" t="s">
        <v>286</v>
      </c>
      <c r="F1018" s="160"/>
      <c r="G1018" s="500"/>
      <c r="H1018" s="160"/>
    </row>
    <row r="1019" spans="1:8" ht="15" customHeight="1">
      <c r="A1019" s="162" t="s">
        <v>2906</v>
      </c>
      <c r="B1019" s="158" t="s">
        <v>2901</v>
      </c>
      <c r="C1019" s="159" t="s">
        <v>75</v>
      </c>
      <c r="D1019" s="159" t="s">
        <v>87</v>
      </c>
      <c r="E1019" s="500" t="s">
        <v>284</v>
      </c>
      <c r="F1019" s="160"/>
      <c r="G1019" s="500"/>
      <c r="H1019" s="160"/>
    </row>
    <row r="1020" spans="1:8" ht="15" customHeight="1">
      <c r="A1020" s="162"/>
      <c r="B1020" s="158"/>
      <c r="C1020" s="159"/>
      <c r="D1020" s="159"/>
      <c r="E1020" s="500"/>
      <c r="F1020" s="160"/>
      <c r="G1020" s="500"/>
      <c r="H1020" s="160"/>
    </row>
    <row r="1021" spans="1:8" ht="15" customHeight="1">
      <c r="A1021" s="162"/>
      <c r="B1021" s="158"/>
      <c r="C1021" s="159"/>
      <c r="D1021" s="159"/>
      <c r="E1021" s="500"/>
      <c r="F1021" s="160"/>
      <c r="G1021" s="500"/>
      <c r="H1021" s="160"/>
    </row>
    <row r="1022" spans="1:8" ht="15" customHeight="1">
      <c r="A1022" s="162"/>
      <c r="B1022" s="158"/>
      <c r="C1022" s="159"/>
      <c r="D1022" s="159"/>
      <c r="E1022" s="500"/>
      <c r="F1022" s="160"/>
      <c r="G1022" s="500"/>
      <c r="H1022" s="160"/>
    </row>
    <row r="1023" spans="1:8" ht="15" customHeight="1">
      <c r="A1023" s="162"/>
      <c r="B1023" s="158"/>
      <c r="C1023" s="159"/>
      <c r="D1023" s="159"/>
      <c r="E1023" s="500"/>
      <c r="F1023" s="160"/>
      <c r="G1023" s="500"/>
      <c r="H1023" s="160"/>
    </row>
    <row r="1024" spans="1:8" ht="15" customHeight="1">
      <c r="A1024" s="162"/>
      <c r="B1024" s="158"/>
      <c r="C1024" s="159"/>
      <c r="D1024" s="159"/>
      <c r="E1024" s="500"/>
      <c r="F1024" s="160"/>
      <c r="G1024" s="500"/>
      <c r="H1024" s="160"/>
    </row>
    <row r="1025" spans="1:29" ht="15" customHeight="1">
      <c r="A1025" s="162"/>
      <c r="B1025" s="158"/>
      <c r="C1025" s="159"/>
      <c r="D1025" s="159"/>
      <c r="E1025" s="500"/>
      <c r="F1025" s="160"/>
      <c r="G1025" s="500"/>
      <c r="H1025" s="160"/>
    </row>
    <row r="1026" spans="1:29" ht="15" customHeight="1">
      <c r="A1026" s="162"/>
      <c r="B1026" s="158"/>
      <c r="C1026" s="159"/>
      <c r="D1026" s="159"/>
      <c r="E1026" s="500"/>
      <c r="F1026" s="160"/>
      <c r="G1026" s="500"/>
      <c r="H1026" s="160"/>
    </row>
    <row r="1027" spans="1:29" ht="15" customHeight="1">
      <c r="A1027" s="162"/>
      <c r="B1027" s="158"/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/>
      <c r="B1028" s="158"/>
      <c r="C1028" s="159"/>
      <c r="D1028" s="159"/>
      <c r="E1028" s="500"/>
      <c r="F1028" s="160"/>
      <c r="G1028" s="500"/>
      <c r="H1028" s="160"/>
      <c r="K1028" s="2"/>
    </row>
    <row r="1029" spans="1:29" ht="15" customHeight="1">
      <c r="A1029" s="162"/>
      <c r="B1029" s="158"/>
      <c r="C1029" s="159"/>
      <c r="D1029" s="159"/>
      <c r="E1029" s="500"/>
      <c r="F1029" s="160"/>
      <c r="G1029" s="500"/>
      <c r="H1029" s="160"/>
    </row>
    <row r="1030" spans="1:29" ht="15" customHeight="1">
      <c r="A1030" s="162"/>
      <c r="B1030" s="158"/>
      <c r="C1030" s="159"/>
      <c r="D1030" s="159"/>
      <c r="E1030" s="500"/>
      <c r="F1030" s="160"/>
      <c r="G1030" s="500"/>
      <c r="H1030" s="160"/>
    </row>
    <row r="1031" spans="1:29" ht="15" customHeight="1">
      <c r="A1031" s="162"/>
      <c r="B1031" s="158"/>
      <c r="C1031" s="159"/>
      <c r="D1031" s="159"/>
      <c r="E1031" s="500"/>
      <c r="F1031" s="160"/>
      <c r="G1031" s="500"/>
      <c r="H1031" s="160"/>
    </row>
    <row r="1032" spans="1:29" ht="15.75" customHeight="1">
      <c r="A1032" s="162"/>
      <c r="B1032" s="158"/>
      <c r="C1032" s="159"/>
      <c r="D1032" s="159"/>
      <c r="E1032" s="500"/>
      <c r="F1032" s="160"/>
      <c r="G1032" s="500"/>
      <c r="H1032" s="160"/>
    </row>
    <row r="1033" spans="1:29" ht="15.75" customHeight="1">
      <c r="A1033" s="162"/>
      <c r="B1033" s="158"/>
      <c r="C1033" s="159"/>
      <c r="D1033" s="159"/>
      <c r="E1033" s="500"/>
      <c r="F1033" s="160"/>
      <c r="G1033" s="500"/>
      <c r="H1033" s="160"/>
    </row>
    <row r="1034" spans="1:29" ht="15.75" customHeight="1">
      <c r="A1034" s="162"/>
      <c r="B1034" s="158"/>
      <c r="C1034" s="159"/>
      <c r="D1034" s="159"/>
      <c r="E1034" s="500"/>
      <c r="F1034" s="160"/>
      <c r="G1034" s="500"/>
      <c r="H1034" s="160"/>
      <c r="K1034" s="2"/>
    </row>
    <row r="1035" spans="1:29" ht="15.75" customHeight="1">
      <c r="A1035" s="162"/>
      <c r="B1035" s="158"/>
      <c r="C1035" s="159"/>
      <c r="D1035" s="159"/>
      <c r="E1035" s="500"/>
      <c r="F1035" s="160"/>
      <c r="G1035" s="500"/>
      <c r="H1035" s="160"/>
    </row>
    <row r="1036" spans="1:29" ht="15.75" customHeight="1">
      <c r="A1036" s="162"/>
      <c r="B1036" s="158"/>
      <c r="C1036" s="159"/>
      <c r="D1036" s="159"/>
      <c r="E1036" s="500"/>
      <c r="F1036" s="160"/>
      <c r="G1036" s="500"/>
      <c r="H1036" s="160"/>
    </row>
    <row r="1037" spans="1:29" ht="15.75" customHeight="1">
      <c r="A1037" s="162"/>
      <c r="B1037" s="158"/>
      <c r="C1037" s="159"/>
      <c r="D1037" s="159"/>
      <c r="E1037" s="500"/>
      <c r="F1037" s="160"/>
      <c r="G1037" s="500"/>
      <c r="H1037" s="160"/>
    </row>
    <row r="1038" spans="1:29" ht="15.75" customHeight="1">
      <c r="A1038" s="162"/>
      <c r="B1038" s="158"/>
      <c r="C1038" s="159"/>
      <c r="D1038" s="159"/>
      <c r="E1038" s="500"/>
      <c r="F1038" s="160"/>
      <c r="G1038" s="500"/>
      <c r="H1038" s="160"/>
    </row>
    <row r="1039" spans="1:29" ht="15.75" customHeight="1">
      <c r="A1039" s="162"/>
      <c r="B1039" s="158"/>
      <c r="C1039" s="159"/>
      <c r="D1039" s="159"/>
      <c r="E1039" s="192"/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/>
      <c r="B1040" s="158"/>
      <c r="C1040" s="159"/>
      <c r="D1040" s="159"/>
      <c r="E1040" s="500"/>
      <c r="F1040" s="160"/>
      <c r="G1040" s="500"/>
      <c r="H1040" s="160"/>
    </row>
    <row r="1041" spans="1:11" ht="15.75" customHeight="1">
      <c r="A1041" s="162"/>
      <c r="B1041" s="158"/>
      <c r="C1041" s="159"/>
      <c r="D1041" s="159"/>
      <c r="E1041" s="500"/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N77"/>
  <sheetViews>
    <sheetView topLeftCell="A51" zoomScale="110" zoomScaleNormal="110" workbookViewId="0">
      <selection activeCell="N71" sqref="N71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16384" width="11" style="559"/>
  </cols>
  <sheetData>
    <row r="1" spans="1:14" ht="15.75">
      <c r="B1" s="1256" t="str">
        <f>Parametres!$B$1&amp;" "&amp;"2 pager"&amp;" "&amp;Parametres!$B$3&amp;" "&amp;Parametres!$B$4</f>
        <v>BMW Sherbrooke 2 pager Avril 2024</v>
      </c>
      <c r="C1" s="1256"/>
      <c r="D1" s="1256"/>
      <c r="E1" s="1256"/>
      <c r="F1" s="1256"/>
      <c r="G1" s="1256"/>
      <c r="H1" s="1256"/>
      <c r="I1" s="1256"/>
      <c r="J1" s="1256"/>
    </row>
    <row r="2" spans="1:14">
      <c r="B2" s="573"/>
    </row>
    <row r="3" spans="1:14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2830</v>
      </c>
      <c r="H3" s="570" t="s">
        <v>334</v>
      </c>
      <c r="I3" s="572" t="s">
        <v>2831</v>
      </c>
      <c r="J3" s="1116" t="s">
        <v>330</v>
      </c>
      <c r="N3" s="780" t="s">
        <v>2157</v>
      </c>
    </row>
    <row r="4" spans="1:14" ht="15" customHeight="1">
      <c r="A4" s="759"/>
      <c r="B4" s="736" t="s">
        <v>313</v>
      </c>
      <c r="C4" s="737">
        <f>+Print_Mois!$J$13+Print_Mois!$J$15</f>
        <v>30</v>
      </c>
      <c r="D4" s="737">
        <f>+Print_Mois!$D$13+Print_Mois!$D$15</f>
        <v>32</v>
      </c>
      <c r="E4" s="737">
        <f>+Print_Mois!$O$13+Print_Mois!$O$15</f>
        <v>23</v>
      </c>
      <c r="F4" s="738">
        <f t="shared" ref="F4:F15" si="0">+IFERROR($C4-D4,"")</f>
        <v>-2</v>
      </c>
      <c r="G4" s="739">
        <f t="shared" ref="G4:G15" si="1">+IFERROR($C4-E4,"")</f>
        <v>7</v>
      </c>
      <c r="H4" s="793">
        <f t="shared" ref="H4:H15" si="2">+IFERROR(F4/ABS($D4),"")</f>
        <v>-6.25E-2</v>
      </c>
      <c r="I4" s="1110">
        <f t="shared" ref="I4:I14" si="3">+IFERROR(G4/ABS($E4),"")</f>
        <v>0.30434782608695654</v>
      </c>
      <c r="J4" s="1255" t="s">
        <v>2916</v>
      </c>
    </row>
    <row r="5" spans="1:14">
      <c r="A5" s="759"/>
      <c r="B5" s="561" t="s">
        <v>314</v>
      </c>
      <c r="C5" s="683">
        <f>+Print_Mois!$L$13+Print_Mois!$L$15</f>
        <v>140490.95000000022</v>
      </c>
      <c r="D5" s="683">
        <f>+Print_Mois!$F$13+Print_Mois!$F$15</f>
        <v>161291.43569618184</v>
      </c>
      <c r="E5" s="683">
        <f>+Print_Mois!$Q$13+Print_Mois!$Q$15</f>
        <v>142451.87</v>
      </c>
      <c r="F5" s="684">
        <f t="shared" si="0"/>
        <v>-20800.485696181626</v>
      </c>
      <c r="G5" s="685">
        <f t="shared" si="1"/>
        <v>-1960.91999999978</v>
      </c>
      <c r="H5" s="757">
        <f t="shared" si="2"/>
        <v>-0.12896212130793269</v>
      </c>
      <c r="I5" s="1111">
        <f t="shared" si="3"/>
        <v>-1.3765491460377319E-2</v>
      </c>
      <c r="J5" s="1253"/>
    </row>
    <row r="6" spans="1:14">
      <c r="A6" s="759"/>
      <c r="B6" s="561" t="s">
        <v>315</v>
      </c>
      <c r="C6" s="683">
        <f>+C5/C4</f>
        <v>4683.031666666674</v>
      </c>
      <c r="D6" s="683">
        <f>+D5/D4</f>
        <v>5040.3573655056825</v>
      </c>
      <c r="E6" s="683">
        <f>+E5/E4</f>
        <v>6193.5595652173915</v>
      </c>
      <c r="F6" s="684">
        <f t="shared" si="0"/>
        <v>-357.32569883900851</v>
      </c>
      <c r="G6" s="685">
        <f t="shared" si="1"/>
        <v>-1510.5278985507175</v>
      </c>
      <c r="H6" s="758">
        <f>+IFERROR(F6/ABS($D6),"")</f>
        <v>-7.089292939512816E-2</v>
      </c>
      <c r="I6" s="1112">
        <f t="shared" si="3"/>
        <v>-0.24388687678628931</v>
      </c>
      <c r="J6" s="1253"/>
    </row>
    <row r="7" spans="1:14">
      <c r="A7" s="759"/>
      <c r="B7" s="561" t="s">
        <v>316</v>
      </c>
      <c r="C7" s="683">
        <f>+Print_Mois!$L$31</f>
        <v>37232.949999999997</v>
      </c>
      <c r="D7" s="683">
        <f>+Print_Mois!$F$31</f>
        <v>46810.642022832428</v>
      </c>
      <c r="E7" s="683">
        <f>+Print_Mois!$Q$31</f>
        <v>41291.440000000002</v>
      </c>
      <c r="F7" s="684">
        <f t="shared" si="0"/>
        <v>-9577.6920228324307</v>
      </c>
      <c r="G7" s="685">
        <f t="shared" si="1"/>
        <v>-4058.4900000000052</v>
      </c>
      <c r="H7" s="757">
        <f t="shared" si="2"/>
        <v>-0.20460501306862661</v>
      </c>
      <c r="I7" s="1111">
        <f t="shared" si="3"/>
        <v>-9.8288894744286107E-2</v>
      </c>
      <c r="J7" s="1253"/>
    </row>
    <row r="8" spans="1:14">
      <c r="A8" s="759"/>
      <c r="B8" s="561" t="s">
        <v>317</v>
      </c>
      <c r="C8" s="688">
        <f>+C7/C5</f>
        <v>0.26502027354786867</v>
      </c>
      <c r="D8" s="688">
        <f>+D7/D5</f>
        <v>0.29022397761408575</v>
      </c>
      <c r="E8" s="688">
        <f>+E7/E5</f>
        <v>0.28986239352280879</v>
      </c>
      <c r="F8" s="686">
        <f t="shared" si="0"/>
        <v>-2.5203704066217081E-2</v>
      </c>
      <c r="G8" s="687">
        <f t="shared" si="1"/>
        <v>-2.4842119974940124E-2</v>
      </c>
      <c r="H8" s="757">
        <f t="shared" si="2"/>
        <v>-8.6842252915886722E-2</v>
      </c>
      <c r="I8" s="1111">
        <f>+IFERROR(G8/ABS($E8),"")</f>
        <v>-8.5703149253079425E-2</v>
      </c>
      <c r="J8" s="1253"/>
    </row>
    <row r="9" spans="1:14">
      <c r="A9" s="759"/>
      <c r="B9" s="561" t="s">
        <v>318</v>
      </c>
      <c r="C9" s="683">
        <f>+Print_Mois!$L$24</f>
        <v>52259.280000000006</v>
      </c>
      <c r="D9" s="683">
        <f>+Print_Mois!$F$24</f>
        <v>51200</v>
      </c>
      <c r="E9" s="683">
        <f>+Print_Mois!$Q$24</f>
        <v>43807.279999999802</v>
      </c>
      <c r="F9" s="684">
        <f t="shared" si="0"/>
        <v>1059.2800000000061</v>
      </c>
      <c r="G9" s="685">
        <f t="shared" si="1"/>
        <v>8452.0000000002037</v>
      </c>
      <c r="H9" s="757">
        <f t="shared" si="2"/>
        <v>2.0689062500000119E-2</v>
      </c>
      <c r="I9" s="1111">
        <f t="shared" si="3"/>
        <v>0.19293596863352944</v>
      </c>
      <c r="J9" s="1253"/>
    </row>
    <row r="10" spans="1:14">
      <c r="A10" s="759"/>
      <c r="B10" s="561" t="s">
        <v>319</v>
      </c>
      <c r="C10" s="683">
        <f>+C9/C4</f>
        <v>1741.9760000000001</v>
      </c>
      <c r="D10" s="683">
        <f>+D9/D4</f>
        <v>1600</v>
      </c>
      <c r="E10" s="683">
        <f>+E9/E4</f>
        <v>1904.6643478260783</v>
      </c>
      <c r="F10" s="684">
        <f t="shared" si="0"/>
        <v>141.97600000000011</v>
      </c>
      <c r="G10" s="685">
        <f t="shared" si="1"/>
        <v>-162.68834782607814</v>
      </c>
      <c r="H10" s="758">
        <f t="shared" si="2"/>
        <v>8.8735000000000064E-2</v>
      </c>
      <c r="I10" s="1112">
        <f t="shared" si="3"/>
        <v>-8.5415757380960758E-2</v>
      </c>
      <c r="J10" s="1253"/>
    </row>
    <row r="11" spans="1:14">
      <c r="A11" s="759"/>
      <c r="B11" s="561" t="s">
        <v>320</v>
      </c>
      <c r="C11" s="683">
        <f>+Print_Mois!$L$32</f>
        <v>21287.41</v>
      </c>
      <c r="D11" s="683">
        <f>+Print_Mois!$F$32</f>
        <v>12800</v>
      </c>
      <c r="E11" s="683">
        <f>+Print_Mois!$Q$32</f>
        <v>10844.58</v>
      </c>
      <c r="F11" s="684">
        <f t="shared" si="0"/>
        <v>8487.41</v>
      </c>
      <c r="G11" s="685">
        <f t="shared" si="1"/>
        <v>10442.83</v>
      </c>
      <c r="H11" s="757">
        <f t="shared" si="2"/>
        <v>0.66307890624999999</v>
      </c>
      <c r="I11" s="1111">
        <f t="shared" si="3"/>
        <v>0.96295384422448815</v>
      </c>
      <c r="J11" s="1253"/>
    </row>
    <row r="12" spans="1:14">
      <c r="A12" s="759"/>
      <c r="B12" s="561" t="s">
        <v>321</v>
      </c>
      <c r="C12" s="688">
        <f>+C11/C9</f>
        <v>0.40734219836170721</v>
      </c>
      <c r="D12" s="688">
        <f>+D11/D9</f>
        <v>0.25</v>
      </c>
      <c r="E12" s="688">
        <f>+E11/E9</f>
        <v>0.24755200505486871</v>
      </c>
      <c r="F12" s="686">
        <f t="shared" si="0"/>
        <v>0.15734219836170721</v>
      </c>
      <c r="G12" s="689">
        <f t="shared" si="1"/>
        <v>0.1597901933068385</v>
      </c>
      <c r="H12" s="757">
        <f t="shared" si="2"/>
        <v>0.62936879344682883</v>
      </c>
      <c r="I12" s="1111">
        <f t="shared" si="3"/>
        <v>0.6454813131948649</v>
      </c>
      <c r="J12" s="1253"/>
    </row>
    <row r="13" spans="1:14">
      <c r="A13" s="759"/>
      <c r="B13" s="561" t="s">
        <v>322</v>
      </c>
      <c r="C13" s="683">
        <f>+Print_Mois!$L$41-C7-C11</f>
        <v>56553.08</v>
      </c>
      <c r="D13" s="683">
        <f>+Print_Mois!$F$41-D7-D11</f>
        <v>52697.519536569991</v>
      </c>
      <c r="E13" s="683">
        <f>+Print_Mois!$Q$41-E7-E11</f>
        <v>25307.810000000012</v>
      </c>
      <c r="F13" s="684">
        <f t="shared" si="0"/>
        <v>3855.5604634300107</v>
      </c>
      <c r="G13" s="685">
        <f t="shared" si="1"/>
        <v>31245.26999999999</v>
      </c>
      <c r="H13" s="757">
        <f t="shared" si="2"/>
        <v>7.316398375742153E-2</v>
      </c>
      <c r="I13" s="1111">
        <f t="shared" si="3"/>
        <v>1.2346097904164752</v>
      </c>
      <c r="J13" s="1253"/>
    </row>
    <row r="14" spans="1:14">
      <c r="A14" s="759"/>
      <c r="B14" s="561" t="s">
        <v>323</v>
      </c>
      <c r="C14" s="683">
        <f>+C13/C4</f>
        <v>1885.1026666666667</v>
      </c>
      <c r="D14" s="683">
        <f>+D13/D4</f>
        <v>1646.7974855178122</v>
      </c>
      <c r="E14" s="683">
        <f>+E13/E4</f>
        <v>1100.3395652173917</v>
      </c>
      <c r="F14" s="684">
        <f t="shared" si="0"/>
        <v>238.30518114885444</v>
      </c>
      <c r="G14" s="685">
        <f t="shared" si="1"/>
        <v>784.76310144927493</v>
      </c>
      <c r="H14" s="757">
        <f t="shared" si="2"/>
        <v>0.1447082493412496</v>
      </c>
      <c r="I14" s="1111">
        <f t="shared" si="3"/>
        <v>0.71320083931929767</v>
      </c>
      <c r="J14" s="1253"/>
    </row>
    <row r="15" spans="1:14">
      <c r="A15" s="759"/>
      <c r="B15" s="561" t="s">
        <v>324</v>
      </c>
      <c r="C15" s="683">
        <f>+Print_Mois!$L$83</f>
        <v>121271.42</v>
      </c>
      <c r="D15" s="683">
        <f>+Print_Mois!$F$83</f>
        <v>121812.72230769234</v>
      </c>
      <c r="E15" s="683">
        <f>+Print_Mois!$Q$83</f>
        <v>105807.28</v>
      </c>
      <c r="F15" s="684">
        <f t="shared" si="0"/>
        <v>-541.30230769234186</v>
      </c>
      <c r="G15" s="685">
        <f t="shared" si="1"/>
        <v>15464.14</v>
      </c>
      <c r="H15" s="757">
        <f t="shared" si="2"/>
        <v>-4.4437255603322085E-3</v>
      </c>
      <c r="I15" s="1111">
        <f>+IFERROR(G15/ABS($E15),"")</f>
        <v>0.14615383742971183</v>
      </c>
      <c r="J15" s="1253"/>
    </row>
    <row r="16" spans="1:14">
      <c r="A16" s="759"/>
      <c r="B16" s="563" t="s">
        <v>325</v>
      </c>
      <c r="C16" s="690"/>
      <c r="D16" s="690"/>
      <c r="E16" s="690"/>
      <c r="F16" s="691"/>
      <c r="G16" s="692"/>
      <c r="H16" s="760"/>
      <c r="I16" s="1113"/>
      <c r="J16" s="1253"/>
    </row>
    <row r="17" spans="1:10">
      <c r="A17" s="759"/>
      <c r="B17" s="732" t="s">
        <v>313</v>
      </c>
      <c r="C17" s="733">
        <v>73</v>
      </c>
      <c r="D17" s="733">
        <v>67</v>
      </c>
      <c r="E17" s="1193">
        <v>43</v>
      </c>
      <c r="F17" s="734">
        <f>+IFERROR($C17-D17,"")</f>
        <v>6</v>
      </c>
      <c r="G17" s="735">
        <f>+IFERROR($C17-E17,"")</f>
        <v>30</v>
      </c>
      <c r="H17" s="686">
        <f>+IFERROR(F17/ABS($D17),"")</f>
        <v>8.9552238805970144E-2</v>
      </c>
      <c r="I17" s="1114">
        <f>+IFERROR(G17/ABS($E17),"")</f>
        <v>0.69767441860465118</v>
      </c>
      <c r="J17" s="1253"/>
    </row>
    <row r="18" spans="1:10">
      <c r="A18" s="759"/>
      <c r="B18" s="740" t="s">
        <v>286</v>
      </c>
      <c r="C18" s="741">
        <v>6062509</v>
      </c>
      <c r="D18" s="741">
        <v>5239546</v>
      </c>
      <c r="E18" s="741">
        <v>3493530.870000001</v>
      </c>
      <c r="F18" s="694">
        <f>+IFERROR($C18-D18,"")</f>
        <v>822963</v>
      </c>
      <c r="G18" s="695">
        <f>+IFERROR($C18-E18,"")</f>
        <v>2568978.129999999</v>
      </c>
      <c r="H18" s="696">
        <f>+IFERROR(F18/ABS($D18),"")</f>
        <v>0.15706761616369053</v>
      </c>
      <c r="I18" s="1115">
        <f>+IFERROR(G18/ABS($E18),"")</f>
        <v>0.73535292104059702</v>
      </c>
      <c r="J18" s="1254"/>
    </row>
    <row r="19" spans="1:10">
      <c r="C19" s="697"/>
      <c r="D19" s="697"/>
      <c r="E19" s="697"/>
      <c r="F19" s="697"/>
      <c r="G19" s="697"/>
      <c r="H19" s="697"/>
      <c r="I19" s="697"/>
    </row>
    <row r="20" spans="1:10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118" t="s">
        <v>330</v>
      </c>
    </row>
    <row r="21" spans="1:10" ht="15" customHeight="1">
      <c r="B21" s="560" t="s">
        <v>313</v>
      </c>
      <c r="C21" s="578">
        <f>+Print_Mois!$J$97</f>
        <v>28</v>
      </c>
      <c r="D21" s="578">
        <f>+Print_Mois!$D$97</f>
        <v>21</v>
      </c>
      <c r="E21" s="578">
        <f>+Print_Mois!$O$97</f>
        <v>17</v>
      </c>
      <c r="F21" s="579">
        <f t="shared" ref="F21:F32" si="4">+IFERROR($C21-D21,"")</f>
        <v>7</v>
      </c>
      <c r="G21" s="580">
        <f t="shared" ref="G21:G32" si="5">+IFERROR($C21-E21,"")</f>
        <v>11</v>
      </c>
      <c r="H21" s="793">
        <f t="shared" ref="H21:H32" si="6">+IFERROR(F21/ABS($D21),"")</f>
        <v>0.33333333333333331</v>
      </c>
      <c r="I21" s="1110">
        <f t="shared" ref="I21:I32" si="7">+IFERROR(G21/ABS($E21),"")</f>
        <v>0.6470588235294118</v>
      </c>
      <c r="J21" s="1255" t="s">
        <v>2917</v>
      </c>
    </row>
    <row r="22" spans="1:10">
      <c r="B22" s="561" t="s">
        <v>314</v>
      </c>
      <c r="C22" s="683">
        <f>+Print_Mois!$L$97</f>
        <v>38589.139999999992</v>
      </c>
      <c r="D22" s="683">
        <f>+Print_Mois!$F$97</f>
        <v>48650</v>
      </c>
      <c r="E22" s="683">
        <f>+Print_Mois!$Q$97</f>
        <v>42786.989999999809</v>
      </c>
      <c r="F22" s="684">
        <f t="shared" si="4"/>
        <v>-10060.860000000008</v>
      </c>
      <c r="G22" s="685">
        <f t="shared" si="5"/>
        <v>-4197.8499999998166</v>
      </c>
      <c r="H22" s="757">
        <f t="shared" si="6"/>
        <v>-0.2068008221993835</v>
      </c>
      <c r="I22" s="1111">
        <f t="shared" si="7"/>
        <v>-9.8110430296682136E-2</v>
      </c>
      <c r="J22" s="1253"/>
    </row>
    <row r="23" spans="1:10">
      <c r="B23" s="561" t="s">
        <v>315</v>
      </c>
      <c r="C23" s="683">
        <f>+C22/C21</f>
        <v>1378.1835714285712</v>
      </c>
      <c r="D23" s="683">
        <f>+D22/D21</f>
        <v>2316.6666666666665</v>
      </c>
      <c r="E23" s="683">
        <f>+E22/E21</f>
        <v>2516.8817647058713</v>
      </c>
      <c r="F23" s="684">
        <f t="shared" si="4"/>
        <v>-938.4830952380953</v>
      </c>
      <c r="G23" s="685">
        <f t="shared" si="5"/>
        <v>-1138.6981932773001</v>
      </c>
      <c r="H23" s="758">
        <f t="shared" si="6"/>
        <v>-0.40510061664953756</v>
      </c>
      <c r="I23" s="1112">
        <f t="shared" si="7"/>
        <v>-0.4524241898229856</v>
      </c>
      <c r="J23" s="1253"/>
    </row>
    <row r="24" spans="1:10">
      <c r="B24" s="561" t="s">
        <v>316</v>
      </c>
      <c r="C24" s="683">
        <f>+Print_Mois!$L$112</f>
        <v>19262.32</v>
      </c>
      <c r="D24" s="683">
        <f>+Print_Mois!$F$112</f>
        <v>16123.24427480916</v>
      </c>
      <c r="E24" s="683">
        <f>+Print_Mois!$Q$112</f>
        <v>12057.56</v>
      </c>
      <c r="F24" s="684">
        <f t="shared" si="4"/>
        <v>3139.0757251908399</v>
      </c>
      <c r="G24" s="685">
        <f t="shared" si="5"/>
        <v>7204.76</v>
      </c>
      <c r="H24" s="757">
        <f t="shared" si="6"/>
        <v>0.19469256135350557</v>
      </c>
      <c r="I24" s="1111">
        <f t="shared" si="7"/>
        <v>0.5975305119775477</v>
      </c>
      <c r="J24" s="1253"/>
    </row>
    <row r="25" spans="1:10">
      <c r="B25" s="561" t="s">
        <v>317</v>
      </c>
      <c r="C25" s="688">
        <f>+C24/C22</f>
        <v>0.4991642726425104</v>
      </c>
      <c r="D25" s="688">
        <f>+D24/D22</f>
        <v>0.33141303750892415</v>
      </c>
      <c r="E25" s="688">
        <f>+E24/E22</f>
        <v>0.2818043522108018</v>
      </c>
      <c r="F25" s="686">
        <f t="shared" si="4"/>
        <v>0.16775123513358625</v>
      </c>
      <c r="G25" s="687">
        <f t="shared" si="5"/>
        <v>0.2173599204317086</v>
      </c>
      <c r="H25" s="757">
        <f t="shared" si="6"/>
        <v>0.50616969203895346</v>
      </c>
      <c r="I25" s="1111">
        <f t="shared" si="7"/>
        <v>0.77131498760215744</v>
      </c>
      <c r="J25" s="1253"/>
    </row>
    <row r="26" spans="1:10">
      <c r="B26" s="561" t="s">
        <v>318</v>
      </c>
      <c r="C26" s="683">
        <f>+Print_Mois!$L$105</f>
        <v>35736.79</v>
      </c>
      <c r="D26" s="683">
        <f>+Print_Mois!$F$105</f>
        <v>34650</v>
      </c>
      <c r="E26" s="683">
        <f>+Print_Mois!$Q$105</f>
        <v>29264.080000000002</v>
      </c>
      <c r="F26" s="684">
        <f t="shared" si="4"/>
        <v>1086.7900000000009</v>
      </c>
      <c r="G26" s="685">
        <f t="shared" si="5"/>
        <v>6472.7099999999991</v>
      </c>
      <c r="H26" s="757">
        <f t="shared" si="6"/>
        <v>3.136479076479079E-2</v>
      </c>
      <c r="I26" s="1111">
        <f t="shared" si="7"/>
        <v>0.22118276057200495</v>
      </c>
      <c r="J26" s="1253"/>
    </row>
    <row r="27" spans="1:10">
      <c r="B27" s="561" t="s">
        <v>319</v>
      </c>
      <c r="C27" s="683">
        <f>+C26/C21</f>
        <v>1276.3139285714285</v>
      </c>
      <c r="D27" s="683">
        <f>+D26/D21</f>
        <v>1650</v>
      </c>
      <c r="E27" s="683">
        <f>+E26/E21</f>
        <v>1721.4164705882354</v>
      </c>
      <c r="F27" s="684">
        <f t="shared" si="4"/>
        <v>-373.68607142857149</v>
      </c>
      <c r="G27" s="685">
        <f t="shared" si="5"/>
        <v>-445.10254201680686</v>
      </c>
      <c r="H27" s="758">
        <f t="shared" si="6"/>
        <v>-0.22647640692640697</v>
      </c>
      <c r="I27" s="1112">
        <f t="shared" si="7"/>
        <v>-0.25856760965271131</v>
      </c>
      <c r="J27" s="1253"/>
    </row>
    <row r="28" spans="1:10">
      <c r="B28" s="561" t="s">
        <v>320</v>
      </c>
      <c r="C28" s="683">
        <f>+Print_Mois!$L$113</f>
        <v>10323.24</v>
      </c>
      <c r="D28" s="683">
        <f>+Print_Mois!$F$113</f>
        <v>8662.5</v>
      </c>
      <c r="E28" s="683">
        <f>+Print_Mois!$Q$113</f>
        <v>7030.53</v>
      </c>
      <c r="F28" s="684">
        <f t="shared" si="4"/>
        <v>1660.7399999999998</v>
      </c>
      <c r="G28" s="685">
        <f t="shared" si="5"/>
        <v>3292.71</v>
      </c>
      <c r="H28" s="757">
        <f t="shared" si="6"/>
        <v>0.19171601731601728</v>
      </c>
      <c r="I28" s="1111">
        <f t="shared" si="7"/>
        <v>0.46834449180929461</v>
      </c>
      <c r="J28" s="1253"/>
    </row>
    <row r="29" spans="1:10">
      <c r="B29" s="561" t="s">
        <v>321</v>
      </c>
      <c r="C29" s="688">
        <f>+C28/C26</f>
        <v>0.28886869805598098</v>
      </c>
      <c r="D29" s="688">
        <f>+D28/D26</f>
        <v>0.25</v>
      </c>
      <c r="E29" s="688">
        <f>+E28/E26</f>
        <v>0.24024435417071027</v>
      </c>
      <c r="F29" s="686">
        <f t="shared" si="4"/>
        <v>3.8868698055980977E-2</v>
      </c>
      <c r="G29" s="689">
        <f t="shared" si="5"/>
        <v>4.8624343885270704E-2</v>
      </c>
      <c r="H29" s="757">
        <f t="shared" si="6"/>
        <v>0.15547479222392391</v>
      </c>
      <c r="I29" s="1111">
        <f t="shared" si="7"/>
        <v>0.20239536555651891</v>
      </c>
      <c r="J29" s="1253"/>
    </row>
    <row r="30" spans="1:10">
      <c r="B30" s="561" t="s">
        <v>322</v>
      </c>
      <c r="C30" s="683">
        <f>+Print_Mois!$L$122-C24-C28</f>
        <v>18396.350000000006</v>
      </c>
      <c r="D30" s="683">
        <f>+Print_Mois!$F$122-D24-D28</f>
        <v>21356.009100771455</v>
      </c>
      <c r="E30" s="683">
        <f>+Print_Mois!$Q$122-E24-E28</f>
        <v>18969.349999999991</v>
      </c>
      <c r="F30" s="684">
        <f t="shared" si="4"/>
        <v>-2959.6591007714487</v>
      </c>
      <c r="G30" s="685">
        <f t="shared" si="5"/>
        <v>-572.99999999998545</v>
      </c>
      <c r="H30" s="757">
        <f t="shared" si="6"/>
        <v>-0.1385867128453572</v>
      </c>
      <c r="I30" s="1111">
        <f t="shared" si="7"/>
        <v>-3.0206622788866551E-2</v>
      </c>
      <c r="J30" s="1253"/>
    </row>
    <row r="31" spans="1:10">
      <c r="B31" s="561" t="s">
        <v>323</v>
      </c>
      <c r="C31" s="683">
        <f>+C30/C21</f>
        <v>657.01250000000016</v>
      </c>
      <c r="D31" s="683">
        <f>+D30/D21</f>
        <v>1016.9528143224502</v>
      </c>
      <c r="E31" s="683">
        <f>+E30/E21</f>
        <v>1115.8441176470583</v>
      </c>
      <c r="F31" s="684">
        <f t="shared" si="4"/>
        <v>-359.94031432245004</v>
      </c>
      <c r="G31" s="685">
        <f t="shared" si="5"/>
        <v>-458.83161764705812</v>
      </c>
      <c r="H31" s="757">
        <f t="shared" si="6"/>
        <v>-0.35394003463401796</v>
      </c>
      <c r="I31" s="1111">
        <f>+IFERROR(G31/ABS($E31),"")</f>
        <v>-0.41119687812181188</v>
      </c>
      <c r="J31" s="1253"/>
    </row>
    <row r="32" spans="1:10">
      <c r="B32" s="561" t="s">
        <v>324</v>
      </c>
      <c r="C32" s="683">
        <f>+Print_Mois!$L$163</f>
        <v>15715</v>
      </c>
      <c r="D32" s="683">
        <f>+Print_Mois!$F$163</f>
        <v>15067.808823529413</v>
      </c>
      <c r="E32" s="683">
        <f>+Print_Mois!$Q$163</f>
        <v>9235</v>
      </c>
      <c r="F32" s="684">
        <f t="shared" si="4"/>
        <v>647.19117647058738</v>
      </c>
      <c r="G32" s="685">
        <f t="shared" si="5"/>
        <v>6480</v>
      </c>
      <c r="H32" s="757">
        <f t="shared" si="6"/>
        <v>4.2951910529947401E-2</v>
      </c>
      <c r="I32" s="1111">
        <f t="shared" si="7"/>
        <v>0.70167839740119109</v>
      </c>
      <c r="J32" s="1253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117"/>
      <c r="J33" s="1253"/>
    </row>
    <row r="34" spans="2:10">
      <c r="B34" s="732" t="s">
        <v>313</v>
      </c>
      <c r="C34" s="733">
        <v>58</v>
      </c>
      <c r="D34" s="733">
        <v>64</v>
      </c>
      <c r="E34" s="1193">
        <v>47</v>
      </c>
      <c r="F34" s="734">
        <f>+IFERROR($C34-D34,"")</f>
        <v>-6</v>
      </c>
      <c r="G34" s="735">
        <f>+IFERROR($C34-E34,"")</f>
        <v>11</v>
      </c>
      <c r="H34" s="686">
        <f>+IFERROR(F34/ABS($D34),"")</f>
        <v>-9.375E-2</v>
      </c>
      <c r="I34" s="1114">
        <f>+IFERROR(G34/ABS($E34),"")</f>
        <v>0.23404255319148937</v>
      </c>
      <c r="J34" s="1253"/>
    </row>
    <row r="35" spans="2:10">
      <c r="B35" s="740" t="s">
        <v>286</v>
      </c>
      <c r="C35" s="741">
        <v>2086887</v>
      </c>
      <c r="D35" s="741">
        <v>2421616</v>
      </c>
      <c r="E35" s="741">
        <v>1745041.5599999996</v>
      </c>
      <c r="F35" s="694">
        <f>+IFERROR($C35-D35,"")</f>
        <v>-334729</v>
      </c>
      <c r="G35" s="695">
        <f>+IFERROR($C35-E35,"")</f>
        <v>341845.44000000041</v>
      </c>
      <c r="H35" s="696">
        <f>+IFERROR(F35/ABS($D35),"")</f>
        <v>-0.13822546596983171</v>
      </c>
      <c r="I35" s="1115">
        <f>+IFERROR(G35/ABS($E35),"")</f>
        <v>0.19589530005233829</v>
      </c>
      <c r="J35" s="1254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120" t="s">
        <v>330</v>
      </c>
    </row>
    <row r="38" spans="2:10" ht="28.15" customHeight="1">
      <c r="B38" s="560" t="s">
        <v>326</v>
      </c>
      <c r="C38" s="581">
        <f>+Print_Mois!$K$194</f>
        <v>176508.71</v>
      </c>
      <c r="D38" s="581">
        <f>+Print_Mois!$E$194</f>
        <v>190219.41555462879</v>
      </c>
      <c r="E38" s="581">
        <f>+Print_Mois!$P$194</f>
        <v>167165.60999999981</v>
      </c>
      <c r="F38" s="582">
        <f t="shared" ref="F38:F47" si="8">+IFERROR($C38-D38,"")</f>
        <v>-13710.705554628803</v>
      </c>
      <c r="G38" s="583">
        <f t="shared" ref="G38:G47" si="9">+IFERROR($C38-E38,"")</f>
        <v>9343.1000000001804</v>
      </c>
      <c r="H38" s="793">
        <f t="shared" ref="H38:H47" si="10">+IFERROR(F38/ABS($D38),"")</f>
        <v>-7.2078370731252978E-2</v>
      </c>
      <c r="I38" s="1110">
        <f t="shared" ref="I38:I47" si="11">+IFERROR(G38/ABS($E38),"")</f>
        <v>5.5891280509191996E-2</v>
      </c>
      <c r="J38" s="1255" t="s">
        <v>2918</v>
      </c>
    </row>
    <row r="39" spans="2:10">
      <c r="B39" s="560" t="s">
        <v>335</v>
      </c>
      <c r="C39" s="581">
        <f>+Print_Mois!$L$194</f>
        <v>109999.12</v>
      </c>
      <c r="D39" s="581">
        <f>+Print_Mois!$F$194</f>
        <v>128027.04512800829</v>
      </c>
      <c r="E39" s="581">
        <f>+Print_Mois!$Q$194</f>
        <v>112827.52</v>
      </c>
      <c r="F39" s="582">
        <f t="shared" si="8"/>
        <v>-18027.925128008297</v>
      </c>
      <c r="G39" s="583">
        <f t="shared" si="9"/>
        <v>-2828.4000000000087</v>
      </c>
      <c r="H39" s="794">
        <f t="shared" si="10"/>
        <v>-0.14081341258780919</v>
      </c>
      <c r="I39" s="1119">
        <f t="shared" si="11"/>
        <v>-2.5068352118348507E-2</v>
      </c>
      <c r="J39" s="1253"/>
    </row>
    <row r="40" spans="2:10">
      <c r="B40" s="561" t="s">
        <v>336</v>
      </c>
      <c r="C40" s="683">
        <f>+Print_Mois!$K$172/Print_Mois!$J$172</f>
        <v>285.7878716216216</v>
      </c>
      <c r="D40" s="1031">
        <v>324</v>
      </c>
      <c r="E40" s="683">
        <f>+Print_Mois!$P$172/Print_Mois!$O$172</f>
        <v>257.81374613003095</v>
      </c>
      <c r="F40" s="684">
        <f t="shared" si="8"/>
        <v>-38.212128378378395</v>
      </c>
      <c r="G40" s="685">
        <f t="shared" si="9"/>
        <v>27.974125491590655</v>
      </c>
      <c r="H40" s="757">
        <f t="shared" si="10"/>
        <v>-0.11793866783450122</v>
      </c>
      <c r="I40" s="1111">
        <f t="shared" si="11"/>
        <v>0.10850517441952698</v>
      </c>
      <c r="J40" s="1253"/>
    </row>
    <row r="41" spans="2:10">
      <c r="B41" s="561" t="s">
        <v>337</v>
      </c>
      <c r="C41" s="683">
        <f>+Print_Mois!$K$175/Print_Mois!$J$175</f>
        <v>132.36675496688741</v>
      </c>
      <c r="D41" s="1031">
        <v>145</v>
      </c>
      <c r="E41" s="683">
        <f>+Print_Mois!$P$175/Print_Mois!$O$175</f>
        <v>136.76661111111056</v>
      </c>
      <c r="F41" s="684">
        <f t="shared" si="8"/>
        <v>-12.633245033112587</v>
      </c>
      <c r="G41" s="685">
        <f t="shared" si="9"/>
        <v>-4.3998561442231505</v>
      </c>
      <c r="H41" s="757">
        <f t="shared" si="10"/>
        <v>-8.7125827814569567E-2</v>
      </c>
      <c r="I41" s="1111">
        <f t="shared" si="11"/>
        <v>-3.2170543003720867E-2</v>
      </c>
      <c r="J41" s="1253"/>
    </row>
    <row r="42" spans="2:10">
      <c r="B42" s="561" t="s">
        <v>329</v>
      </c>
      <c r="C42" s="698">
        <f>+Print_Mois!$L$184</f>
        <v>-4926.28</v>
      </c>
      <c r="D42" s="698">
        <f>+Print_Mois!$F$184</f>
        <v>-2814.5682450903769</v>
      </c>
      <c r="E42" s="698">
        <f>+Print_Mois!$Q$184</f>
        <v>-2221.81</v>
      </c>
      <c r="F42" s="684">
        <f t="shared" si="8"/>
        <v>-2111.7117549096229</v>
      </c>
      <c r="G42" s="685">
        <f t="shared" si="9"/>
        <v>-2704.47</v>
      </c>
      <c r="H42" s="757">
        <f t="shared" si="10"/>
        <v>-0.75027910891598049</v>
      </c>
      <c r="I42" s="1111">
        <f t="shared" si="11"/>
        <v>-1.2172372975186896</v>
      </c>
      <c r="J42" s="1253"/>
    </row>
    <row r="43" spans="2:10">
      <c r="B43" s="561" t="s">
        <v>338</v>
      </c>
      <c r="C43" s="683">
        <f>+Print_Mois!$L$210</f>
        <v>52574.679999999993</v>
      </c>
      <c r="D43" s="683">
        <f>+Print_Mois!$F$210</f>
        <v>56562.816217373489</v>
      </c>
      <c r="E43" s="683">
        <f>+Print_Mois!$Q$210</f>
        <v>50489.589999999989</v>
      </c>
      <c r="F43" s="684">
        <f t="shared" si="8"/>
        <v>-3988.136217373496</v>
      </c>
      <c r="G43" s="685">
        <f t="shared" si="9"/>
        <v>2085.0900000000038</v>
      </c>
      <c r="H43" s="757">
        <f t="shared" si="10"/>
        <v>-7.0508091429657707E-2</v>
      </c>
      <c r="I43" s="1111">
        <f t="shared" si="11"/>
        <v>4.1297423884804854E-2</v>
      </c>
      <c r="J43" s="1253"/>
    </row>
    <row r="44" spans="2:10">
      <c r="B44" s="562" t="s">
        <v>339</v>
      </c>
      <c r="C44" s="683">
        <f>+SUM(Print_Mois!$L$198:$L$204)</f>
        <v>33431.899999999994</v>
      </c>
      <c r="D44" s="683">
        <f>+SUM(Print_Mois!$F$198:$F$204)</f>
        <v>32809.511043170452</v>
      </c>
      <c r="E44" s="683">
        <f>+SUM(Print_Mois!$Q$198:$Q$204)</f>
        <v>30514.449999999997</v>
      </c>
      <c r="F44" s="684">
        <f t="shared" si="8"/>
        <v>622.38895682954171</v>
      </c>
      <c r="G44" s="685">
        <f t="shared" si="9"/>
        <v>2917.4499999999971</v>
      </c>
      <c r="H44" s="757">
        <f t="shared" si="10"/>
        <v>1.896977239345652E-2</v>
      </c>
      <c r="I44" s="1111">
        <f t="shared" si="11"/>
        <v>9.5608801731638535E-2</v>
      </c>
      <c r="J44" s="1253"/>
    </row>
    <row r="45" spans="2:10">
      <c r="B45" s="562" t="s">
        <v>340</v>
      </c>
      <c r="C45" s="683">
        <f>+SUM(Print_Mois!$L$205:$L$209)</f>
        <v>19142.78</v>
      </c>
      <c r="D45" s="683">
        <f>+SUM(Print_Mois!$F$205:$F$209)</f>
        <v>23753.30517420304</v>
      </c>
      <c r="E45" s="683">
        <f>+SUM(Print_Mois!$Q$205:$Q$209)</f>
        <v>19975.14</v>
      </c>
      <c r="F45" s="684">
        <f t="shared" si="8"/>
        <v>-4610.5251742030414</v>
      </c>
      <c r="G45" s="685">
        <f t="shared" si="9"/>
        <v>-832.36000000000058</v>
      </c>
      <c r="H45" s="757">
        <f t="shared" si="10"/>
        <v>-0.19410036373423267</v>
      </c>
      <c r="I45" s="1111">
        <f t="shared" si="11"/>
        <v>-4.1669795555875987E-2</v>
      </c>
      <c r="J45" s="1253"/>
    </row>
    <row r="46" spans="2:10">
      <c r="B46" s="561" t="s">
        <v>349</v>
      </c>
      <c r="C46" s="723">
        <f>+C43/C38</f>
        <v>0.29785884220671033</v>
      </c>
      <c r="D46" s="723">
        <f>+D43/D38</f>
        <v>0.29735564086584687</v>
      </c>
      <c r="E46" s="723">
        <f>+E43/E38</f>
        <v>0.3020333548269889</v>
      </c>
      <c r="F46" s="686">
        <f t="shared" si="8"/>
        <v>5.0320134086345725E-4</v>
      </c>
      <c r="G46" s="687">
        <f t="shared" si="9"/>
        <v>-4.1745126202785698E-3</v>
      </c>
      <c r="H46" s="757">
        <f t="shared" si="10"/>
        <v>1.6922542293067798E-3</v>
      </c>
      <c r="I46" s="1111">
        <f t="shared" si="11"/>
        <v>-1.3821362950690724E-2</v>
      </c>
      <c r="J46" s="1253"/>
    </row>
    <row r="47" spans="2:10">
      <c r="B47" s="584" t="s">
        <v>120</v>
      </c>
      <c r="C47" s="699">
        <f>+Print_Mois!$L$213</f>
        <v>4922.0499999999993</v>
      </c>
      <c r="D47" s="699">
        <f>+Print_Mois!$F$213</f>
        <v>4822.7083333333339</v>
      </c>
      <c r="E47" s="699">
        <f>+Print_Mois!$Q$213</f>
        <v>6115.07</v>
      </c>
      <c r="F47" s="694">
        <f t="shared" si="8"/>
        <v>99.341666666665333</v>
      </c>
      <c r="G47" s="695">
        <f t="shared" si="9"/>
        <v>-1193.0200000000004</v>
      </c>
      <c r="H47" s="761">
        <f t="shared" si="10"/>
        <v>2.0598729966736944E-2</v>
      </c>
      <c r="I47" s="1115">
        <f t="shared" si="11"/>
        <v>-0.19509506841295365</v>
      </c>
      <c r="J47" s="1254"/>
    </row>
    <row r="48" spans="2:10">
      <c r="C48" s="697"/>
      <c r="D48" s="697"/>
      <c r="E48" s="697"/>
      <c r="F48" s="697"/>
      <c r="G48" s="697"/>
      <c r="H48" s="697"/>
      <c r="I48" s="697"/>
    </row>
    <row r="49" spans="2:10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122" t="s">
        <v>330</v>
      </c>
    </row>
    <row r="50" spans="2:10" ht="14.45" customHeight="1">
      <c r="B50" s="589" t="s">
        <v>326</v>
      </c>
      <c r="C50" s="581">
        <f>+Print_Mois!$J$314</f>
        <v>307892.45999999996</v>
      </c>
      <c r="D50" s="581">
        <f>+Print_Mois!$D$314</f>
        <v>300624.77693636785</v>
      </c>
      <c r="E50" s="581">
        <f>+Print_Mois!$O$314</f>
        <v>302658.33</v>
      </c>
      <c r="F50" s="582">
        <f t="shared" ref="F50:F59" si="12">+IFERROR($C50-D50,"")</f>
        <v>7267.6830636321101</v>
      </c>
      <c r="G50" s="583">
        <f t="shared" ref="G50:G59" si="13">+IFERROR($C50-E50,"")</f>
        <v>5234.1299999999464</v>
      </c>
      <c r="H50" s="793">
        <f t="shared" ref="H50:H59" si="14">+IFERROR(F50/ABS($D50),"")</f>
        <v>2.417526305614668E-2</v>
      </c>
      <c r="I50" s="1110">
        <f t="shared" ref="I50:I59" si="15">+IFERROR(G50/ABS($E50),"")</f>
        <v>1.7293857400190987E-2</v>
      </c>
      <c r="J50" s="1255" t="s">
        <v>2919</v>
      </c>
    </row>
    <row r="51" spans="2:10">
      <c r="B51" s="700" t="s">
        <v>327</v>
      </c>
      <c r="C51" s="683">
        <f>+Print_Mois!$J$295</f>
        <v>49147.909999999996</v>
      </c>
      <c r="D51" s="683">
        <f>+Print_Mois!$D$295</f>
        <v>50580.028154357387</v>
      </c>
      <c r="E51" s="683">
        <f>+Print_Mois!$O$295</f>
        <v>44515.22</v>
      </c>
      <c r="F51" s="684">
        <f t="shared" si="12"/>
        <v>-1432.1181543573912</v>
      </c>
      <c r="G51" s="685">
        <f t="shared" si="13"/>
        <v>4632.6899999999951</v>
      </c>
      <c r="H51" s="757">
        <f t="shared" si="14"/>
        <v>-2.8313905836250836E-2</v>
      </c>
      <c r="I51" s="1111">
        <f t="shared" si="15"/>
        <v>0.10406979904850509</v>
      </c>
      <c r="J51" s="1253"/>
    </row>
    <row r="52" spans="2:10">
      <c r="B52" s="700" t="s">
        <v>328</v>
      </c>
      <c r="C52" s="683">
        <f>+Print_Mois!$J$297</f>
        <v>37284.379999999997</v>
      </c>
      <c r="D52" s="683">
        <f>+Print_Mois!$D$297</f>
        <v>55629.304537240867</v>
      </c>
      <c r="E52" s="683">
        <f>+Print_Mois!$O$297</f>
        <v>69999.13</v>
      </c>
      <c r="F52" s="684">
        <f t="shared" si="12"/>
        <v>-18344.92453724087</v>
      </c>
      <c r="G52" s="685">
        <f t="shared" si="13"/>
        <v>-32714.750000000007</v>
      </c>
      <c r="H52" s="757">
        <f t="shared" si="14"/>
        <v>-0.32977087687587242</v>
      </c>
      <c r="I52" s="1111">
        <f t="shared" si="15"/>
        <v>-0.46735938003800914</v>
      </c>
      <c r="J52" s="1253"/>
    </row>
    <row r="53" spans="2:10">
      <c r="B53" s="700" t="s">
        <v>341</v>
      </c>
      <c r="C53" s="683">
        <f>+Print_Mois!$J$300</f>
        <v>50271.28</v>
      </c>
      <c r="D53" s="683">
        <f>+Print_Mois!$D$300</f>
        <v>49868.279633354228</v>
      </c>
      <c r="E53" s="683">
        <f>+Print_Mois!$O$300</f>
        <v>49642.34</v>
      </c>
      <c r="F53" s="684">
        <f t="shared" si="12"/>
        <v>403.00036664577055</v>
      </c>
      <c r="G53" s="685">
        <f t="shared" si="13"/>
        <v>628.94000000000233</v>
      </c>
      <c r="H53" s="757">
        <f t="shared" si="14"/>
        <v>8.0812967603603701E-3</v>
      </c>
      <c r="I53" s="1111">
        <f t="shared" si="15"/>
        <v>1.2669426944821746E-2</v>
      </c>
      <c r="J53" s="1253"/>
    </row>
    <row r="54" spans="2:10">
      <c r="B54" s="700" t="s">
        <v>342</v>
      </c>
      <c r="C54" s="683">
        <f>+Print_Mois!$J$307</f>
        <v>112823.72</v>
      </c>
      <c r="D54" s="683">
        <f>+Print_Mois!$D$307</f>
        <v>85168.853696404694</v>
      </c>
      <c r="E54" s="683">
        <f>+Print_Mois!$O$307</f>
        <v>84600.62</v>
      </c>
      <c r="F54" s="684">
        <f t="shared" si="12"/>
        <v>27654.866303595307</v>
      </c>
      <c r="G54" s="685">
        <f t="shared" si="13"/>
        <v>28223.100000000006</v>
      </c>
      <c r="H54" s="757">
        <f t="shared" si="14"/>
        <v>0.32470633457360626</v>
      </c>
      <c r="I54" s="1111">
        <f t="shared" si="15"/>
        <v>0.33360393812716749</v>
      </c>
      <c r="J54" s="1253"/>
    </row>
    <row r="55" spans="2:10">
      <c r="B55" s="700" t="s">
        <v>343</v>
      </c>
      <c r="C55" s="683">
        <f>+C50-SUM(C51:C54)</f>
        <v>58365.169999999955</v>
      </c>
      <c r="D55" s="683">
        <f>+D50-SUM(D51:D54)</f>
        <v>59378.31091501069</v>
      </c>
      <c r="E55" s="683">
        <f>+E50-SUM(E51:E54)</f>
        <v>53901.020000000019</v>
      </c>
      <c r="F55" s="684">
        <f t="shared" si="12"/>
        <v>-1013.1409150107356</v>
      </c>
      <c r="G55" s="685">
        <f t="shared" si="13"/>
        <v>4464.149999999936</v>
      </c>
      <c r="H55" s="757">
        <f t="shared" si="14"/>
        <v>-1.7062474486026786E-2</v>
      </c>
      <c r="I55" s="1111">
        <f t="shared" si="15"/>
        <v>8.2821252733249473E-2</v>
      </c>
      <c r="J55" s="1253"/>
    </row>
    <row r="56" spans="2:10">
      <c r="B56" s="560" t="s">
        <v>335</v>
      </c>
      <c r="C56" s="581">
        <f>+Print_Mois!$L$314</f>
        <v>83252.09</v>
      </c>
      <c r="D56" s="581">
        <f>+Print_Mois!$F$314</f>
        <v>94267.005987468976</v>
      </c>
      <c r="E56" s="581">
        <f>+Print_Mois!$Q$314</f>
        <v>93235.889999999883</v>
      </c>
      <c r="F56" s="582">
        <f t="shared" si="12"/>
        <v>-11014.915987468979</v>
      </c>
      <c r="G56" s="583">
        <f t="shared" si="13"/>
        <v>-9983.7999999998865</v>
      </c>
      <c r="H56" s="794">
        <f t="shared" si="14"/>
        <v>-0.11684805168134019</v>
      </c>
      <c r="I56" s="1119">
        <f t="shared" si="15"/>
        <v>-0.1070810821884137</v>
      </c>
      <c r="J56" s="1253"/>
    </row>
    <row r="57" spans="2:10">
      <c r="B57" s="561" t="s">
        <v>336</v>
      </c>
      <c r="C57" s="683">
        <f>+Print_Mois!$J$295/Print_Mois!$J$172</f>
        <v>166.04023648648646</v>
      </c>
      <c r="D57" s="1031">
        <v>301</v>
      </c>
      <c r="E57" s="683">
        <f>+Print_Mois!$O$295/Print_Mois!$O$172</f>
        <v>137.8180185758514</v>
      </c>
      <c r="F57" s="684">
        <f t="shared" si="12"/>
        <v>-134.95976351351354</v>
      </c>
      <c r="G57" s="685">
        <f t="shared" si="13"/>
        <v>28.222217910635067</v>
      </c>
      <c r="H57" s="757">
        <f t="shared" si="14"/>
        <v>-0.44837130735386554</v>
      </c>
      <c r="I57" s="1111">
        <f t="shared" si="15"/>
        <v>0.20477886855630784</v>
      </c>
      <c r="J57" s="1253"/>
    </row>
    <row r="58" spans="2:10">
      <c r="B58" s="561" t="s">
        <v>337</v>
      </c>
      <c r="C58" s="683">
        <f>+Print_Mois!$J$297/Print_Mois!$J$175</f>
        <v>246.91642384105958</v>
      </c>
      <c r="D58" s="1031">
        <v>306</v>
      </c>
      <c r="E58" s="683">
        <f>+Print_Mois!$O$297/Print_Mois!$O$175</f>
        <v>388.88405555555556</v>
      </c>
      <c r="F58" s="684">
        <f t="shared" si="12"/>
        <v>-59.083576158940417</v>
      </c>
      <c r="G58" s="685">
        <f t="shared" si="13"/>
        <v>-141.96763171449598</v>
      </c>
      <c r="H58" s="757">
        <f t="shared" si="14"/>
        <v>-0.19308358221875954</v>
      </c>
      <c r="I58" s="1111">
        <f t="shared" si="15"/>
        <v>-0.36506416163471284</v>
      </c>
      <c r="J58" s="1253"/>
    </row>
    <row r="59" spans="2:10">
      <c r="B59" s="584" t="s">
        <v>111</v>
      </c>
      <c r="C59" s="699">
        <f>+Print_Mois!$L$320</f>
        <v>14885.99</v>
      </c>
      <c r="D59" s="699">
        <f>+Print_Mois!$F$320</f>
        <v>13513.435114503816</v>
      </c>
      <c r="E59" s="699">
        <f>+Print_Mois!$Q$320</f>
        <v>11542.53</v>
      </c>
      <c r="F59" s="694">
        <f t="shared" si="12"/>
        <v>1372.5548854961835</v>
      </c>
      <c r="G59" s="695">
        <f t="shared" si="13"/>
        <v>3343.4599999999991</v>
      </c>
      <c r="H59" s="761">
        <f t="shared" si="14"/>
        <v>0.1015696507857603</v>
      </c>
      <c r="I59" s="1121">
        <f t="shared" si="15"/>
        <v>0.28966439766671598</v>
      </c>
      <c r="J59" s="1254"/>
    </row>
    <row r="61" spans="2:10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590" t="s">
        <v>330</v>
      </c>
    </row>
    <row r="62" spans="2:10" ht="29.25" customHeight="1">
      <c r="B62" s="701" t="s">
        <v>345</v>
      </c>
      <c r="C62" s="702">
        <f>+Print_Mois!$AF$433/Print_Mois!$AF$407</f>
        <v>0.3259121173082038</v>
      </c>
      <c r="D62" s="702">
        <f>+Print_Mois!$Z$433/Print_Mois!$Z$407</f>
        <v>0.32154670227375087</v>
      </c>
      <c r="E62" s="702">
        <f>+Print_Mois!$AL$433/Print_Mois!$AL$407</f>
        <v>0.3134510384417688</v>
      </c>
      <c r="F62" s="686">
        <f t="shared" ref="F62:G67" si="16">+IFERROR($C62-D62,"")</f>
        <v>4.3654150344529241E-3</v>
      </c>
      <c r="G62" s="687">
        <f t="shared" si="16"/>
        <v>1.2461078866434994E-2</v>
      </c>
      <c r="H62" s="757">
        <f t="shared" ref="H62:H67" si="17">+IFERROR(F62/ABS($D62),"")</f>
        <v>1.3576301680545303E-2</v>
      </c>
      <c r="I62" s="1111">
        <f t="shared" ref="I62:I67" si="18">+IFERROR(G62/ABS($E62),"")</f>
        <v>3.9754466689220884E-2</v>
      </c>
      <c r="J62" s="1252" t="s">
        <v>2915</v>
      </c>
    </row>
    <row r="63" spans="2:10">
      <c r="B63" s="730" t="s">
        <v>346</v>
      </c>
      <c r="C63" s="731">
        <v>22.5</v>
      </c>
      <c r="D63" s="731">
        <v>23.5</v>
      </c>
      <c r="E63" s="731">
        <v>23</v>
      </c>
      <c r="F63" s="728">
        <f t="shared" si="16"/>
        <v>-1</v>
      </c>
      <c r="G63" s="729">
        <f t="shared" si="16"/>
        <v>-0.5</v>
      </c>
      <c r="H63" s="757">
        <f t="shared" si="17"/>
        <v>-4.2553191489361701E-2</v>
      </c>
      <c r="I63" s="1111">
        <f t="shared" si="18"/>
        <v>-2.1739130434782608E-2</v>
      </c>
      <c r="J63" s="1253"/>
    </row>
    <row r="64" spans="2:10">
      <c r="B64" s="701" t="s">
        <v>332</v>
      </c>
      <c r="C64" s="683">
        <f>+Print_Mois!$AF$414+Print_Mois!$AF$434</f>
        <v>31894.160000000003</v>
      </c>
      <c r="D64" s="683">
        <f>+Print_Mois!$Z$414+Print_Mois!$Z$434</f>
        <v>31314.971021849113</v>
      </c>
      <c r="E64" s="683">
        <f>+Print_Mois!$AL$414+Print_Mois!$AL$434</f>
        <v>34449.159999999989</v>
      </c>
      <c r="F64" s="684">
        <f t="shared" si="16"/>
        <v>579.18897815089076</v>
      </c>
      <c r="G64" s="685">
        <f t="shared" si="16"/>
        <v>-2554.9999999999854</v>
      </c>
      <c r="H64" s="757">
        <f t="shared" si="17"/>
        <v>1.8495593617084253E-2</v>
      </c>
      <c r="I64" s="1111">
        <f t="shared" si="18"/>
        <v>-7.4167265616926104E-2</v>
      </c>
      <c r="J64" s="1253"/>
    </row>
    <row r="65" spans="2:10">
      <c r="B65" s="701" t="s">
        <v>348</v>
      </c>
      <c r="C65" s="683">
        <f>+Print_Mois!$AF$452-Print_Mois!$AF$434</f>
        <v>65426.579999999994</v>
      </c>
      <c r="D65" s="683">
        <f>+Print_Mois!$Z$452-Print_Mois!$Z$434</f>
        <v>64004.629500655661</v>
      </c>
      <c r="E65" s="683">
        <f>+Print_Mois!$AL$452-Print_Mois!$AL$434</f>
        <v>66013.590000000011</v>
      </c>
      <c r="F65" s="684">
        <f t="shared" si="16"/>
        <v>1421.9504993443334</v>
      </c>
      <c r="G65" s="685">
        <f t="shared" si="16"/>
        <v>-587.01000000001659</v>
      </c>
      <c r="H65" s="757">
        <f t="shared" si="17"/>
        <v>2.2216369510111248E-2</v>
      </c>
      <c r="I65" s="1111">
        <f t="shared" si="18"/>
        <v>-8.892259911936564E-3</v>
      </c>
      <c r="J65" s="1253"/>
    </row>
    <row r="66" spans="2:10">
      <c r="B66" s="701" t="s">
        <v>347</v>
      </c>
      <c r="C66" s="683">
        <f>+Print_Mois!$AF$415</f>
        <v>44625.990000000005</v>
      </c>
      <c r="D66" s="683">
        <f>+Print_Mois!$Z$415</f>
        <v>39430.945304008121</v>
      </c>
      <c r="E66" s="683">
        <f>+Print_Mois!$AL$415</f>
        <v>11653.95</v>
      </c>
      <c r="F66" s="684">
        <f t="shared" si="16"/>
        <v>5195.0446959918845</v>
      </c>
      <c r="G66" s="685">
        <f t="shared" si="16"/>
        <v>32972.040000000008</v>
      </c>
      <c r="H66" s="757">
        <f t="shared" si="17"/>
        <v>0.13175044767348787</v>
      </c>
      <c r="I66" s="1111">
        <f t="shared" si="18"/>
        <v>2.8292587491794632</v>
      </c>
      <c r="J66" s="1253"/>
    </row>
    <row r="67" spans="2:10">
      <c r="B67" s="703" t="s">
        <v>350</v>
      </c>
      <c r="C67" s="699">
        <f>+Print_Mois!$AF$481-C32-C15</f>
        <v>27619.780000000013</v>
      </c>
      <c r="D67" s="699">
        <f>+Print_Mois!$Z$481-D32-D15</f>
        <v>29729.674246153852</v>
      </c>
      <c r="E67" s="699">
        <f>+Print_Mois!$AL$481-E32-E15</f>
        <v>28224.899999999994</v>
      </c>
      <c r="F67" s="694">
        <f t="shared" si="16"/>
        <v>-2109.894246153839</v>
      </c>
      <c r="G67" s="695">
        <f t="shared" si="16"/>
        <v>-605.11999999998079</v>
      </c>
      <c r="H67" s="696">
        <f t="shared" si="17"/>
        <v>-7.0969302545479368E-2</v>
      </c>
      <c r="I67" s="1115">
        <f t="shared" si="18"/>
        <v>-2.143922564827443E-2</v>
      </c>
      <c r="J67" s="1254"/>
    </row>
    <row r="69" spans="2:10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123" t="s">
        <v>330</v>
      </c>
    </row>
    <row r="70" spans="2:10" ht="15" customHeight="1">
      <c r="B70" s="708" t="s">
        <v>1937</v>
      </c>
      <c r="C70" s="709">
        <f>+Print_Mois!$AF$419-Print_Mois!$AF$415+Print_Mois!$AF$434+Print_Mois!$AF$435+Print_Mois!$AF$436</f>
        <v>149926.31999999995</v>
      </c>
      <c r="D70" s="709">
        <f>+Print_Mois!$Z$419-Print_Mois!$Z$415+Print_Mois!$Z$434+Print_Mois!$Z$435+Print_Mois!$Z$436</f>
        <v>147374.69065282404</v>
      </c>
      <c r="E70" s="709">
        <f>+Print_Mois!$AL$419-Print_Mois!$AL$415+Print_Mois!$AL$434+Print_Mois!$AL$435+Print_Mois!$AL$436</f>
        <v>133707.56</v>
      </c>
      <c r="F70" s="710">
        <f t="shared" ref="F70:G77" si="19">+IFERROR($C70-D70,"")</f>
        <v>2551.6293471759127</v>
      </c>
      <c r="G70" s="711">
        <f t="shared" si="19"/>
        <v>16218.759999999951</v>
      </c>
      <c r="H70" s="686">
        <f t="shared" ref="H70:H77" si="20">+IFERROR(F70/ABS($D70),"")</f>
        <v>1.7313891115719994E-2</v>
      </c>
      <c r="I70" s="1114">
        <f t="shared" ref="I70:I77" si="21">+IFERROR(G70/ABS($E70),"")</f>
        <v>0.12130024659787339</v>
      </c>
      <c r="J70" s="1255" t="s">
        <v>2920</v>
      </c>
    </row>
    <row r="71" spans="2:10">
      <c r="B71" s="708" t="s">
        <v>1938</v>
      </c>
      <c r="C71" s="702">
        <f>+C70/Print_Mois!$AF$407</f>
        <v>0.31814495021035555</v>
      </c>
      <c r="D71" s="702">
        <f>+D70/Print_Mois!$Z$407</f>
        <v>0.27544655847107974</v>
      </c>
      <c r="E71" s="702">
        <f>+E70/Print_Mois!$AL$407</f>
        <v>0.27325302887023789</v>
      </c>
      <c r="F71" s="686">
        <f t="shared" si="19"/>
        <v>4.2698391739275809E-2</v>
      </c>
      <c r="G71" s="687">
        <f t="shared" si="19"/>
        <v>4.4891921340117658E-2</v>
      </c>
      <c r="H71" s="686">
        <f t="shared" si="20"/>
        <v>0.15501515784507031</v>
      </c>
      <c r="I71" s="1114">
        <f t="shared" si="21"/>
        <v>0.16428700360879031</v>
      </c>
      <c r="J71" s="1253"/>
    </row>
    <row r="72" spans="2:10">
      <c r="B72" s="708" t="s">
        <v>1939</v>
      </c>
      <c r="C72" s="683">
        <f>+Print_Mois!$AF$466+Print_Mois!$AF$433+Print_Mois!$AF$437+Print_Mois!$AF$439+SUM(Print_Mois!$AF$440:$AF$448)+Print_Mois!$AF$438</f>
        <v>273728.73</v>
      </c>
      <c r="D72" s="683">
        <f>+Print_Mois!$Z$466+Print_Mois!$Z$433+Print_Mois!$Z$437+Print_Mois!$Z$439+SUM(Print_Mois!$Z$440:$Z$448)+Print_Mois!$Z$438</f>
        <v>291532.88826357684</v>
      </c>
      <c r="E72" s="683">
        <f>+Print_Mois!$AL$466+Print_Mois!$AL$433+Print_Mois!$AL$437+Print_Mois!$AL$439+SUM(Print_Mois!$AL$440:$AL$448)+Print_Mois!$AL$438</f>
        <v>274879.97000000009</v>
      </c>
      <c r="F72" s="712">
        <f t="shared" si="19"/>
        <v>-17804.158263576857</v>
      </c>
      <c r="G72" s="713">
        <f t="shared" si="19"/>
        <v>-1151.2400000001071</v>
      </c>
      <c r="H72" s="686">
        <f>+IFERROR(F72/ABS($D72),"")</f>
        <v>-6.1070839621634725E-2</v>
      </c>
      <c r="I72" s="1114">
        <f t="shared" si="21"/>
        <v>-4.1881552882885821E-3</v>
      </c>
      <c r="J72" s="1253"/>
    </row>
    <row r="73" spans="2:10">
      <c r="B73" s="708" t="s">
        <v>1940</v>
      </c>
      <c r="C73" s="702">
        <f>+C72/Print_Mois!$AF$407</f>
        <v>0.58085473702678669</v>
      </c>
      <c r="D73" s="702">
        <f>+D72/Print_Mois!$Z$407</f>
        <v>0.54488142026032005</v>
      </c>
      <c r="E73" s="702">
        <f>+E72/Print_Mois!$AL$407</f>
        <v>0.56176168631197931</v>
      </c>
      <c r="F73" s="686">
        <f t="shared" si="19"/>
        <v>3.5973316766466645E-2</v>
      </c>
      <c r="G73" s="687">
        <f t="shared" si="19"/>
        <v>1.909305071480738E-2</v>
      </c>
      <c r="H73" s="686">
        <f t="shared" si="20"/>
        <v>6.6020450374836046E-2</v>
      </c>
      <c r="I73" s="1114">
        <f t="shared" si="21"/>
        <v>3.398781223432152E-2</v>
      </c>
      <c r="J73" s="1253"/>
    </row>
    <row r="74" spans="2:10" s="717" customFormat="1">
      <c r="B74" s="589" t="s">
        <v>1934</v>
      </c>
      <c r="C74" s="581">
        <f>+Print_Mois!$AF$483+Print_Mois!$AF$415</f>
        <v>212202.7600000003</v>
      </c>
      <c r="D74" s="581">
        <f>+Print_Mois!$Z$483+Print_Mois!$Z$415</f>
        <v>262741.76970115973</v>
      </c>
      <c r="E74" s="581">
        <f>+Print_Mois!$AL$483+Print_Mois!$AL$415</f>
        <v>223997.40999999945</v>
      </c>
      <c r="F74" s="582">
        <f t="shared" si="19"/>
        <v>-50539.009701159433</v>
      </c>
      <c r="G74" s="583">
        <f t="shared" si="19"/>
        <v>-11794.64999999915</v>
      </c>
      <c r="H74" s="794">
        <f t="shared" si="20"/>
        <v>-0.19235239893010569</v>
      </c>
      <c r="I74" s="1119">
        <f t="shared" si="21"/>
        <v>-5.2655296326860113E-2</v>
      </c>
      <c r="J74" s="1253"/>
    </row>
    <row r="75" spans="2:10">
      <c r="B75" s="561" t="s">
        <v>1941</v>
      </c>
      <c r="C75" s="714">
        <f>+C74/Print_Mois!$AF$406</f>
        <v>4.1314144571049899E-2</v>
      </c>
      <c r="D75" s="714">
        <f>+D74/Print_Mois!$Z$406</f>
        <v>5.0658244014834361E-2</v>
      </c>
      <c r="E75" s="714">
        <f>+E74/Print_Mois!$AL$406</f>
        <v>4.9563573856890614E-2</v>
      </c>
      <c r="F75" s="724">
        <f t="shared" si="19"/>
        <v>-9.3440994437844621E-3</v>
      </c>
      <c r="G75" s="725">
        <f t="shared" si="19"/>
        <v>-8.2494292858407148E-3</v>
      </c>
      <c r="H75" s="757">
        <f t="shared" si="20"/>
        <v>-0.18445367828083836</v>
      </c>
      <c r="I75" s="1111">
        <f t="shared" si="21"/>
        <v>-0.16644137304666604</v>
      </c>
      <c r="J75" s="1253"/>
    </row>
    <row r="76" spans="2:10" s="717" customFormat="1">
      <c r="B76" s="589" t="s">
        <v>1935</v>
      </c>
      <c r="C76" s="581">
        <f>+Print_Mois!$AF$498</f>
        <v>153682.18000000031</v>
      </c>
      <c r="D76" s="581">
        <f>+Print_Mois!$Z$498</f>
        <v>211234.26702010244</v>
      </c>
      <c r="E76" s="581">
        <f>+Print_Mois!$AL$498</f>
        <v>192823.45999999944</v>
      </c>
      <c r="F76" s="582">
        <f t="shared" si="19"/>
        <v>-57552.087020102132</v>
      </c>
      <c r="G76" s="583">
        <f t="shared" si="19"/>
        <v>-39141.279999999126</v>
      </c>
      <c r="H76" s="794">
        <f t="shared" si="20"/>
        <v>-0.2724562062396112</v>
      </c>
      <c r="I76" s="1119">
        <f t="shared" si="21"/>
        <v>-0.20299023780612194</v>
      </c>
      <c r="J76" s="1253"/>
    </row>
    <row r="77" spans="2:10">
      <c r="B77" s="715" t="s">
        <v>1942</v>
      </c>
      <c r="C77" s="716">
        <f>+C76/Print_Mois!$AF$406</f>
        <v>2.9920665511203141E-2</v>
      </c>
      <c r="D77" s="716">
        <f>+D76/Print_Mois!$Z$406</f>
        <v>4.0727277795114113E-2</v>
      </c>
      <c r="E77" s="716">
        <f>+E76/Print_Mois!$AL$406</f>
        <v>4.2665760291831896E-2</v>
      </c>
      <c r="F77" s="726">
        <f t="shared" si="19"/>
        <v>-1.0806612283910971E-2</v>
      </c>
      <c r="G77" s="727">
        <f t="shared" si="19"/>
        <v>-1.2745094780628755E-2</v>
      </c>
      <c r="H77" s="761">
        <f t="shared" si="20"/>
        <v>-0.26534089359656138</v>
      </c>
      <c r="I77" s="1121">
        <f t="shared" si="21"/>
        <v>-0.29871950466727593</v>
      </c>
      <c r="J77" s="125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F18" sqref="F18"/>
    </sheetView>
  </sheetViews>
  <sheetFormatPr baseColWidth="10" defaultColWidth="11" defaultRowHeight="14.25"/>
  <cols>
    <col min="1" max="1" width="11" style="1098"/>
    <col min="2" max="2" width="19.875" style="1098" customWidth="1"/>
    <col min="3" max="3" width="11.5" style="1099" customWidth="1"/>
    <col min="4" max="4" width="11.5" style="1099" hidden="1" customWidth="1"/>
    <col min="5" max="5" width="11.5" style="1099" customWidth="1"/>
    <col min="6" max="16384" width="11" style="1098"/>
  </cols>
  <sheetData>
    <row r="2" spans="2:5" ht="15" customHeight="1"/>
    <row r="3" spans="2:5" ht="21" customHeight="1">
      <c r="B3" s="1205" t="s">
        <v>1069</v>
      </c>
      <c r="C3" s="1206" t="s">
        <v>298</v>
      </c>
      <c r="D3" s="1207" t="s">
        <v>2521</v>
      </c>
      <c r="E3" s="1208" t="s">
        <v>2887</v>
      </c>
    </row>
    <row r="4" spans="2:5" ht="21" customHeight="1">
      <c r="B4" s="1209" t="s">
        <v>2888</v>
      </c>
      <c r="C4" s="1210">
        <f>Print_Mois!AF498</f>
        <v>153682.18000000031</v>
      </c>
      <c r="D4" s="1211">
        <v>578039</v>
      </c>
      <c r="E4" s="1212">
        <f>Print_AAD!AF498</f>
        <v>102319.05000000042</v>
      </c>
    </row>
    <row r="5" spans="2:5" ht="21" customHeight="1">
      <c r="B5" s="1209" t="s">
        <v>2889</v>
      </c>
      <c r="C5" s="1210">
        <f>Print_Mois!Z498</f>
        <v>211234.26702010244</v>
      </c>
      <c r="D5" s="1211">
        <v>605643</v>
      </c>
      <c r="E5" s="1212">
        <f>Print_AAD!Z498</f>
        <v>198256.24726524937</v>
      </c>
    </row>
    <row r="6" spans="2:5" ht="21" customHeight="1">
      <c r="B6" s="1209" t="s">
        <v>2520</v>
      </c>
      <c r="C6" s="1210">
        <f>Print_Mois!AL498</f>
        <v>192823.45999999944</v>
      </c>
      <c r="D6" s="1213">
        <v>591965</v>
      </c>
      <c r="E6" s="1212">
        <f>Print_AAD!AL498</f>
        <v>225792.73999999883</v>
      </c>
    </row>
    <row r="7" spans="2:5" ht="21.6" customHeight="1">
      <c r="B7" s="1214" t="s">
        <v>2890</v>
      </c>
      <c r="C7" s="1215">
        <f>Print_Mois!AF505</f>
        <v>147244</v>
      </c>
      <c r="D7" s="1213"/>
      <c r="E7" s="121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3935-7310-46B1-A479-F5BECD340EFE}">
  <sheetPr>
    <tabColor rgb="FF00B0F0"/>
    <pageSetUpPr fitToPage="1"/>
  </sheetPr>
  <dimension ref="A1:P43"/>
  <sheetViews>
    <sheetView showGridLines="0" zoomScale="80" zoomScaleNormal="80" workbookViewId="0">
      <selection activeCell="L44" sqref="L44"/>
    </sheetView>
  </sheetViews>
  <sheetFormatPr baseColWidth="10" defaultColWidth="11" defaultRowHeight="15"/>
  <cols>
    <col min="1" max="1" width="21.5" style="1043" customWidth="1"/>
    <col min="2" max="2" width="11.125" style="1043" customWidth="1"/>
    <col min="3" max="3" width="21.5" style="1043" customWidth="1"/>
    <col min="4" max="4" width="22.75" style="1046" hidden="1" customWidth="1"/>
    <col min="5" max="11" width="11.625" style="1046" customWidth="1"/>
    <col min="12" max="12" width="49.125" style="1094" customWidth="1"/>
    <col min="13" max="16384" width="11" style="1043"/>
  </cols>
  <sheetData>
    <row r="1" spans="1:16" ht="31.5">
      <c r="A1" s="1042"/>
      <c r="B1" s="1042"/>
      <c r="D1" s="1042"/>
      <c r="E1" s="1042"/>
      <c r="F1" s="1042"/>
      <c r="G1" s="1042"/>
      <c r="H1" s="1042"/>
      <c r="I1" s="1042"/>
      <c r="J1" s="1042"/>
      <c r="K1" s="1042"/>
      <c r="L1" s="1042"/>
    </row>
    <row r="2" spans="1:16" ht="21">
      <c r="A2" s="1044"/>
      <c r="B2" s="1044"/>
      <c r="D2" s="1044"/>
      <c r="E2" s="1044"/>
      <c r="F2" s="1044"/>
      <c r="G2" s="1044"/>
      <c r="H2" s="1045">
        <v>1</v>
      </c>
      <c r="I2" s="1045">
        <v>2</v>
      </c>
      <c r="J2" s="1045">
        <v>3</v>
      </c>
      <c r="K2" s="1045">
        <v>4</v>
      </c>
      <c r="L2" s="1044"/>
    </row>
    <row r="3" spans="1:16" ht="15.75" thickBot="1">
      <c r="H3" s="1047" t="s">
        <v>2367</v>
      </c>
      <c r="I3" s="1047" t="s">
        <v>2367</v>
      </c>
      <c r="J3" s="1047" t="s">
        <v>2362</v>
      </c>
      <c r="K3" s="1047" t="s">
        <v>2362</v>
      </c>
      <c r="L3" s="1043"/>
    </row>
    <row r="4" spans="1:16" s="1052" customFormat="1" ht="38.25" thickBot="1">
      <c r="A4" s="1257"/>
      <c r="B4" s="1258" t="s">
        <v>2314</v>
      </c>
      <c r="C4" s="1048" t="s">
        <v>2315</v>
      </c>
      <c r="D4" s="1049" t="s">
        <v>2316</v>
      </c>
      <c r="E4" s="1050" t="s">
        <v>2317</v>
      </c>
      <c r="F4" s="1048" t="s">
        <v>2318</v>
      </c>
      <c r="G4" s="1049" t="s">
        <v>2319</v>
      </c>
      <c r="H4" s="1050" t="s">
        <v>2363</v>
      </c>
      <c r="I4" s="1048" t="s">
        <v>2364</v>
      </c>
      <c r="J4" s="1048" t="s">
        <v>2365</v>
      </c>
      <c r="K4" s="1048" t="s">
        <v>2366</v>
      </c>
      <c r="L4" s="1051" t="s">
        <v>2332</v>
      </c>
    </row>
    <row r="5" spans="1:16" ht="30" customHeight="1" thickBot="1">
      <c r="A5" s="1257"/>
      <c r="B5" s="1259"/>
      <c r="C5" s="1260" t="s">
        <v>1996</v>
      </c>
      <c r="D5" s="1261"/>
      <c r="E5" s="1053">
        <f t="shared" ref="E5:K5" si="0">+SUM(E6:E40)</f>
        <v>244135</v>
      </c>
      <c r="F5" s="1054">
        <f t="shared" si="0"/>
        <v>87.5</v>
      </c>
      <c r="G5" s="1055">
        <f t="shared" si="0"/>
        <v>244047.5</v>
      </c>
      <c r="H5" s="1056">
        <f t="shared" si="0"/>
        <v>12136</v>
      </c>
      <c r="I5" s="1057">
        <f t="shared" si="0"/>
        <v>231999</v>
      </c>
      <c r="J5" s="1057">
        <f t="shared" si="0"/>
        <v>0</v>
      </c>
      <c r="K5" s="1057">
        <f t="shared" si="0"/>
        <v>0</v>
      </c>
      <c r="L5" s="1058"/>
      <c r="P5" s="1052" t="s">
        <v>49</v>
      </c>
    </row>
    <row r="6" spans="1:16" ht="18.75">
      <c r="A6" s="1059"/>
      <c r="B6" s="1060" t="s">
        <v>2156</v>
      </c>
      <c r="C6" s="1061" t="str">
        <f>Capex!C6</f>
        <v>Borne électrique</v>
      </c>
      <c r="D6" s="1062" t="s">
        <v>57</v>
      </c>
      <c r="E6" s="1063">
        <f>+SUM(H6:K6)</f>
        <v>145000</v>
      </c>
      <c r="F6" s="1064">
        <v>15</v>
      </c>
      <c r="G6" s="1065">
        <f>+E6-F6</f>
        <v>144985</v>
      </c>
      <c r="H6" s="1063">
        <f>Capex!H6+Capex!I6+Capex!J6</f>
        <v>0</v>
      </c>
      <c r="I6" s="1064">
        <f>Capex!K6+Capex!L6+Capex!M6</f>
        <v>145000</v>
      </c>
      <c r="J6" s="1064">
        <f>Capex!N6+Capex!O6+Capex!P6</f>
        <v>0</v>
      </c>
      <c r="K6" s="1064">
        <f>Capex!Q6+Capex!R6+Capex!S6</f>
        <v>0</v>
      </c>
      <c r="L6" s="1066">
        <f>Capex!T6</f>
        <v>0</v>
      </c>
      <c r="P6" s="1043" t="s">
        <v>51</v>
      </c>
    </row>
    <row r="7" spans="1:16" ht="30" customHeight="1">
      <c r="A7" s="1059"/>
      <c r="B7" s="1067" t="s">
        <v>2156</v>
      </c>
      <c r="C7" s="1068" t="str">
        <f>Capex!C7</f>
        <v>Mise à jour pour MSP</v>
      </c>
      <c r="D7" s="1069" t="s">
        <v>53</v>
      </c>
      <c r="E7" s="1070">
        <f t="shared" ref="E7:E12" si="1">+SUM(H7:K7)</f>
        <v>40000</v>
      </c>
      <c r="F7" s="1071">
        <v>25</v>
      </c>
      <c r="G7" s="1072">
        <f t="shared" ref="G7:G40" si="2">+E7-F7</f>
        <v>39975</v>
      </c>
      <c r="H7" s="1070">
        <f>Capex!H7+Capex!I7+Capex!J7</f>
        <v>0</v>
      </c>
      <c r="I7" s="1071">
        <f>Capex!K7+Capex!L7+Capex!M7</f>
        <v>40000</v>
      </c>
      <c r="J7" s="1071">
        <f>Capex!N7+Capex!O7+Capex!P7</f>
        <v>0</v>
      </c>
      <c r="K7" s="1071">
        <f>Capex!Q7+Capex!R7+Capex!S7</f>
        <v>0</v>
      </c>
      <c r="L7" s="1073"/>
      <c r="P7" s="1043" t="s">
        <v>53</v>
      </c>
    </row>
    <row r="8" spans="1:16" ht="55.5" customHeight="1">
      <c r="A8" s="1059"/>
      <c r="B8" s="1067" t="s">
        <v>2156</v>
      </c>
      <c r="C8" s="1068" t="str">
        <f>Capex!C8</f>
        <v>Pilon enseigne</v>
      </c>
      <c r="D8" s="1069" t="s">
        <v>57</v>
      </c>
      <c r="E8" s="1070">
        <f t="shared" si="1"/>
        <v>25000</v>
      </c>
      <c r="F8" s="1071">
        <v>12.5</v>
      </c>
      <c r="G8" s="1072">
        <f t="shared" si="2"/>
        <v>24987.5</v>
      </c>
      <c r="H8" s="1070">
        <f>Capex!H8+Capex!I8+Capex!J8</f>
        <v>0</v>
      </c>
      <c r="I8" s="1071">
        <f>Capex!K8+Capex!L8+Capex!M8</f>
        <v>25000</v>
      </c>
      <c r="J8" s="1071">
        <f>Capex!N8+Capex!O8+Capex!P8</f>
        <v>0</v>
      </c>
      <c r="K8" s="1071">
        <f>Capex!Q8+Capex!R8+Capex!S8</f>
        <v>0</v>
      </c>
      <c r="L8" s="1073"/>
      <c r="P8" s="1043" t="s">
        <v>55</v>
      </c>
    </row>
    <row r="9" spans="1:16" ht="37.5">
      <c r="A9" s="1059"/>
      <c r="B9" s="1067" t="s">
        <v>2156</v>
      </c>
      <c r="C9" s="1068" t="str">
        <f>Capex!C9</f>
        <v>Mise à niveau entreposage</v>
      </c>
      <c r="D9" s="1069" t="s">
        <v>58</v>
      </c>
      <c r="E9" s="1070">
        <f t="shared" si="1"/>
        <v>20000</v>
      </c>
      <c r="F9" s="1071">
        <v>35</v>
      </c>
      <c r="G9" s="1072">
        <f t="shared" si="2"/>
        <v>19965</v>
      </c>
      <c r="H9" s="1070">
        <f>Capex!H9+Capex!I9+Capex!J9</f>
        <v>0</v>
      </c>
      <c r="I9" s="1071">
        <f>Capex!K9+Capex!L9+Capex!M9</f>
        <v>20000</v>
      </c>
      <c r="J9" s="1071">
        <f>Capex!N9+Capex!O9+Capex!P9</f>
        <v>0</v>
      </c>
      <c r="K9" s="1071">
        <f>Capex!Q9+Capex!R9+Capex!S9</f>
        <v>0</v>
      </c>
      <c r="L9" s="1073" t="s">
        <v>2334</v>
      </c>
      <c r="P9" s="1043" t="s">
        <v>57</v>
      </c>
    </row>
    <row r="10" spans="1:16" ht="19.5" thickBot="1">
      <c r="A10" s="1059"/>
      <c r="B10" s="1074" t="s">
        <v>2333</v>
      </c>
      <c r="C10" s="1075" t="str">
        <f>Capex!C10</f>
        <v>Outils obligatoire</v>
      </c>
      <c r="D10" s="1076" t="s">
        <v>57</v>
      </c>
      <c r="E10" s="1077">
        <f t="shared" si="1"/>
        <v>10465</v>
      </c>
      <c r="F10" s="1078"/>
      <c r="G10" s="1079">
        <f t="shared" si="2"/>
        <v>10465</v>
      </c>
      <c r="H10" s="1077">
        <f>Capex!H10+Capex!I10+Capex!J10</f>
        <v>8466</v>
      </c>
      <c r="I10" s="1078">
        <f>Capex!K10+Capex!L10+Capex!M10</f>
        <v>1999</v>
      </c>
      <c r="J10" s="1078">
        <f>Capex!N10+Capex!O10+Capex!P10</f>
        <v>0</v>
      </c>
      <c r="K10" s="1078">
        <f>Capex!Q10+Capex!R10+Capex!S10</f>
        <v>0</v>
      </c>
      <c r="L10" s="1080"/>
      <c r="P10" s="1043" t="s">
        <v>58</v>
      </c>
    </row>
    <row r="11" spans="1:16" ht="30" customHeight="1" thickBot="1">
      <c r="A11" s="1059"/>
      <c r="B11" s="1074" t="s">
        <v>2333</v>
      </c>
      <c r="C11" s="1075" t="str">
        <f>Capex!C11</f>
        <v>Repeindre salle conférence</v>
      </c>
      <c r="D11" s="1076" t="s">
        <v>57</v>
      </c>
      <c r="E11" s="1077">
        <f t="shared" si="1"/>
        <v>2670</v>
      </c>
      <c r="F11" s="1078"/>
      <c r="G11" s="1079">
        <f>+E11-F11</f>
        <v>2670</v>
      </c>
      <c r="H11" s="1077">
        <f>Capex!H11+Capex!I11+Capex!J11</f>
        <v>2670</v>
      </c>
      <c r="I11" s="1078">
        <f>Capex!K11+Capex!L11+Capex!M11</f>
        <v>0</v>
      </c>
      <c r="J11" s="1078">
        <f>Capex!N11+Capex!O11+Capex!P11</f>
        <v>0</v>
      </c>
      <c r="K11" s="1078">
        <f>Capex!Q11+Capex!R11+Capex!S11</f>
        <v>0</v>
      </c>
      <c r="L11" s="1080"/>
      <c r="P11" s="1043" t="s">
        <v>59</v>
      </c>
    </row>
    <row r="12" spans="1:16" ht="64.5" customHeight="1" thickBot="1">
      <c r="A12" s="1059"/>
      <c r="B12" s="1074" t="s">
        <v>2333</v>
      </c>
      <c r="C12" s="1075" t="str">
        <f>Capex!C12</f>
        <v>Chaises salle conférence</v>
      </c>
      <c r="D12" s="1076" t="s">
        <v>57</v>
      </c>
      <c r="E12" s="1077">
        <f t="shared" si="1"/>
        <v>1000</v>
      </c>
      <c r="F12" s="1078"/>
      <c r="G12" s="1079">
        <f>+E12-F12</f>
        <v>1000</v>
      </c>
      <c r="H12" s="1077">
        <f>Capex!H12+Capex!I12+Capex!J12</f>
        <v>1000</v>
      </c>
      <c r="I12" s="1078">
        <f>Capex!K12+Capex!L12+Capex!M12</f>
        <v>0</v>
      </c>
      <c r="J12" s="1078">
        <f>Capex!N12+Capex!O12+Capex!P12</f>
        <v>0</v>
      </c>
      <c r="K12" s="1078">
        <f>Capex!Q12+Capex!R12+Capex!S12</f>
        <v>0</v>
      </c>
      <c r="L12" s="1080"/>
      <c r="P12" s="1043" t="s">
        <v>60</v>
      </c>
    </row>
    <row r="13" spans="1:16" ht="30" hidden="1" customHeight="1" thickBot="1">
      <c r="A13" s="1059"/>
      <c r="B13" s="1074" t="s">
        <v>2333</v>
      </c>
      <c r="C13" s="1075">
        <f>Capex!C13</f>
        <v>0</v>
      </c>
      <c r="D13" s="1076" t="s">
        <v>57</v>
      </c>
      <c r="E13" s="1077">
        <f>+SUM(H13:K13)</f>
        <v>0</v>
      </c>
      <c r="F13" s="1078"/>
      <c r="G13" s="1079">
        <f>+E13-F13</f>
        <v>0</v>
      </c>
      <c r="H13" s="1077">
        <f>Capex!H13+Capex!I13+Capex!J13</f>
        <v>0</v>
      </c>
      <c r="I13" s="1078">
        <f>Capex!K13+Capex!L13+Capex!M13</f>
        <v>0</v>
      </c>
      <c r="J13" s="1078">
        <f>Capex!N13+Capex!O13+Capex!P13</f>
        <v>0</v>
      </c>
      <c r="K13" s="1078">
        <f>Capex!Q13+Capex!R13+Capex!S13</f>
        <v>0</v>
      </c>
      <c r="L13" s="1080"/>
      <c r="P13" s="1043" t="s">
        <v>62</v>
      </c>
    </row>
    <row r="14" spans="1:16" ht="30" hidden="1" customHeight="1" thickBot="1">
      <c r="A14" s="1059"/>
      <c r="B14" s="1074" t="s">
        <v>2333</v>
      </c>
      <c r="C14" s="1075">
        <f>Capex!C14</f>
        <v>0</v>
      </c>
      <c r="D14" s="1076" t="s">
        <v>57</v>
      </c>
      <c r="E14" s="1077">
        <f>+SUM(H14:K14)</f>
        <v>0</v>
      </c>
      <c r="F14" s="1078"/>
      <c r="G14" s="1079">
        <f>+E14-F14</f>
        <v>0</v>
      </c>
      <c r="H14" s="1077">
        <f>Capex!H14+Capex!I14+Capex!J14</f>
        <v>0</v>
      </c>
      <c r="I14" s="1078">
        <f>Capex!K14+Capex!L14+Capex!M14</f>
        <v>0</v>
      </c>
      <c r="J14" s="1078">
        <f>Capex!N14+Capex!O14+Capex!P14</f>
        <v>0</v>
      </c>
      <c r="K14" s="1078">
        <f>Capex!Q14+Capex!R14+Capex!S14</f>
        <v>0</v>
      </c>
      <c r="L14" s="1080"/>
    </row>
    <row r="15" spans="1:16" ht="30" hidden="1" customHeight="1">
      <c r="A15" s="1059"/>
      <c r="B15" s="1081" t="s">
        <v>2333</v>
      </c>
      <c r="C15" s="1082"/>
      <c r="D15" s="1083"/>
      <c r="E15" s="1084">
        <f t="shared" ref="E15:E40" si="3">+SUM(H15:K15)</f>
        <v>0</v>
      </c>
      <c r="F15" s="1085"/>
      <c r="G15" s="1085">
        <f t="shared" si="2"/>
        <v>0</v>
      </c>
      <c r="H15" s="1084"/>
      <c r="I15" s="1085"/>
      <c r="J15" s="1085"/>
      <c r="K15" s="1085"/>
      <c r="L15" s="1086"/>
    </row>
    <row r="16" spans="1:16" ht="30" hidden="1" customHeight="1">
      <c r="A16" s="1059"/>
      <c r="B16" s="1081" t="s">
        <v>2333</v>
      </c>
      <c r="C16" s="1082"/>
      <c r="D16" s="1083"/>
      <c r="E16" s="1084">
        <f t="shared" si="3"/>
        <v>0</v>
      </c>
      <c r="F16" s="1085"/>
      <c r="G16" s="1085">
        <f t="shared" si="2"/>
        <v>0</v>
      </c>
      <c r="H16" s="1084"/>
      <c r="I16" s="1085"/>
      <c r="J16" s="1085"/>
      <c r="K16" s="1085"/>
      <c r="L16" s="1086"/>
    </row>
    <row r="17" spans="1:12" ht="30" hidden="1" customHeight="1">
      <c r="A17" s="1059"/>
      <c r="B17" s="1081" t="s">
        <v>2333</v>
      </c>
      <c r="C17" s="1082"/>
      <c r="D17" s="1083"/>
      <c r="E17" s="1084">
        <f t="shared" si="3"/>
        <v>0</v>
      </c>
      <c r="F17" s="1085"/>
      <c r="G17" s="1085">
        <f t="shared" si="2"/>
        <v>0</v>
      </c>
      <c r="H17" s="1084"/>
      <c r="I17" s="1085"/>
      <c r="J17" s="1085"/>
      <c r="K17" s="1085"/>
      <c r="L17" s="1086"/>
    </row>
    <row r="18" spans="1:12" ht="30" hidden="1" customHeight="1">
      <c r="A18" s="1059"/>
      <c r="B18" s="1081" t="s">
        <v>2333</v>
      </c>
      <c r="C18" s="1082"/>
      <c r="D18" s="1083"/>
      <c r="E18" s="1084">
        <f t="shared" si="3"/>
        <v>0</v>
      </c>
      <c r="F18" s="1085"/>
      <c r="G18" s="1085">
        <f t="shared" si="2"/>
        <v>0</v>
      </c>
      <c r="H18" s="1084"/>
      <c r="I18" s="1085"/>
      <c r="J18" s="1085"/>
      <c r="K18" s="1085"/>
      <c r="L18" s="1086"/>
    </row>
    <row r="19" spans="1:12" ht="30" hidden="1" customHeight="1">
      <c r="A19" s="1059"/>
      <c r="B19" s="1081" t="s">
        <v>2333</v>
      </c>
      <c r="C19" s="1082"/>
      <c r="D19" s="1083"/>
      <c r="E19" s="1084">
        <f t="shared" si="3"/>
        <v>0</v>
      </c>
      <c r="F19" s="1085"/>
      <c r="G19" s="1085">
        <f t="shared" si="2"/>
        <v>0</v>
      </c>
      <c r="H19" s="1084"/>
      <c r="I19" s="1085"/>
      <c r="J19" s="1085"/>
      <c r="K19" s="1085"/>
      <c r="L19" s="1086"/>
    </row>
    <row r="20" spans="1:12" ht="30" hidden="1" customHeight="1">
      <c r="A20" s="1059"/>
      <c r="B20" s="1081" t="s">
        <v>2333</v>
      </c>
      <c r="C20" s="1082"/>
      <c r="D20" s="1083"/>
      <c r="E20" s="1084">
        <f t="shared" si="3"/>
        <v>0</v>
      </c>
      <c r="F20" s="1085"/>
      <c r="G20" s="1085">
        <f t="shared" si="2"/>
        <v>0</v>
      </c>
      <c r="H20" s="1084"/>
      <c r="I20" s="1085"/>
      <c r="J20" s="1085"/>
      <c r="K20" s="1085"/>
      <c r="L20" s="1086"/>
    </row>
    <row r="21" spans="1:12" ht="30" hidden="1" customHeight="1">
      <c r="A21" s="1059"/>
      <c r="B21" s="1081" t="s">
        <v>2333</v>
      </c>
      <c r="C21" s="1082"/>
      <c r="D21" s="1083"/>
      <c r="E21" s="1084">
        <f t="shared" si="3"/>
        <v>0</v>
      </c>
      <c r="F21" s="1085"/>
      <c r="G21" s="1085">
        <f t="shared" si="2"/>
        <v>0</v>
      </c>
      <c r="H21" s="1084"/>
      <c r="I21" s="1085"/>
      <c r="J21" s="1085"/>
      <c r="K21" s="1085"/>
      <c r="L21" s="1086"/>
    </row>
    <row r="22" spans="1:12" ht="30" hidden="1" customHeight="1">
      <c r="A22" s="1059"/>
      <c r="B22" s="1081" t="s">
        <v>2333</v>
      </c>
      <c r="C22" s="1082"/>
      <c r="D22" s="1083"/>
      <c r="E22" s="1084">
        <f t="shared" si="3"/>
        <v>0</v>
      </c>
      <c r="F22" s="1085"/>
      <c r="G22" s="1085">
        <f t="shared" si="2"/>
        <v>0</v>
      </c>
      <c r="H22" s="1084"/>
      <c r="I22" s="1085"/>
      <c r="J22" s="1085"/>
      <c r="K22" s="1085"/>
      <c r="L22" s="1086"/>
    </row>
    <row r="23" spans="1:12" ht="30" hidden="1" customHeight="1">
      <c r="A23" s="1059"/>
      <c r="B23" s="1081" t="s">
        <v>2333</v>
      </c>
      <c r="C23" s="1082"/>
      <c r="D23" s="1083"/>
      <c r="E23" s="1084">
        <f t="shared" si="3"/>
        <v>0</v>
      </c>
      <c r="F23" s="1085"/>
      <c r="G23" s="1085">
        <f t="shared" si="2"/>
        <v>0</v>
      </c>
      <c r="H23" s="1084"/>
      <c r="I23" s="1085"/>
      <c r="J23" s="1085"/>
      <c r="K23" s="1085"/>
      <c r="L23" s="1086"/>
    </row>
    <row r="24" spans="1:12" ht="30" hidden="1" customHeight="1">
      <c r="A24" s="1059"/>
      <c r="B24" s="1081" t="s">
        <v>2333</v>
      </c>
      <c r="C24" s="1082"/>
      <c r="D24" s="1083"/>
      <c r="E24" s="1084">
        <f t="shared" si="3"/>
        <v>0</v>
      </c>
      <c r="F24" s="1085"/>
      <c r="G24" s="1085">
        <f t="shared" si="2"/>
        <v>0</v>
      </c>
      <c r="H24" s="1084"/>
      <c r="I24" s="1085"/>
      <c r="J24" s="1085"/>
      <c r="K24" s="1085"/>
      <c r="L24" s="1086"/>
    </row>
    <row r="25" spans="1:12" ht="30" hidden="1" customHeight="1">
      <c r="A25" s="1059"/>
      <c r="B25" s="1081" t="s">
        <v>2333</v>
      </c>
      <c r="C25" s="1082"/>
      <c r="D25" s="1083"/>
      <c r="E25" s="1084">
        <f t="shared" si="3"/>
        <v>0</v>
      </c>
      <c r="F25" s="1085"/>
      <c r="G25" s="1085">
        <f t="shared" si="2"/>
        <v>0</v>
      </c>
      <c r="H25" s="1084"/>
      <c r="I25" s="1085"/>
      <c r="J25" s="1085"/>
      <c r="K25" s="1085"/>
      <c r="L25" s="1086"/>
    </row>
    <row r="26" spans="1:12" ht="30" hidden="1" customHeight="1">
      <c r="A26" s="1059"/>
      <c r="B26" s="1081" t="s">
        <v>2333</v>
      </c>
      <c r="C26" s="1082"/>
      <c r="D26" s="1083"/>
      <c r="E26" s="1084">
        <f t="shared" si="3"/>
        <v>0</v>
      </c>
      <c r="F26" s="1085"/>
      <c r="G26" s="1085">
        <f t="shared" si="2"/>
        <v>0</v>
      </c>
      <c r="H26" s="1084"/>
      <c r="I26" s="1085"/>
      <c r="J26" s="1085"/>
      <c r="K26" s="1085"/>
      <c r="L26" s="1086"/>
    </row>
    <row r="27" spans="1:12" ht="30" hidden="1" customHeight="1">
      <c r="A27" s="1059"/>
      <c r="B27" s="1081" t="s">
        <v>2333</v>
      </c>
      <c r="C27" s="1082"/>
      <c r="D27" s="1083"/>
      <c r="E27" s="1084">
        <f t="shared" si="3"/>
        <v>0</v>
      </c>
      <c r="F27" s="1085"/>
      <c r="G27" s="1085">
        <f t="shared" si="2"/>
        <v>0</v>
      </c>
      <c r="H27" s="1084"/>
      <c r="I27" s="1085"/>
      <c r="J27" s="1085"/>
      <c r="K27" s="1085"/>
      <c r="L27" s="1086"/>
    </row>
    <row r="28" spans="1:12" ht="30" hidden="1" customHeight="1">
      <c r="A28" s="1059"/>
      <c r="B28" s="1081" t="s">
        <v>2333</v>
      </c>
      <c r="C28" s="1082"/>
      <c r="D28" s="1083"/>
      <c r="E28" s="1084">
        <f t="shared" si="3"/>
        <v>0</v>
      </c>
      <c r="F28" s="1085"/>
      <c r="G28" s="1085">
        <f t="shared" si="2"/>
        <v>0</v>
      </c>
      <c r="H28" s="1084"/>
      <c r="I28" s="1085"/>
      <c r="J28" s="1085"/>
      <c r="K28" s="1085"/>
      <c r="L28" s="1086"/>
    </row>
    <row r="29" spans="1:12" ht="30" hidden="1" customHeight="1">
      <c r="A29" s="1059"/>
      <c r="B29" s="1081" t="s">
        <v>2333</v>
      </c>
      <c r="C29" s="1082"/>
      <c r="D29" s="1083"/>
      <c r="E29" s="1084">
        <f t="shared" si="3"/>
        <v>0</v>
      </c>
      <c r="F29" s="1085"/>
      <c r="G29" s="1085">
        <f t="shared" si="2"/>
        <v>0</v>
      </c>
      <c r="H29" s="1084"/>
      <c r="I29" s="1085"/>
      <c r="J29" s="1085"/>
      <c r="K29" s="1085"/>
      <c r="L29" s="1086"/>
    </row>
    <row r="30" spans="1:12" ht="30" hidden="1" customHeight="1">
      <c r="A30" s="1059"/>
      <c r="B30" s="1081" t="s">
        <v>2333</v>
      </c>
      <c r="C30" s="1082"/>
      <c r="D30" s="1083"/>
      <c r="E30" s="1084">
        <f t="shared" si="3"/>
        <v>0</v>
      </c>
      <c r="F30" s="1085"/>
      <c r="G30" s="1085">
        <f t="shared" si="2"/>
        <v>0</v>
      </c>
      <c r="H30" s="1084"/>
      <c r="I30" s="1085"/>
      <c r="J30" s="1085"/>
      <c r="K30" s="1085"/>
      <c r="L30" s="1086"/>
    </row>
    <row r="31" spans="1:12" ht="30" hidden="1" customHeight="1">
      <c r="A31" s="1059"/>
      <c r="B31" s="1081" t="s">
        <v>2333</v>
      </c>
      <c r="C31" s="1082"/>
      <c r="D31" s="1083"/>
      <c r="E31" s="1084">
        <f t="shared" si="3"/>
        <v>0</v>
      </c>
      <c r="F31" s="1085"/>
      <c r="G31" s="1085">
        <f t="shared" si="2"/>
        <v>0</v>
      </c>
      <c r="H31" s="1084"/>
      <c r="I31" s="1085"/>
      <c r="J31" s="1085"/>
      <c r="K31" s="1085"/>
      <c r="L31" s="1086"/>
    </row>
    <row r="32" spans="1:12" ht="30" hidden="1" customHeight="1">
      <c r="A32" s="1059"/>
      <c r="B32" s="1081" t="s">
        <v>2333</v>
      </c>
      <c r="C32" s="1082"/>
      <c r="D32" s="1083"/>
      <c r="E32" s="1084">
        <f t="shared" si="3"/>
        <v>0</v>
      </c>
      <c r="F32" s="1085"/>
      <c r="G32" s="1085">
        <f t="shared" si="2"/>
        <v>0</v>
      </c>
      <c r="H32" s="1084"/>
      <c r="I32" s="1085"/>
      <c r="J32" s="1085"/>
      <c r="K32" s="1085"/>
      <c r="L32" s="1086"/>
    </row>
    <row r="33" spans="1:16" ht="30" hidden="1" customHeight="1">
      <c r="A33" s="1059"/>
      <c r="B33" s="1081" t="s">
        <v>2333</v>
      </c>
      <c r="C33" s="1082"/>
      <c r="D33" s="1083"/>
      <c r="E33" s="1084">
        <f t="shared" si="3"/>
        <v>0</v>
      </c>
      <c r="F33" s="1085"/>
      <c r="G33" s="1085">
        <f t="shared" si="2"/>
        <v>0</v>
      </c>
      <c r="H33" s="1084"/>
      <c r="I33" s="1085"/>
      <c r="J33" s="1085"/>
      <c r="K33" s="1085"/>
      <c r="L33" s="1086"/>
    </row>
    <row r="34" spans="1:16" ht="30" hidden="1" customHeight="1">
      <c r="A34" s="1059"/>
      <c r="B34" s="1081" t="s">
        <v>2333</v>
      </c>
      <c r="C34" s="1082"/>
      <c r="D34" s="1083"/>
      <c r="E34" s="1084">
        <f t="shared" si="3"/>
        <v>0</v>
      </c>
      <c r="F34" s="1085"/>
      <c r="G34" s="1085">
        <f t="shared" si="2"/>
        <v>0</v>
      </c>
      <c r="H34" s="1084"/>
      <c r="I34" s="1085"/>
      <c r="J34" s="1085"/>
      <c r="K34" s="1085"/>
      <c r="L34" s="1086"/>
    </row>
    <row r="35" spans="1:16" ht="30" hidden="1" customHeight="1">
      <c r="A35" s="1059"/>
      <c r="B35" s="1081" t="s">
        <v>2333</v>
      </c>
      <c r="C35" s="1082"/>
      <c r="D35" s="1083"/>
      <c r="E35" s="1084">
        <f t="shared" si="3"/>
        <v>0</v>
      </c>
      <c r="F35" s="1085"/>
      <c r="G35" s="1085">
        <f t="shared" si="2"/>
        <v>0</v>
      </c>
      <c r="H35" s="1084"/>
      <c r="I35" s="1085"/>
      <c r="J35" s="1085"/>
      <c r="K35" s="1085"/>
      <c r="L35" s="1086"/>
    </row>
    <row r="36" spans="1:16" ht="30" hidden="1" customHeight="1">
      <c r="A36" s="1059"/>
      <c r="B36" s="1081" t="s">
        <v>2333</v>
      </c>
      <c r="C36" s="1082"/>
      <c r="D36" s="1083"/>
      <c r="E36" s="1084">
        <f t="shared" si="3"/>
        <v>0</v>
      </c>
      <c r="F36" s="1085"/>
      <c r="G36" s="1085">
        <f t="shared" si="2"/>
        <v>0</v>
      </c>
      <c r="H36" s="1084"/>
      <c r="I36" s="1085"/>
      <c r="J36" s="1085"/>
      <c r="K36" s="1085"/>
      <c r="L36" s="1086"/>
      <c r="P36" s="1043" t="s">
        <v>2156</v>
      </c>
    </row>
    <row r="37" spans="1:16" ht="30" hidden="1" customHeight="1">
      <c r="A37" s="1059"/>
      <c r="B37" s="1081" t="s">
        <v>2333</v>
      </c>
      <c r="C37" s="1082"/>
      <c r="D37" s="1083"/>
      <c r="E37" s="1084">
        <f t="shared" si="3"/>
        <v>0</v>
      </c>
      <c r="F37" s="1085"/>
      <c r="G37" s="1085">
        <f t="shared" si="2"/>
        <v>0</v>
      </c>
      <c r="H37" s="1084"/>
      <c r="I37" s="1085"/>
      <c r="J37" s="1085"/>
      <c r="K37" s="1085"/>
      <c r="L37" s="1086"/>
      <c r="P37" s="1043" t="s">
        <v>2333</v>
      </c>
    </row>
    <row r="38" spans="1:16" ht="30" hidden="1" customHeight="1">
      <c r="A38" s="1059"/>
      <c r="B38" s="1081" t="s">
        <v>2333</v>
      </c>
      <c r="C38" s="1082"/>
      <c r="D38" s="1083"/>
      <c r="E38" s="1084">
        <f t="shared" si="3"/>
        <v>0</v>
      </c>
      <c r="F38" s="1085"/>
      <c r="G38" s="1085">
        <f t="shared" si="2"/>
        <v>0</v>
      </c>
      <c r="H38" s="1084"/>
      <c r="I38" s="1085"/>
      <c r="J38" s="1085"/>
      <c r="K38" s="1085"/>
      <c r="L38" s="1086"/>
    </row>
    <row r="39" spans="1:16" ht="30" hidden="1" customHeight="1">
      <c r="A39" s="1059"/>
      <c r="B39" s="1081" t="s">
        <v>2333</v>
      </c>
      <c r="C39" s="1082"/>
      <c r="D39" s="1083"/>
      <c r="E39" s="1084">
        <f t="shared" si="3"/>
        <v>0</v>
      </c>
      <c r="F39" s="1085"/>
      <c r="G39" s="1085">
        <f t="shared" si="2"/>
        <v>0</v>
      </c>
      <c r="H39" s="1084"/>
      <c r="I39" s="1085"/>
      <c r="J39" s="1085"/>
      <c r="K39" s="1085"/>
      <c r="L39" s="1086"/>
    </row>
    <row r="40" spans="1:16" ht="30" hidden="1" customHeight="1" thickBot="1">
      <c r="A40" s="1059"/>
      <c r="B40" s="1087" t="s">
        <v>2333</v>
      </c>
      <c r="C40" s="1088"/>
      <c r="D40" s="1089"/>
      <c r="E40" s="1090">
        <f t="shared" si="3"/>
        <v>0</v>
      </c>
      <c r="F40" s="1091"/>
      <c r="G40" s="1091">
        <f t="shared" si="2"/>
        <v>0</v>
      </c>
      <c r="H40" s="1090"/>
      <c r="I40" s="1091"/>
      <c r="J40" s="1091"/>
      <c r="K40" s="1091"/>
      <c r="L40" s="1092"/>
    </row>
    <row r="42" spans="1:16" ht="30" customHeight="1">
      <c r="C42" s="1093"/>
      <c r="D42" s="1093"/>
    </row>
    <row r="43" spans="1:16" ht="30" customHeight="1">
      <c r="C43" s="1046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P36:P37 B6:B40" xr:uid="{44AB996F-2726-4269-80C4-145143AD1C79}">
      <formula1>$P$36:$P$37</formula1>
    </dataValidation>
    <dataValidation type="list" allowBlank="1" showInputMessage="1" showErrorMessage="1" sqref="P5:P31 D6:D40" xr:uid="{D8953378-56FD-4358-9D81-FF4C9B340E83}">
      <formula1>$P$5:$P$14</formula1>
    </dataValidation>
    <dataValidation type="list" allowBlank="1" showInputMessage="1" showErrorMessage="1" sqref="T4 T6:T38" xr:uid="{1614F979-7521-421C-9E75-7BF3489C4102}">
      <formula1>$T$4:$T$38</formula1>
    </dataValidation>
  </dataValidations>
  <printOptions horizontalCentered="1"/>
  <pageMargins left="0" right="0" top="0" bottom="0" header="0" footer="0"/>
  <pageSetup scale="65" orientation="landscape" r:id="rId1"/>
  <ignoredErrors>
    <ignoredError sqref="C6:L1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Capex quart</vt:lpstr>
      <vt:lpstr>'2pager'!Impression_des_titres</vt:lpstr>
      <vt:lpstr>'2pager'!Zone_d_impression</vt:lpstr>
      <vt:lpstr>'Budget original'!Zone_d_impression</vt:lpstr>
      <vt:lpstr>Capex!Zone_d_impression</vt:lpstr>
      <vt:lpstr>'Capex quart'!Zone_d_impression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2024-05-10T17:31:18Z</cp:lastPrinted>
  <dcterms:created xsi:type="dcterms:W3CDTF">2020-10-20T13:57:48Z</dcterms:created>
  <dcterms:modified xsi:type="dcterms:W3CDTF">2024-05-10T19:38:55Z</dcterms:modified>
</cp:coreProperties>
</file>