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9D43930D-8694-43B7-84A8-823534302676}" xr6:coauthVersionLast="47" xr6:coauthVersionMax="47" xr10:uidLastSave="{00000000-0000-0000-0000-000000000000}"/>
  <bookViews>
    <workbookView xWindow="-108" yWindow="-108" windowWidth="23256" windowHeight="13896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9" i="3" l="1"/>
  <c r="AQ458" i="3"/>
  <c r="AQ443" i="3" l="1"/>
  <c r="AQ434" i="3"/>
  <c r="AQ460" i="3"/>
  <c r="AR468" i="3" l="1"/>
  <c r="S5" i="23"/>
  <c r="AR483" i="3" l="1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F402" i="3" l="1"/>
  <c r="E349" i="17"/>
  <c r="F287" i="17"/>
  <c r="AK413" i="17"/>
  <c r="Q351" i="17"/>
  <c r="Q353" i="17" s="1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" i="17" l="1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72" i="3" l="1"/>
  <c r="L112" i="3"/>
  <c r="N112" i="3" s="1"/>
  <c r="L113" i="3"/>
  <c r="N113" i="3" s="1"/>
  <c r="L31" i="3"/>
  <c r="L32" i="3"/>
  <c r="L211" i="3"/>
  <c r="L295" i="3"/>
  <c r="N295" i="3" s="1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N15" i="3" l="1"/>
  <c r="N77" i="3"/>
  <c r="Y448" i="3"/>
  <c r="AH477" i="3"/>
  <c r="AI477" i="3" s="1"/>
  <c r="N254" i="3"/>
  <c r="L266" i="3"/>
  <c r="N266" i="3" s="1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M13" i="3" l="1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F5" i="19" l="1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L402" i="3" l="1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11" i="3" l="1"/>
  <c r="AG511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<sst xmlns="http://schemas.openxmlformats.org/spreadsheetml/2006/main" count="16756" uniqueCount="2976">
  <si>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</si>
  <si>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</si>
  <si>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</si>
  <si>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</si>
  <si>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</si>
  <si>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</si>
  <si>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</si>
  <si>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</si>
  <si>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</si>
  <si>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</si>
  <si>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</si>
  <si>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</si>
  <si>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</si>
  <si>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</si>
  <si>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</si>
  <si>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</si>
  <si>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</si>
  <si>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</si>
  <si>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</si>
  <si>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</si>
  <si>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</si>
  <si>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</si>
  <si>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</si>
  <si>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</si>
  <si>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</si>
  <si>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</si>
  <si>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</si>
  <si>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</si>
  <si>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</si>
  <si>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</si>
  <si>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</si>
  <si>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</si>
  <si>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</si>
  <si>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</si>
  <si>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</si>
  <si>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</si>
  <si>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</si>
  <si>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</si>
  <si>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</si>
  <si>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</si>
  <si>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</si>
  <si>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</si>
  <si>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</si>
  <si>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</si>
  <si>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</si>
  <si>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</si>
  <si>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</si>
  <si>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</si>
  <si>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</si>
  <si>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</si>
  <si>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</si>
  <si>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</si>
  <si>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</si>
  <si>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</si>
  <si>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</si>
  <si>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</si>
  <si>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</si>
  <si>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</si>
  <si>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</si>
  <si>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</si>
  <si>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</si>
  <si>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</si>
  <si>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</si>
  <si>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</si>
  <si>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</si>
  <si>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</si>
  <si>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</si>
  <si>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</si>
  <si>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</si>
  <si>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</si>
  <si>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</si>
  <si>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</si>
  <si>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</si>
  <si>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</si>
  <si>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</si>
  <si>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</si>
  <si>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</si>
  <si>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</si>
  <si>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</si>
  <si>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</si>
  <si>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</si>
  <si>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</si>
  <si>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</si>
  <si>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</si>
  <si>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</si>
  <si>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</si>
  <si>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</si>
  <si>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</si>
  <si>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</si>
  <si>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</si>
  <si>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</si>
  <si>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</si>
  <si>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</si>
  <si>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</si>
  <si>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</si>
  <si>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</si>
  <si>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</si>
  <si>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</si>
  <si>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</si>
  <si>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</si>
  <si>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</si>
  <si>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</si>
  <si>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</si>
  <si>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</si>
  <si>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</si>
  <si>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</si>
  <si>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</si>
  <si>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</si>
  <si>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</si>
  <si>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</si>
  <si>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</si>
  <si>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</si>
  <si>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</si>
  <si>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</si>
  <si>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</si>
  <si>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</si>
  <si>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</si>
  <si>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</si>
  <si>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</si>
  <si>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</si>
  <si>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</si>
  <si>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</si>
  <si>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</si>
  <si>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</si>
  <si>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</si>
  <si>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</si>
  <si>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</si>
  <si>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</si>
  <si>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</si>
  <si>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</si>
  <si>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</si>
  <si>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</si>
  <si>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</si>
  <si>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</si>
  <si>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</si>
  <si>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</si>
  <si>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</si>
  <si>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</si>
  <si>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</si>
  <si>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</si>
  <si>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</si>
  <si>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</si>
  <si>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</si>
  <si>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</si>
  <si>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</si>
  <si>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</si>
  <si>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</si>
  <si>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</si>
  <si>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</si>
  <si>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</si>
  <si>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</si>
  <si>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</si>
  <si>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</si>
  <si>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</si>
  <si>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</si>
  <si>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</si>
  <si>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</si>
  <si>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</si>
  <si>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</si>
  <si>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</si>
  <si>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</si>
  <si>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</si>
  <si>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</si>
  <si>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</si>
  <si>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</si>
  <si>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</si>
  <si>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</si>
  <si>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</si>
  <si>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</si>
  <si>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</si>
  <si>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</si>
  <si>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</si>
  <si>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</si>
  <si>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</si>
  <si>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</si>
  <si>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</si>
  <si>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</si>
  <si>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</si>
  <si>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</si>
  <si>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</si>
  <si>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</si>
  <si>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</si>
  <si>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</si>
  <si>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</si>
  <si>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</si>
  <si>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</si>
  <si>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</si>
  <si>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</si>
  <si>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</si>
  <si>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</si>
  <si>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</si>
  <si>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</si>
  <si>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</si>
  <si>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</si>
  <si>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</si>
  <si>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</si>
  <si>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</si>
  <si>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</si>
  <si>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</si>
  <si>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</si>
  <si>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</si>
  <si>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</si>
  <si>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</si>
  <si>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</si>
  <si>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</si>
  <si>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</si>
  <si>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</si>
  <si>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</si>
  <si>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</si>
  <si>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</si>
  <si>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</si>
  <si>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</si>
  <si>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</si>
  <si>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</si>
  <si>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</si>
  <si>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</si>
  <si>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</si>
  <si>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</si>
  <si>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</si>
  <si>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</si>
  <si>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</si>
  <si>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</si>
  <si>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</si>
  <si>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</si>
  <si>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</si>
  <si>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</si>
  <si>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</si>
  <si>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</si>
  <si>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</si>
  <si>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</si>
  <si>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</si>
  <si>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</si>
  <si>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</si>
  <si>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</si>
  <si>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</si>
  <si>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</si>
  <si>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</si>
  <si>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</si>
  <si>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</si>
  <si>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</si>
  <si>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</si>
  <si>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</si>
  <si>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</si>
  <si>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</si>
  <si>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</si>
  <si>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</si>
  <si>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</si>
  <si>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</si>
  <si>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</si>
  <si>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</si>
  <si>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</si>
  <si>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</si>
  <si>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</si>
  <si>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</si>
  <si>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</si>
  <si>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</si>
  <si>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</si>
  <si>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</si>
  <si>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</si>
  <si>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</si>
  <si>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</si>
  <si>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</si>
  <si>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</si>
  <si>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</si>
  <si>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</si>
  <si>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</si>
  <si>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</si>
  <si>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</si>
  <si>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</si>
  <si>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</si>
  <si>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</si>
  <si>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</si>
  <si>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</si>
  <si>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</si>
  <si>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</si>
  <si>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</si>
  <si>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</si>
  <si>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</si>
  <si>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</si>
  <si>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</si>
  <si>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</si>
  <si>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</si>
  <si>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</si>
  <si>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</si>
  <si>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</si>
  <si>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</si>
  <si>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</si>
  <si>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</si>
  <si>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</si>
  <si>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</si>
  <si>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</si>
  <si>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</si>
  <si>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</si>
  <si>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</si>
  <si>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</si>
  <si>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</si>
  <si>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</si>
  <si>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</si>
  <si>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</si>
  <si>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</si>
  <si>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</si>
  <si>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</si>
  <si>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</si>
  <si>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</si>
  <si>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</si>
  <si>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</si>
  <si>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</si>
  <si>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</si>
  <si>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</si>
  <si>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</si>
  <si>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</si>
  <si>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</si>
  <si>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</si>
  <si>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</si>
  <si>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</si>
  <si>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</si>
  <si>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</si>
  <si>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</si>
  <si>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</si>
  <si>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</si>
  <si>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</si>
  <si>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</si>
  <si>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</si>
  <si>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</si>
  <si>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</si>
  <si>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</si>
  <si>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</si>
  <si>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</si>
  <si>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</si>
  <si>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</si>
  <si>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</si>
  <si>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</si>
  <si>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</si>
  <si>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</si>
  <si>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</si>
  <si>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</si>
  <si>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</si>
  <si>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</si>
  <si>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</si>
  <si>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</si>
  <si>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</si>
  <si>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</si>
  <si>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</si>
  <si>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</si>
  <si>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</si>
  <si>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</si>
  <si>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</si>
  <si>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</si>
  <si>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</si>
  <si>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</si>
  <si>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</si>
  <si>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</si>
  <si>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</si>
  <si>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</si>
  <si>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</si>
  <si>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</si>
  <si>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</si>
  <si>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</si>
  <si>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</si>
  <si>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</si>
  <si>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</si>
  <si>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</si>
  <si>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</si>
  <si>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</si>
  <si>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</si>
  <si>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</si>
  <si>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</si>
  <si>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</si>
  <si>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</si>
  <si>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</si>
  <si>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</si>
  <si>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</si>
  <si>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</si>
  <si>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</si>
  <si>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</si>
  <si>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</si>
  <si>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</si>
  <si>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</si>
  <si>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</si>
  <si>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</si>
  <si>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</si>
  <si>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</si>
  <si>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</si>
  <si>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</si>
  <si>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</si>
  <si>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</si>
  <si>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</si>
  <si>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</si>
  <si>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</si>
  <si>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</si>
  <si>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</si>
  <si>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</si>
  <si>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</si>
  <si>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</si>
  <si>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</si>
  <si>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</si>
  <si>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</si>
  <si>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</si>
  <si>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</si>
  <si>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</si>
  <si>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</si>
  <si>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</si>
  <si>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</si>
  <si>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</si>
  <si>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</si>
  <si>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</si>
  <si>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</si>
  <si>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</si>
  <si>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</si>
  <si>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</si>
  <si>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</si>
  <si>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</si>
  <si>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</si>
  <si>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</si>
  <si>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</si>
  <si>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</si>
  <si>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</si>
  <si>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</si>
  <si>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</si>
  <si>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</si>
  <si>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</si>
  <si>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</si>
  <si>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</si>
  <si>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</si>
  <si>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</si>
  <si>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</si>
  <si>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</si>
  <si>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</si>
  <si>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</si>
  <si>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</si>
  <si>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</si>
  <si>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</si>
  <si>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</si>
  <si>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</si>
  <si>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</si>
  <si>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</si>
  <si>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</si>
  <si>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</si>
  <si>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</si>
  <si>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</si>
  <si>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</si>
  <si>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</si>
  <si>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</si>
  <si>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</si>
  <si>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</si>
  <si>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</si>
  <si>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</si>
  <si>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</si>
  <si>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</si>
  <si>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</si>
  <si>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</si>
  <si>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</si>
  <si>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</si>
  <si>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</si>
  <si>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</si>
  <si>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</si>
  <si>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</si>
  <si>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</si>
  <si>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</si>
  <si>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</si>
  <si>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</si>
  <si>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</si>
  <si>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</si>
  <si>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</si>
  <si>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</si>
  <si>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</si>
  <si>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</si>
  <si>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</si>
  <si>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</si>
  <si>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</si>
  <si>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</si>
  <si>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</si>
  <si>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</si>
  <si>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</si>
  <si>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</si>
  <si>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</si>
  <si>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</si>
  <si>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</si>
  <si>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</si>
  <si>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</si>
  <si>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</si>
  <si>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</si>
  <si>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</si>
  <si>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</si>
  <si>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</si>
  <si>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</si>
  <si>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</si>
  <si>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</si>
  <si>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</si>
  <si>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</si>
  <si>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</si>
  <si>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</si>
  <si>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</si>
  <si>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</si>
  <si>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</si>
  <si>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</si>
  <si>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</si>
  <si>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</si>
  <si>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</si>
  <si>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</si>
  <si>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</si>
  <si>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</si>
  <si>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</si>
  <si>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</si>
  <si>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</si>
  <si>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</si>
  <si>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</si>
  <si>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</si>
  <si>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</si>
  <si>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</si>
  <si>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</si>
  <si>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</si>
  <si>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</si>
  <si>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</si>
  <si>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</si>
  <si>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</si>
  <si>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</si>
  <si>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</si>
  <si>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</si>
  <si>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</si>
  <si>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</si>
  <si>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</si>
  <si>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</si>
  <si>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</si>
  <si>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</si>
  <si>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</si>
  <si>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</si>
  <si>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</si>
  <si>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</si>
  <si>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</si>
  <si>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</si>
  <si>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</si>
  <si>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</si>
  <si>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</si>
  <si>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</si>
  <si>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</si>
  <si>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</si>
  <si>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</si>
  <si>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</si>
  <si>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</si>
  <si>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</si>
  <si>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</si>
  <si>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</si>
  <si>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</si>
  <si>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</si>
  <si>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</si>
  <si>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</si>
  <si>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</si>
  <si>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</si>
  <si>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</si>
  <si>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</si>
  <si>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</si>
  <si>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</si>
  <si>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</si>
  <si>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</si>
  <si>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</si>
  <si>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</si>
  <si>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</si>
  <si>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</si>
  <si>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</si>
  <si>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</si>
  <si>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</si>
  <si>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</si>
  <si>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</si>
  <si>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</si>
  <si>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</si>
  <si>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</si>
  <si>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</si>
  <si>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</si>
  <si>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</si>
  <si>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</si>
  <si>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</si>
  <si>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</si>
  <si>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</si>
  <si>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</si>
  <si>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</si>
  <si>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</si>
  <si>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</si>
  <si>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</si>
  <si>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</si>
  <si>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</si>
  <si>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</si>
  <si>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</si>
  <si>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</si>
  <si>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</si>
  <si>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</si>
  <si>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</si>
  <si>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</si>
  <si>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</si>
  <si>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</si>
  <si>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</si>
  <si>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</si>
  <si>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</si>
  <si>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</si>
  <si>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</si>
  <si>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</si>
  <si>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</si>
  <si>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</si>
  <si>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</si>
  <si>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</si>
  <si>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</si>
  <si>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</si>
  <si>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</si>
  <si>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</si>
  <si>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</si>
  <si>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</si>
  <si>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</si>
  <si>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</si>
  <si>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</si>
  <si>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</si>
  <si>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</si>
  <si>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</si>
  <si>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</si>
  <si>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</si>
  <si>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</si>
  <si>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</si>
  <si>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</si>
  <si>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</si>
  <si>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</si>
  <si>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</si>
  <si>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</si>
  <si>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</si>
  <si>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</si>
  <si>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</si>
  <si>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</si>
  <si>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</si>
  <si>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</si>
  <si>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</si>
  <si>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</si>
  <si>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</si>
  <si>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</si>
  <si>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</si>
  <si>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</si>
  <si>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</si>
  <si>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</si>
  <si>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</si>
  <si>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</si>
  <si>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</si>
  <si>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</si>
  <si>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</si>
  <si>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</si>
  <si>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</si>
  <si>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</si>
  <si>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</si>
  <si>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</si>
  <si>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</si>
  <si>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</si>
  <si>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</si>
  <si>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</si>
  <si>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</si>
  <si>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</si>
  <si>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</si>
  <si>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</si>
  <si>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</si>
  <si>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</si>
  <si>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</si>
  <si>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</si>
  <si>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</si>
  <si>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</si>
  <si>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</si>
  <si>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</si>
  <si>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</si>
  <si>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</si>
  <si>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</si>
  <si>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</si>
  <si>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</si>
  <si>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</si>
  <si>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</si>
  <si>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</si>
  <si>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</si>
  <si>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</si>
  <si>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</si>
  <si>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</si>
  <si>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</si>
  <si>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</si>
  <si>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</si>
  <si>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</si>
  <si>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</si>
  <si>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</si>
  <si>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</si>
  <si>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</si>
  <si>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</si>
  <si>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</si>
  <si>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</si>
  <si>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</si>
  <si>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</si>
  <si>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</si>
  <si>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</si>
  <si>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</si>
  <si>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</si>
  <si>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</si>
  <si>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</si>
  <si>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</si>
  <si>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</si>
  <si>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</si>
  <si>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</si>
  <si>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</si>
  <si>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</si>
  <si>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</si>
  <si>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</si>
  <si>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</si>
  <si>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</si>
  <si>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</si>
  <si>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</si>
  <si>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</si>
  <si>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</si>
  <si>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</si>
  <si>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</si>
  <si>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</si>
  <si>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</si>
  <si>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</si>
  <si>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</si>
  <si>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</si>
  <si>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</si>
  <si>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</si>
  <si>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</si>
  <si>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</si>
  <si>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</si>
  <si>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</si>
  <si>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</si>
  <si>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</si>
  <si>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</si>
  <si>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</si>
  <si>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</si>
  <si>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</si>
  <si>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</si>
  <si>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</si>
  <si>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</si>
  <si>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</si>
  <si>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</si>
  <si>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</si>
  <si>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</si>
  <si>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</si>
  <si>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</si>
  <si>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</si>
  <si>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</si>
  <si>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</si>
  <si>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</si>
  <si>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</si>
  <si>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</si>
  <si>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</si>
  <si>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</si>
  <si>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</si>
  <si>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</si>
  <si>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</si>
  <si>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</si>
  <si>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</si>
  <si>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</si>
  <si>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</si>
  <si>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</si>
  <si>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</si>
  <si>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</si>
  <si>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</si>
  <si>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</si>
  <si>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</si>
  <si>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</si>
  <si>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</si>
  <si>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</si>
  <si>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</si>
  <si>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</si>
  <si>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</si>
  <si>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</si>
  <si>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</si>
  <si>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</si>
  <si>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</si>
  <si>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</si>
  <si>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</si>
  <si>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</si>
  <si>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</si>
  <si>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</si>
  <si>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</si>
  <si>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</si>
  <si>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</si>
  <si>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</si>
  <si>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</si>
  <si>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</si>
  <si>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</si>
  <si>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</si>
  <si>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</si>
  <si>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</si>
  <si>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</si>
  <si>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</si>
  <si>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</si>
  <si>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</si>
  <si>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</si>
  <si>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</si>
  <si>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</si>
  <si>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</si>
  <si>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</si>
  <si>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</si>
  <si>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</si>
  <si>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</si>
  <si>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</si>
  <si>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</si>
  <si>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</si>
  <si>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</si>
  <si>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</si>
  <si>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</si>
  <si>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</si>
  <si>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</si>
  <si>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</si>
  <si>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</si>
  <si>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</si>
  <si>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</si>
  <si>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</si>
  <si>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</si>
  <si>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</si>
  <si>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</si>
  <si>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</si>
  <si>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</si>
  <si>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</si>
  <si>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</si>
  <si>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</si>
  <si>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</si>
  <si>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</si>
  <si>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</si>
  <si>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</si>
  <si>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</si>
  <si>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</si>
  <si>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</si>
  <si>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</si>
  <si>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</si>
  <si>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</si>
  <si>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</si>
  <si>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</si>
  <si>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</si>
  <si>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</si>
  <si>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</si>
  <si>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</si>
  <si>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</si>
  <si>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</si>
  <si>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</si>
  <si>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</si>
  <si>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</si>
  <si>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</si>
  <si>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</si>
  <si>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</si>
  <si>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</si>
  <si>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</si>
  <si>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</si>
  <si>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</si>
  <si>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</si>
  <si>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</si>
  <si>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</si>
  <si>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</si>
  <si>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</si>
  <si>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</si>
  <si>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</si>
  <si>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</si>
  <si>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</si>
  <si>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</si>
  <si>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</si>
  <si>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</si>
  <si>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</si>
  <si>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</si>
  <si>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</si>
  <si>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</si>
  <si>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</si>
  <si>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</si>
  <si>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</si>
  <si>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</si>
  <si>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</si>
  <si>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</si>
  <si>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</si>
  <si>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</si>
  <si>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</si>
  <si>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</si>
  <si>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</si>
  <si>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</si>
  <si>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</si>
  <si>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</si>
  <si>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</si>
  <si>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</si>
  <si>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</si>
  <si>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</si>
  <si>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</si>
  <si>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</si>
  <si>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</si>
  <si>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</si>
  <si>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</si>
  <si>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</si>
  <si>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</si>
  <si>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</si>
  <si>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</si>
  <si>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</si>
  <si>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</si>
  <si>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</si>
  <si>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</si>
  <si>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</si>
  <si>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</si>
  <si>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</si>
  <si>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</si>
  <si>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</si>
  <si>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</si>
  <si>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</si>
  <si>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</si>
  <si>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</si>
  <si>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</si>
  <si>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</si>
  <si>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</si>
  <si>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</si>
  <si>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</si>
  <si>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</si>
  <si>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</si>
  <si>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</si>
  <si>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</si>
  <si>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</si>
  <si>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</si>
  <si>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</si>
  <si>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</si>
  <si>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</si>
  <si>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</si>
  <si>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</si>
  <si>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</si>
  <si>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</si>
  <si>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</si>
  <si>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</si>
  <si>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</si>
  <si>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</si>
  <si>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</si>
  <si>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</si>
  <si>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</si>
  <si>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</si>
  <si>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</si>
  <si>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</si>
  <si>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</si>
  <si>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</si>
  <si>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</si>
  <si>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</si>
  <si>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</si>
  <si>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</si>
  <si>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</si>
  <si>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</si>
  <si>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</si>
  <si>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</si>
  <si>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</si>
  <si>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</si>
  <si>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</si>
  <si>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</si>
  <si>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</si>
  <si>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</si>
  <si>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</si>
  <si>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</si>
  <si>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</si>
  <si>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</si>
  <si>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</si>
  <si>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</si>
  <si>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</si>
  <si>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</si>
  <si>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</si>
  <si>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</si>
  <si>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</si>
  <si>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</si>
  <si>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</si>
  <si>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</si>
  <si>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</si>
  <si>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</si>
  <si>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</si>
  <si>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</si>
  <si>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</si>
  <si>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</si>
  <si>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</si>
  <si>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</si>
  <si>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</si>
  <si>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</si>
  <si>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</si>
  <si>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</si>
  <si>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</si>
  <si>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</si>
  <si>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</si>
  <si>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</si>
  <si>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</si>
  <si>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</si>
  <si>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</si>
  <si>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</si>
  <si>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</si>
  <si>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</si>
  <si>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</si>
  <si>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</si>
  <si>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</si>
  <si>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</si>
  <si>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</si>
  <si>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</si>
  <si>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</si>
  <si>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</si>
  <si>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</si>
  <si>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</si>
  <si>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</si>
  <si>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</si>
  <si>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</si>
  <si>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</si>
  <si>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</si>
  <si>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</si>
  <si>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</si>
  <si>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</si>
  <si>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</si>
  <si>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</si>
  <si>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</si>
  <si>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</si>
  <si>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</si>
  <si>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</si>
  <si>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</si>
  <si>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</si>
  <si>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</si>
  <si>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</si>
  <si>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</si>
  <si>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</si>
  <si>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</si>
  <si>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</si>
  <si>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</si>
  <si>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</si>
  <si>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</si>
  <si>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</si>
  <si>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</si>
  <si>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</si>
  <si>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</si>
  <si>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</si>
  <si>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</si>
  <si>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</si>
  <si>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</si>
  <si>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</si>
  <si>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</si>
  <si>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</si>
  <si>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</si>
  <si>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</si>
  <si>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</si>
  <si>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</si>
  <si>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</si>
  <si>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</si>
  <si>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</si>
  <si>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</si>
  <si>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</si>
  <si>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</si>
  <si>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</si>
  <si>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</si>
  <si>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</si>
  <si>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</si>
  <si>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</si>
  <si>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</si>
  <si>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</si>
  <si>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</si>
  <si>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</si>
  <si>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</si>
  <si>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</si>
  <si>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</si>
  <si>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</si>
  <si>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</si>
  <si>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</si>
  <si>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</si>
  <si>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</si>
  <si>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</si>
  <si>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</si>
  <si>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</si>
  <si>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</si>
  <si>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</si>
  <si>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</si>
  <si>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</si>
  <si>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</si>
  <si>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</si>
  <si>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</si>
  <si>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</si>
  <si>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</si>
  <si>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</si>
  <si>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</si>
  <si>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</si>
  <si>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</si>
  <si>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</si>
  <si>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</si>
  <si>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</si>
  <si>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</si>
  <si>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</si>
  <si>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</si>
  <si>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</si>
  <si>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</si>
  <si>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</si>
  <si>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</si>
  <si>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</si>
  <si>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</si>
  <si>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</si>
  <si>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</si>
  <si>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</si>
  <si>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</si>
  <si>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</si>
  <si>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</si>
  <si>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</si>
  <si>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</si>
  <si>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</si>
  <si>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</si>
  <si>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</si>
  <si>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</si>
  <si>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</si>
  <si>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</si>
  <si>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</si>
  <si>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</si>
  <si>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</si>
  <si>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</si>
  <si>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</si>
  <si>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</si>
  <si>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</si>
  <si>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</si>
  <si>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</si>
  <si>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</si>
  <si>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</si>
  <si>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</si>
  <si>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</si>
  <si>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</si>
  <si>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</si>
  <si>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</si>
  <si>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</si>
  <si>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</si>
  <si>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</si>
  <si>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</si>
  <si>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</si>
  <si>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</si>
  <si>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</si>
  <si>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</si>
  <si>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</si>
  <si>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</si>
  <si>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</si>
  <si>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</si>
  <si>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</si>
  <si>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</si>
  <si>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</si>
  <si>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</si>
  <si>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</si>
  <si>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</si>
  <si>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</si>
  <si>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</si>
  <si>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</si>
  <si>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</si>
  <si>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</si>
  <si>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</si>
  <si>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</si>
  <si>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</si>
  <si>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</si>
  <si>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</si>
  <si>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</si>
  <si>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</si>
  <si>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</si>
  <si>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</si>
  <si>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</si>
  <si>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</si>
  <si>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</si>
  <si>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</si>
  <si>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</si>
  <si>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</si>
  <si>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</si>
  <si>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</si>
  <si>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</si>
  <si>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</si>
  <si>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</si>
  <si>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</si>
  <si>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</si>
  <si>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</si>
  <si>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</si>
  <si>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</si>
  <si>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</si>
  <si>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</si>
  <si>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</si>
  <si>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</si>
  <si>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</si>
  <si>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</si>
  <si>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</si>
  <si>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</si>
  <si>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</si>
  <si>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</si>
  <si>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</si>
  <si>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</si>
  <si>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</si>
  <si>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</si>
  <si>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</si>
  <si>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</si>
  <si>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</si>
  <si>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</si>
  <si>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</si>
  <si>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</si>
  <si>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</si>
  <si>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</si>
  <si>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</si>
  <si>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</si>
  <si>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</si>
  <si>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</si>
  <si>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</si>
  <si>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</si>
  <si>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</si>
  <si>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</si>
  <si>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</si>
  <si>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</si>
  <si>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</si>
  <si>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</si>
  <si>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</si>
  <si>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</si>
  <si>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</si>
  <si>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</si>
  <si>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</si>
  <si>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</si>
  <si>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</si>
  <si>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</si>
  <si>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</si>
  <si>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</si>
  <si>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</si>
  <si>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</si>
  <si>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</si>
  <si>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</si>
  <si>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</si>
  <si>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</si>
  <si>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</si>
  <si>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</si>
  <si>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</si>
  <si>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</si>
  <si>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</si>
  <si>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</si>
  <si>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</si>
  <si>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</si>
  <si>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</si>
  <si>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</si>
  <si>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</si>
  <si>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</si>
  <si>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</si>
  <si>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</si>
  <si>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</si>
  <si>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</si>
  <si>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</si>
  <si>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</si>
  <si>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</si>
  <si>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</si>
  <si>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</si>
  <si>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</si>
  <si>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</si>
  <si>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</si>
  <si>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</si>
  <si>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</si>
  <si>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</si>
  <si>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</si>
  <si>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</si>
  <si>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</si>
  <si>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</si>
  <si>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</si>
  <si>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</si>
  <si>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</si>
  <si>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</si>
  <si>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</si>
  <si>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</si>
  <si>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</si>
  <si>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</si>
  <si>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</si>
  <si>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</si>
  <si>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</si>
  <si>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</si>
  <si>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</si>
  <si>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</si>
  <si>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</si>
  <si>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</si>
  <si>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</si>
  <si>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</si>
  <si>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</si>
  <si>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</si>
  <si>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</si>
  <si>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</si>
  <si>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</si>
  <si>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</si>
  <si>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</si>
  <si>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</si>
  <si>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</si>
  <si>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</si>
  <si>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</si>
  <si>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</si>
  <si>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</si>
  <si>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</si>
  <si>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</si>
  <si>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</si>
  <si>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</si>
  <si>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</si>
  <si>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</si>
  <si>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</si>
  <si>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</si>
  <si>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</si>
  <si>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</si>
  <si>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</si>
  <si>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</si>
  <si>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</si>
  <si>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</si>
  <si>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</si>
  <si>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</si>
  <si>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</si>
  <si>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</si>
  <si>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</si>
  <si>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</si>
  <si>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</si>
  <si>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</si>
  <si>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</si>
  <si>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</si>
  <si>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</si>
  <si>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</si>
  <si>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</si>
  <si>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</si>
  <si>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</si>
  <si>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</si>
  <si>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</si>
  <si>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</si>
  <si>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</si>
  <si>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</si>
  <si>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</si>
  <si>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</si>
  <si>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</si>
  <si>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</si>
  <si>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</si>
  <si>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</si>
  <si>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</si>
  <si>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</si>
  <si>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</si>
  <si>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</si>
  <si>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</si>
  <si>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</si>
  <si>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</si>
  <si>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</si>
  <si>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</si>
  <si>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</si>
  <si>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</si>
  <si>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</si>
  <si>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</si>
  <si>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</si>
  <si>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</si>
  <si>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</si>
  <si>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</si>
  <si>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</si>
  <si>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</si>
  <si>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</si>
  <si>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</si>
  <si>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</si>
  <si>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</si>
  <si>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</si>
  <si>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</si>
  <si>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</si>
  <si>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</si>
  <si>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</si>
  <si>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</si>
  <si>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</si>
  <si>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</si>
  <si>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</si>
  <si>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</si>
  <si>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</si>
  <si>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</si>
  <si>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</si>
  <si>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</si>
  <si>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</si>
  <si>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</si>
  <si>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</si>
  <si>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</si>
  <si>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</si>
  <si>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</si>
  <si>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</si>
  <si>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</si>
  <si>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</si>
  <si>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</si>
  <si>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</si>
  <si>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</si>
  <si>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</si>
  <si>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</si>
  <si>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</si>
  <si>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</si>
  <si>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</si>
  <si>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</si>
  <si>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</si>
  <si>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</si>
  <si>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</si>
  <si>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</si>
  <si>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</si>
  <si>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</si>
  <si>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</si>
  <si>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</si>
  <si>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</si>
  <si>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</si>
  <si>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</si>
  <si>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</si>
  <si>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</si>
  <si>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</si>
  <si>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</si>
  <si>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</si>
  <si>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</si>
  <si>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</si>
  <si>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</si>
  <si>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</si>
  <si>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</si>
  <si>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</si>
  <si>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</si>
  <si>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</si>
  <si>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</si>
  <si>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</si>
  <si>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</si>
  <si>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</si>
  <si>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</si>
  <si>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</si>
  <si>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</si>
  <si>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</si>
  <si>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</si>
  <si>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</si>
  <si>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</si>
  <si>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</si>
  <si>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</si>
  <si>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</si>
  <si>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</si>
  <si>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</si>
  <si>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</si>
  <si>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</si>
  <si>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</si>
  <si>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</si>
  <si>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</si>
  <si>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</si>
  <si>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</si>
  <si>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</si>
  <si>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</si>
  <si>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</si>
  <si>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</si>
  <si>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</si>
  <si>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</si>
  <si>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</si>
  <si>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</si>
  <si>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</si>
  <si>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</si>
  <si>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</si>
  <si>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</si>
  <si>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</si>
  <si>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</si>
  <si>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</si>
  <si>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</si>
  <si>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</si>
  <si>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</si>
  <si>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</si>
  <si>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</si>
  <si>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</si>
  <si>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</si>
  <si>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</si>
  <si>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</si>
  <si>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</si>
  <si>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</si>
  <si>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</si>
  <si>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</si>
  <si>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</si>
  <si>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</si>
  <si>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</si>
  <si>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</si>
  <si>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</si>
  <si>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</si>
  <si>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</si>
  <si>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</si>
  <si>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</si>
  <si>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</si>
  <si>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</si>
  <si>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</si>
  <si>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</si>
  <si>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</si>
  <si>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</si>
  <si>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</si>
  <si>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</si>
  <si>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</si>
  <si>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</si>
  <si>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</si>
  <si>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</si>
  <si>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</si>
  <si>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</si>
  <si>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</si>
  <si>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</si>
  <si>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</si>
  <si>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</si>
  <si>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</si>
  <si>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</si>
  <si>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</si>
  <si>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</si>
  <si>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</si>
  <si>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</si>
  <si>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</si>
  <si>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</si>
  <si>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</si>
  <si>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</si>
  <si>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</si>
  <si>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</si>
  <si>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</si>
  <si>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</si>
  <si>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</si>
  <si>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</si>
  <si>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</si>
  <si>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</si>
  <si>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</si>
  <si>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</si>
  <si>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</si>
  <si>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</si>
  <si>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</si>
  <si>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</si>
  <si>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</si>
  <si>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</si>
  <si>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</si>
  <si>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</si>
  <si>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</si>
  <si>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</si>
  <si>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</si>
  <si>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</si>
  <si>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</si>
  <si>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</si>
  <si>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</si>
  <si>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</si>
  <si>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</si>
  <si>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</si>
  <si>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</si>
  <si>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</si>
  <si>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</si>
  <si>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</si>
  <si>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</si>
  <si>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</si>
  <si>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</si>
  <si>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</si>
  <si>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</si>
  <si>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</si>
  <si>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</si>
  <si>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</si>
  <si>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</si>
  <si>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</si>
  <si>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</si>
  <si>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</si>
  <si>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</si>
  <si>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</si>
  <si>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</si>
  <si>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</si>
  <si>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</si>
  <si>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</si>
  <si>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</si>
  <si>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</si>
  <si>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</si>
  <si>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</si>
  <si>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</si>
  <si>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</si>
  <si>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</si>
  <si>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</si>
  <si>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</si>
  <si>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</si>
  <si>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</si>
  <si>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</si>
  <si>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</si>
  <si>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</si>
  <si>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</si>
  <si>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</si>
  <si>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</si>
  <si>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</si>
  <si>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</si>
  <si>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</si>
  <si>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</si>
  <si>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</si>
  <si>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</si>
  <si>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</si>
  <si>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</si>
  <si>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</si>
  <si>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</si>
  <si>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</si>
  <si>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</si>
  <si>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</si>
  <si>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</si>
  <si>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</si>
  <si>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</si>
  <si>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</si>
  <si>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</si>
  <si>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</si>
  <si>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</si>
  <si>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</si>
  <si>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</si>
  <si>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</si>
  <si>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</si>
  <si>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</si>
  <si>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</si>
  <si>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</si>
  <si>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</si>
  <si>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</si>
  <si>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</si>
  <si>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</si>
  <si>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</si>
  <si>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</si>
  <si>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</si>
  <si>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</si>
  <si>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</si>
  <si>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</si>
  <si>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</si>
  <si>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</si>
  <si>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</si>
  <si>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</si>
  <si>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</si>
  <si>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</si>
  <si>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</si>
  <si>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</si>
  <si>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</si>
  <si>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</si>
  <si>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</si>
  <si>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</si>
  <si>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</si>
  <si>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</si>
  <si>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</si>
  <si>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</si>
  <si>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</si>
  <si>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</si>
  <si>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</si>
  <si>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</si>
  <si>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</si>
  <si>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</si>
  <si>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</si>
  <si>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</si>
  <si>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</si>
  <si>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</si>
  <si>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</si>
  <si>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</si>
  <si>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</si>
  <si>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</si>
  <si>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</si>
  <si>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</si>
  <si>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</si>
  <si>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</si>
  <si>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</si>
  <si>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</si>
  <si>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</si>
  <si>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</si>
  <si>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</si>
  <si>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</si>
  <si>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</si>
  <si>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</si>
  <si>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</si>
  <si>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</si>
  <si>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</si>
  <si>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</si>
  <si>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</si>
  <si>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</si>
  <si>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</si>
  <si>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</si>
  <si>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</si>
  <si>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</si>
  <si>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</si>
  <si>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</si>
  <si>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</si>
  <si>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</si>
  <si>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</si>
  <si>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</si>
  <si>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</si>
  <si>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</si>
  <si>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</si>
  <si>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</si>
  <si>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</si>
  <si>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</si>
  <si>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</si>
  <si>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</si>
  <si>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</si>
  <si>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</si>
  <si>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</si>
  <si>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</si>
  <si>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</si>
  <si>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</si>
  <si>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</si>
  <si>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</si>
  <si>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</si>
  <si>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</si>
  <si>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</si>
  <si>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</si>
  <si>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</si>
  <si>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</si>
  <si>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</si>
  <si>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</si>
  <si>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</si>
  <si>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</si>
  <si>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</si>
  <si>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</si>
  <si>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</si>
  <si>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</si>
  <si>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</si>
  <si>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</si>
  <si>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</si>
  <si>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</si>
  <si>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</si>
  <si>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</si>
  <si>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</si>
  <si>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</si>
  <si>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</si>
  <si>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</si>
  <si>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</si>
  <si>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</si>
  <si>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</si>
  <si>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</si>
  <si>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</si>
  <si>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</si>
  <si>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</si>
  <si>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</si>
  <si>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</si>
  <si>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</si>
  <si>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</si>
  <si>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</si>
  <si>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</si>
  <si>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</si>
  <si>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</si>
  <si>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</si>
  <si>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</si>
  <si>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</si>
  <si>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</si>
  <si>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</si>
  <si>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</si>
  <si>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</si>
  <si>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</si>
  <si>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</si>
  <si>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</si>
  <si>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</si>
  <si>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</si>
  <si>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</si>
  <si>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</si>
  <si>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</si>
  <si>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</si>
  <si>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</si>
  <si>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</si>
  <si>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</si>
  <si>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</si>
  <si>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</si>
  <si>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</si>
  <si>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</si>
  <si>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</si>
  <si>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</si>
  <si>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</si>
  <si>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</si>
  <si>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</si>
  <si>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</si>
  <si>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</si>
  <si>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</si>
  <si>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</si>
  <si>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</si>
  <si>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</si>
  <si>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</si>
  <si>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</si>
  <si>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</si>
  <si>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</si>
  <si>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</si>
  <si>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</si>
  <si>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</si>
  <si>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</si>
  <si>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</si>
  <si>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</si>
  <si>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</si>
  <si>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</si>
  <si>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</si>
  <si>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</si>
  <si>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</si>
  <si>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</si>
  <si>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</si>
  <si>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</si>
  <si>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</si>
  <si>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</si>
  <si>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</si>
  <si>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</si>
  <si>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</si>
  <si>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</si>
  <si>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</si>
  <si>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</si>
  <si>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</si>
  <si>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</si>
  <si>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</si>
  <si>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</si>
  <si>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</si>
  <si>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</si>
  <si>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</si>
  <si>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</si>
  <si>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</si>
  <si>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</si>
  <si>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</si>
  <si>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</si>
  <si>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</si>
  <si>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</si>
  <si>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</si>
  <si>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</si>
  <si>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</si>
  <si>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</si>
  <si>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</si>
  <si>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</si>
  <si>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</si>
  <si>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</si>
  <si>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</si>
  <si>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</si>
  <si>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</si>
  <si>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</si>
  <si>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</si>
  <si>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</si>
  <si>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</si>
  <si>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</si>
  <si>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</si>
  <si>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</si>
  <si>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</si>
  <si>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</si>
  <si>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</si>
  <si>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</si>
  <si>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</si>
  <si>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</si>
  <si>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</si>
  <si>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</si>
  <si>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</si>
  <si>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</si>
  <si>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</si>
  <si>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</si>
  <si>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</si>
  <si>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</si>
  <si>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</si>
  <si>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</si>
  <si>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</si>
  <si>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</si>
  <si>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</si>
  <si>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</si>
  <si>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</si>
  <si>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</si>
  <si>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</si>
  <si>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</si>
  <si>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</si>
  <si>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</si>
  <si>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</si>
  <si>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</si>
  <si>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</si>
  <si>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</si>
  <si>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</si>
  <si>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</si>
  <si>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</si>
  <si>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</si>
  <si>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</si>
  <si>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</si>
  <si>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</si>
  <si>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</si>
  <si>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</si>
  <si>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</si>
  <si>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</si>
  <si>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</si>
  <si>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</si>
  <si>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</si>
  <si>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</si>
  <si>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</si>
  <si>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</si>
  <si>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</si>
  <si>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</si>
  <si>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</si>
  <si>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</si>
  <si>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</si>
  <si>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</si>
  <si>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</si>
  <si>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</si>
  <si>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</si>
  <si>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</si>
  <si>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</si>
  <si>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</si>
  <si>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</si>
  <si>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</si>
  <si>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</si>
  <si>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</si>
  <si>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</si>
  <si>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</si>
  <si>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</si>
  <si>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</si>
  <si>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</si>
  <si>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</si>
  <si>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</si>
  <si>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</si>
  <si>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</si>
  <si>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</si>
  <si>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</si>
  <si>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</si>
  <si>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</si>
  <si>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</si>
  <si>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</si>
  <si>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</si>
  <si>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</si>
  <si>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</si>
  <si>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</si>
  <si>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</si>
  <si>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</si>
  <si>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</si>
  <si>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</si>
  <si>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</si>
  <si>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</si>
  <si>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</si>
  <si>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</si>
  <si>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</si>
  <si>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</si>
  <si>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</si>
  <si>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</si>
  <si>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</si>
  <si>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</si>
  <si>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</si>
  <si>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</si>
  <si>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</si>
  <si>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</si>
  <si>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</si>
  <si>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</si>
  <si>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</si>
  <si>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</si>
  <si>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</si>
  <si>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</si>
  <si>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</si>
  <si>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</si>
  <si>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</si>
  <si>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</si>
  <si>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</si>
  <si>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</si>
  <si>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</si>
  <si>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</si>
  <si>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</si>
  <si>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</si>
  <si>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</si>
  <si>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</si>
  <si>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</si>
  <si>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</si>
  <si>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</si>
  <si>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</si>
  <si>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</si>
  <si>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</si>
  <si>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</si>
  <si>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</si>
  <si>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</si>
  <si>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</si>
  <si>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</si>
  <si>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</si>
  <si>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</si>
  <si>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</si>
  <si>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</si>
  <si>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</si>
  <si>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</si>
  <si>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</si>
  <si>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</si>
  <si>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</si>
  <si>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</si>
  <si>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</si>
  <si>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</si>
  <si>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</si>
  <si>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</si>
  <si>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</si>
  <si>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</si>
  <si>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</si>
  <si>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</si>
  <si>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</si>
  <si>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</si>
  <si>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</si>
  <si>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</si>
  <si>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</si>
  <si>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</si>
  <si>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</si>
  <si>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</si>
  <si>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</si>
  <si>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</si>
  <si>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</si>
  <si>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</si>
  <si>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</si>
  <si>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</si>
  <si>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</si>
  <si>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</si>
  <si>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</si>
  <si>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</si>
  <si>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</si>
  <si>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</si>
  <si>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</si>
  <si>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</si>
  <si>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</si>
  <si>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</si>
  <si>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</si>
  <si>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</si>
  <si>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</si>
  <si>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</si>
  <si>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</si>
  <si>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</si>
  <si>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</si>
  <si>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</si>
  <si>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</si>
  <si>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</si>
  <si>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</si>
  <si>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</si>
  <si>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</si>
  <si>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</si>
  <si>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</si>
  <si>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</si>
  <si>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</si>
  <si>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</si>
  <si>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</si>
  <si>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</si>
  <si>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</si>
  <si>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</si>
  <si>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</si>
  <si>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</si>
  <si>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</si>
  <si>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</si>
  <si>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</si>
  <si>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</si>
  <si>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</si>
  <si>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</si>
  <si>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</si>
  <si>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</si>
  <si>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</si>
  <si>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</si>
  <si>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</si>
  <si>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</si>
  <si>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</si>
  <si>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</si>
  <si>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</si>
  <si>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</si>
  <si>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</si>
  <si>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</si>
  <si>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</si>
  <si>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</si>
  <si>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</si>
  <si>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</si>
  <si>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</si>
  <si>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</si>
  <si>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</si>
  <si>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</si>
  <si>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</si>
  <si>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</si>
  <si>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</si>
  <si>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</si>
  <si>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</si>
  <si>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</si>
  <si>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</si>
  <si>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</si>
  <si>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</si>
  <si>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</si>
  <si>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</si>
  <si>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</si>
  <si>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</si>
  <si>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</si>
  <si>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</si>
  <si>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</si>
  <si>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</si>
  <si>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</si>
  <si>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</si>
  <si>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</si>
  <si>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</si>
  <si>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</si>
  <si>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</si>
  <si>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</si>
  <si>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</si>
  <si>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</si>
  <si>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</si>
  <si>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</si>
  <si>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</si>
  <si>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</si>
  <si>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</si>
  <si>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</si>
  <si>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</si>
  <si>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</si>
  <si>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</si>
  <si>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</si>
  <si>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</si>
  <si>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</si>
  <si>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</si>
  <si>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</si>
  <si>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</si>
  <si>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</si>
  <si>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</si>
  <si>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</si>
  <si>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</si>
  <si>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</si>
  <si>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</si>
  <si>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</si>
  <si>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</si>
  <si>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</si>
  <si>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</si>
  <si>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</si>
  <si>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</si>
  <si>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</si>
  <si>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</si>
  <si>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</si>
  <si>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</si>
  <si>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</si>
  <si>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</si>
  <si>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</si>
  <si>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</si>
  <si>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</si>
  <si>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</si>
  <si>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</si>
  <si>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</si>
  <si>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</si>
  <si>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</si>
  <si>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</si>
  <si>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</si>
  <si>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</si>
  <si>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</si>
  <si>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</si>
  <si>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</si>
  <si>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</si>
  <si>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</si>
  <si>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</si>
  <si>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</si>
  <si>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</si>
  <si>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</si>
  <si>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</si>
  <si>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</si>
  <si>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</si>
  <si>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</si>
  <si>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</si>
  <si>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</si>
  <si>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</si>
  <si>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</si>
  <si>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</si>
  <si>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</si>
  <si>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</si>
  <si>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</si>
  <si>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</si>
  <si>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</si>
  <si>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</si>
  <si>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</si>
  <si>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</si>
  <si>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</si>
  <si>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</si>
  <si>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</si>
  <si>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</si>
  <si>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</si>
  <si>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</si>
  <si>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</si>
  <si>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</si>
  <si>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</si>
  <si>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</si>
  <si>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</si>
  <si>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</si>
  <si>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</si>
  <si>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</si>
  <si>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</si>
  <si>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</si>
  <si>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</si>
  <si>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</si>
  <si>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</si>
  <si>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</si>
  <si>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</si>
  <si>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</si>
  <si>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</si>
  <si>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</si>
  <si>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</si>
  <si>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</si>
  <si>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</si>
  <si>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</si>
  <si>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</si>
  <si>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</si>
  <si>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</si>
  <si>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</si>
  <si>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</si>
  <si>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</si>
  <si>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</si>
  <si>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</si>
  <si>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</si>
  <si>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</si>
  <si>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</si>
  <si>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</si>
  <si>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</si>
  <si>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</si>
  <si>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</si>
  <si>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</si>
  <si>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</si>
  <si>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</si>
  <si>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</si>
  <si>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</si>
  <si>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</si>
  <si>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</si>
  <si>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</si>
  <si>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</si>
  <si>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</si>
  <si>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</si>
  <si>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</si>
  <si>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</si>
  <si>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</si>
  <si>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</si>
  <si>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</si>
  <si>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</si>
  <si>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</si>
  <si>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</si>
  <si>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</si>
  <si>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</si>
  <si>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</si>
  <si>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</si>
  <si>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</si>
  <si>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</si>
  <si>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</si>
  <si>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</si>
  <si>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</si>
  <si>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</si>
  <si>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</si>
  <si>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</si>
  <si>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</si>
  <si>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</si>
  <si>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</si>
  <si>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</si>
  <si>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</si>
  <si>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</si>
  <si>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</si>
  <si>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</si>
  <si>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</si>
  <si>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</si>
  <si>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</si>
  <si>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</si>
  <si>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</si>
  <si>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</si>
  <si>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</si>
  <si>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</si>
  <si>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</si>
  <si>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</si>
  <si>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</si>
  <si>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</si>
  <si>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</si>
  <si>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</si>
  <si>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</si>
  <si>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</si>
  <si>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</si>
  <si>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</si>
  <si>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</si>
  <si>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</si>
  <si>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</si>
  <si>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</si>
  <si>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</si>
  <si>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</si>
  <si>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</si>
  <si>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</si>
  <si>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</si>
  <si>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</si>
  <si>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</si>
  <si>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</si>
  <si>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</si>
  <si>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</si>
  <si>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</si>
  <si>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</si>
  <si>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</si>
  <si>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</si>
  <si>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</si>
  <si>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</si>
  <si>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</si>
  <si>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</si>
  <si>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</si>
  <si>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</si>
  <si>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</si>
  <si>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</si>
  <si>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</si>
  <si>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</si>
  <si>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</si>
  <si>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</si>
  <si>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</si>
  <si>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</si>
  <si>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</si>
  <si>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</si>
  <si>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</si>
  <si>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</si>
  <si>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</si>
  <si>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</si>
  <si>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</si>
  <si>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</si>
  <si>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</si>
  <si>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</si>
  <si>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</si>
  <si>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</si>
  <si>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</si>
  <si>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</si>
  <si>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</si>
  <si>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</si>
  <si>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</si>
  <si>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</si>
  <si>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</si>
  <si>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</si>
  <si>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</si>
  <si>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</si>
  <si>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</si>
  <si>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</si>
  <si>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</si>
  <si>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</si>
  <si>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</si>
  <si>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</si>
  <si>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</si>
  <si>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</si>
  <si>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</si>
  <si>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</si>
  <si>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</si>
  <si>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</si>
  <si>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</si>
  <si>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</si>
  <si>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</si>
  <si>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</si>
  <si>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</si>
  <si>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</si>
  <si>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</si>
  <si>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</si>
  <si>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</si>
  <si>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</si>
  <si>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</si>
  <si>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</si>
  <si>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</si>
  <si>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</si>
  <si>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</si>
  <si>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</si>
  <si>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</si>
  <si>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</si>
  <si>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</si>
  <si>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</si>
  <si>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</si>
  <si>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</si>
  <si>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</si>
  <si>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</si>
  <si>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</si>
  <si>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</si>
  <si>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</si>
  <si>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</si>
  <si>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</si>
  <si>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</si>
  <si>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</si>
  <si>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</si>
  <si>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</si>
  <si>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</si>
  <si>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</si>
  <si>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</si>
  <si>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</si>
  <si>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</si>
  <si>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</si>
  <si>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</si>
  <si>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</si>
  <si>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</si>
  <si>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</si>
  <si>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</si>
  <si>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</si>
  <si>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</si>
  <si>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</si>
  <si>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</si>
  <si>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</si>
  <si>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</si>
  <si>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</si>
  <si>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</si>
  <si>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</si>
  <si>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</si>
  <si>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</si>
  <si>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</si>
  <si>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</si>
  <si>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</si>
  <si>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</si>
  <si>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</si>
  <si>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</si>
  <si>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</si>
  <si>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</si>
  <si>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</si>
  <si>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</si>
  <si>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</si>
  <si>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</si>
  <si>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</si>
  <si>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</si>
  <si>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</si>
  <si>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</si>
  <si>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</si>
  <si>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</si>
  <si>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</si>
  <si>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</si>
  <si>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</si>
  <si>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</si>
  <si>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</si>
  <si>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</si>
  <si>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</si>
  <si>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</si>
  <si>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</si>
  <si>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</si>
  <si>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</si>
  <si>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</si>
  <si>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</si>
  <si>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</si>
  <si>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</si>
  <si>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</si>
  <si>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</si>
  <si>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</si>
  <si>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</si>
  <si>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</si>
  <si>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</si>
  <si>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</si>
  <si>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</si>
  <si>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</si>
  <si>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</si>
  <si>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</si>
  <si>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</si>
  <si>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</si>
  <si>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</si>
  <si>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</si>
  <si>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</si>
  <si>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</si>
  <si>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</si>
  <si>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</si>
  <si>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</si>
  <si>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</si>
  <si>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</si>
  <si>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</si>
  <si>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</si>
  <si>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</si>
  <si>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</si>
  <si>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</si>
  <si>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</si>
  <si>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</si>
  <si>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</si>
  <si>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</si>
  <si>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</si>
  <si>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</si>
  <si>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</si>
  <si>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</si>
  <si>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</si>
  <si>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</si>
  <si>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</si>
  <si>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</si>
  <si>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</si>
  <si>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</si>
  <si>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</si>
  <si>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</si>
  <si>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</si>
  <si>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</si>
  <si>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</si>
  <si>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</si>
  <si>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</si>
  <si>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</si>
  <si>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</si>
  <si>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</si>
  <si>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</si>
  <si>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</si>
  <si>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</si>
  <si>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</si>
  <si>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</si>
  <si>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</si>
  <si>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</si>
  <si>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</si>
  <si>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</si>
  <si>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</si>
  <si>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</si>
  <si>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</si>
  <si>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</si>
  <si>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</si>
  <si>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</si>
  <si>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</si>
  <si>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</si>
  <si>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</si>
  <si>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</si>
  <si>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</si>
  <si>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</si>
  <si>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</si>
  <si>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</si>
  <si>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</si>
  <si>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</si>
  <si>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</si>
  <si>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</si>
  <si>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</si>
  <si>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</si>
  <si>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</si>
  <si>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</si>
  <si>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</si>
  <si>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</si>
  <si>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</si>
  <si>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</si>
  <si>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</si>
  <si>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</si>
  <si>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</si>
  <si>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</si>
  <si>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</si>
  <si>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</si>
  <si>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</si>
  <si>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</si>
  <si>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</si>
  <si>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</si>
  <si>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</si>
  <si>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</si>
  <si>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</si>
  <si>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</si>
  <si>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</si>
  <si>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</si>
  <si>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</si>
  <si>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</si>
  <si>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</si>
  <si>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</si>
  <si>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</si>
  <si>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</si>
  <si>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</si>
  <si>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</si>
  <si>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</si>
  <si>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</si>
  <si>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</si>
  <si>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</si>
  <si>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</si>
  <si>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</si>
  <si>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</si>
  <si>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</si>
  <si>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</si>
  <si>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</si>
  <si>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</si>
  <si>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</si>
  <si>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</si>
  <si>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</si>
  <si>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</si>
  <si>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</si>
  <si>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</si>
  <si>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</si>
  <si>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</si>
  <si>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</si>
  <si>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</si>
  <si>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</si>
  <si>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</si>
  <si>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</si>
  <si>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</si>
  <si>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</si>
  <si>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</si>
  <si>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</si>
  <si>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</si>
  <si>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</si>
  <si>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</si>
  <si>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</si>
  <si>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</si>
  <si>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</si>
  <si>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</si>
  <si>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</si>
  <si>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</si>
  <si>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</si>
  <si>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</si>
  <si>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</si>
  <si>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</si>
  <si>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</si>
  <si>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</si>
  <si>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</si>
  <si>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</si>
  <si>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</si>
  <si>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</si>
  <si>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</si>
  <si>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</si>
  <si>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</si>
  <si>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</si>
  <si>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</si>
  <si>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</si>
  <si>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</si>
  <si>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</si>
  <si>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</si>
  <si>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</si>
  <si>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</si>
  <si>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</si>
  <si>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</si>
  <si>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</si>
  <si>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</si>
  <si>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</si>
  <si>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</si>
  <si>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</si>
  <si>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</si>
  <si>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</si>
  <si>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</si>
  <si>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</si>
  <si>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</si>
  <si>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</si>
  <si>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</si>
  <si>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</si>
  <si>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</si>
  <si>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</si>
  <si>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</si>
  <si>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</si>
  <si>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</si>
  <si>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</si>
  <si>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</si>
  <si>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</si>
  <si>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</si>
  <si>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</si>
  <si>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</si>
  <si>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</si>
  <si>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</si>
  <si>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</si>
  <si>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</si>
  <si>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</si>
  <si>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</si>
  <si>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</si>
  <si>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</si>
  <si>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</si>
  <si>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</si>
  <si>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</si>
  <si>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</si>
  <si>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</si>
  <si>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</si>
  <si>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</si>
  <si>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</si>
  <si>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</si>
  <si>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</si>
  <si>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</si>
  <si>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</si>
  <si>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</si>
  <si>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</si>
  <si>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</si>
  <si>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</si>
  <si>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</si>
  <si>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</si>
  <si>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</si>
  <si>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</si>
  <si>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</si>
  <si>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</si>
  <si>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</si>
  <si>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</si>
  <si>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</si>
  <si>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</si>
  <si>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</si>
  <si>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</si>
  <si>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</si>
  <si>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</si>
  <si>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</si>
  <si>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</si>
  <si>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</si>
  <si>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</si>
  <si>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</si>
  <si>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</si>
  <si>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</si>
  <si>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</si>
  <si>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</si>
  <si>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</si>
  <si>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</si>
  <si>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</si>
  <si>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</si>
  <si>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</si>
  <si>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</si>
  <si>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</si>
  <si>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</si>
  <si>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</si>
  <si>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</si>
  <si>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</si>
  <si>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</si>
  <si>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</si>
  <si>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</si>
  <si>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</si>
  <si>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</si>
  <si>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</si>
  <si>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</si>
  <si>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</si>
  <si>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</si>
  <si>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</si>
  <si>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</si>
  <si>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</si>
  <si>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</si>
  <si>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</si>
  <si>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</si>
  <si>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</si>
  <si>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</si>
  <si>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</si>
  <si>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</si>
  <si>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</si>
  <si>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</si>
  <si>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</si>
  <si>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</si>
  <si>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</si>
  <si>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</si>
  <si>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</si>
  <si>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</si>
  <si>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</si>
  <si>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</si>
  <si>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</si>
  <si>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</si>
  <si>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</si>
  <si>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</si>
  <si>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</si>
  <si>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</si>
  <si>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</si>
  <si>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</si>
  <si>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</si>
  <si>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</si>
  <si>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</si>
  <si>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</si>
  <si>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</si>
  <si>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</si>
  <si>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</si>
  <si>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</si>
  <si>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</si>
  <si>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</si>
  <si>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</si>
  <si>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</si>
  <si>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</si>
  <si>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</si>
  <si>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</si>
  <si>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</si>
  <si>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</si>
  <si>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</si>
  <si>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</si>
  <si>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</si>
  <si>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</si>
  <si>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</si>
  <si>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</si>
  <si>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</si>
  <si>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</si>
  <si>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</si>
  <si>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</si>
  <si>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</si>
  <si>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</si>
  <si>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</si>
  <si>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</si>
  <si>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</si>
  <si>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</si>
  <si>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</si>
  <si>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</si>
  <si>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</si>
  <si>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</si>
  <si>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</si>
  <si>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</si>
  <si>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</si>
  <si>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</si>
  <si>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</si>
  <si>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</si>
  <si>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</si>
  <si>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</si>
  <si>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</si>
  <si>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</si>
  <si>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</si>
  <si>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</si>
  <si>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</si>
  <si>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</si>
  <si>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</si>
  <si>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</si>
  <si>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</si>
  <si>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</si>
  <si>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</si>
  <si>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</si>
  <si>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</si>
  <si>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</si>
  <si>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</si>
  <si>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</si>
  <si>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</si>
  <si>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</si>
  <si>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</si>
  <si>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</si>
  <si>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</si>
  <si>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</si>
  <si>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</si>
  <si>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</si>
  <si>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</si>
  <si>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</si>
  <si>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</si>
  <si>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</si>
  <si>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</si>
  <si>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</si>
  <si>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</si>
  <si>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</si>
  <si>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</si>
  <si>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</si>
  <si>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</si>
  <si>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</si>
  <si>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</si>
  <si>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</si>
  <si>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</si>
  <si>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</si>
  <si>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</si>
  <si>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</si>
  <si>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</si>
  <si>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</si>
  <si>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</si>
  <si>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</si>
  <si>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</si>
  <si>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</si>
  <si>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</si>
  <si>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</si>
  <si>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</si>
  <si>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</si>
  <si>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</si>
  <si>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</si>
  <si>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</si>
  <si>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</si>
  <si>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</si>
  <si>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</si>
  <si>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</si>
  <si>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</si>
  <si>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</si>
  <si>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</si>
  <si>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</si>
  <si>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</si>
  <si>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</si>
  <si>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</si>
  <si>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</si>
  <si>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</si>
  <si>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</si>
  <si>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</si>
  <si>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</si>
  <si>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</si>
  <si>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</si>
  <si>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</si>
  <si>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</si>
  <si>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</si>
  <si>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</si>
  <si>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</si>
  <si>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</si>
  <si>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</si>
  <si>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</si>
  <si>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</si>
  <si>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</si>
  <si>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</si>
  <si>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</si>
  <si>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</si>
  <si>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</si>
  <si>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</si>
  <si>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</si>
  <si>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</si>
  <si>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</si>
  <si>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</si>
  <si>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</si>
  <si>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</si>
  <si>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</si>
  <si>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</si>
  <si>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</si>
  <si>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</si>
  <si>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</si>
  <si>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</si>
  <si>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</si>
  <si>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</si>
  <si>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</si>
  <si>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</si>
  <si>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</si>
  <si>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</si>
  <si>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</si>
  <si>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</si>
  <si>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</si>
  <si>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</si>
  <si>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</si>
  <si>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</si>
  <si>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</si>
  <si>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</si>
  <si>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</si>
  <si>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</si>
  <si>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</si>
  <si>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</si>
  <si>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</si>
  <si>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</si>
  <si>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</si>
  <si>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</si>
  <si>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</si>
  <si>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</si>
  <si>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</si>
  <si>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</si>
  <si>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</si>
  <si>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</si>
  <si>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</si>
  <si>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</si>
  <si>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</si>
  <si>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</si>
  <si>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</si>
  <si>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</si>
  <si>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</si>
  <si>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</si>
  <si>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</si>
  <si>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</si>
  <si>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</si>
  <si>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</si>
  <si>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</si>
  <si>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</si>
  <si>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</si>
  <si>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</si>
  <si>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</si>
  <si>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</si>
  <si>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</si>
  <si>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</si>
  <si>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</si>
  <si>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</si>
  <si>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</si>
  <si>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</si>
  <si>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</si>
  <si>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</si>
  <si>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</si>
  <si>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</si>
  <si>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</si>
  <si>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</si>
  <si>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</si>
  <si>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</si>
  <si>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</si>
  <si>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</si>
  <si>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</si>
  <si>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</si>
  <si>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</si>
  <si>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</si>
  <si>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</si>
  <si>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</si>
  <si>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</si>
  <si>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</si>
  <si>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</si>
  <si>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</si>
  <si>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</si>
  <si>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</si>
  <si>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</si>
  <si>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</si>
  <si>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</si>
  <si>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</si>
  <si>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</si>
  <si>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</si>
  <si>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</si>
  <si>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</si>
  <si>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</si>
  <si>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</si>
  <si>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</si>
  <si>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</si>
  <si>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</si>
  <si>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</si>
  <si>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</si>
  <si>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</si>
  <si>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</si>
  <si>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</si>
  <si>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</si>
  <si>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</si>
  <si>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</si>
  <si>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</si>
  <si>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</si>
  <si>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</si>
  <si>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</si>
  <si>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</si>
  <si>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</si>
  <si>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</si>
  <si>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</si>
  <si>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</si>
  <si>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</si>
  <si>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</si>
  <si>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</si>
  <si>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</si>
  <si>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</si>
  <si>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</si>
  <si>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</si>
  <si>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</si>
  <si>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</si>
  <si>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</si>
  <si>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</si>
  <si>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</si>
  <si>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</si>
  <si>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</si>
  <si>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</si>
  <si>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</si>
  <si>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</si>
  <si>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</si>
  <si>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</si>
  <si>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</si>
  <si>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</si>
  <si>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</si>
  <si>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</si>
  <si>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</si>
  <si>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</si>
  <si>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</si>
  <si>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</si>
  <si>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</si>
  <si>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</si>
  <si>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Ordinateur atelier</t>
  </si>
  <si>
    <t>Caméras</t>
  </si>
  <si>
    <t>juin</t>
  </si>
  <si>
    <t>Budget neuf</t>
  </si>
  <si>
    <t>Budget usagé</t>
  </si>
  <si>
    <t>Nos pacings pour budget</t>
  </si>
  <si>
    <t>P2477</t>
  </si>
  <si>
    <t>3TYLB5JN7RT043814</t>
  </si>
  <si>
    <t>Toyota</t>
  </si>
  <si>
    <t>Tacoma</t>
  </si>
  <si>
    <t>Atteint max coop ?</t>
  </si>
  <si>
    <t>RESERVE AZOTE</t>
  </si>
  <si>
    <t>331Z</t>
  </si>
  <si>
    <t>VTES -VTES - 760i xDRIVE</t>
  </si>
  <si>
    <t>415</t>
  </si>
  <si>
    <t>VTES -X3 M / M3 M COMPETITION</t>
  </si>
  <si>
    <t>VTE - ASS. REMP. USAGE AUTRE</t>
  </si>
  <si>
    <t>451R</t>
  </si>
  <si>
    <t>C/V - 760i xDRIVE</t>
  </si>
  <si>
    <t>615</t>
  </si>
  <si>
    <t>C/V - X3 M / M3 M COMPETITION</t>
  </si>
  <si>
    <t>404E</t>
  </si>
  <si>
    <t>C/V - ASS. REMP. USAGE AUTRE</t>
  </si>
  <si>
    <t>651R</t>
  </si>
  <si>
    <t>675</t>
  </si>
  <si>
    <t>88</t>
  </si>
  <si>
    <t># DE VTE - ACTIVEHYBRID 7 L</t>
  </si>
  <si>
    <t>415@</t>
  </si>
  <si>
    <t># OF VTES -VTES -X3 M / M3 M COMPETITION</t>
  </si>
  <si>
    <t># DE VTE - ASS. REMP. USAGE AUTRE</t>
  </si>
  <si>
    <t>451R@</t>
  </si>
  <si>
    <t>deprec demo</t>
  </si>
  <si>
    <t>Pertes</t>
  </si>
  <si>
    <t xml:space="preserve">+10k dépréciation, </t>
  </si>
  <si>
    <t>LGM</t>
  </si>
  <si>
    <t>sans boni F&amp;I vendeur 27.9 %</t>
  </si>
  <si>
    <t>avec boni F&amp;I vendeur 47.3 %</t>
  </si>
  <si>
    <t>avec boni F&amp;I vendeur 100.5%</t>
  </si>
  <si>
    <t>sans boni F&amp;I vendeur 23.3%</t>
  </si>
  <si>
    <t>cell Sebastien</t>
  </si>
  <si>
    <t>Kassandra</t>
  </si>
  <si>
    <t>Vetements Eric + bottes</t>
  </si>
  <si>
    <t>+2k dep courtoisie + 1k enterprise + 250$ Taxis</t>
  </si>
  <si>
    <t>+2k dep courtoisie + 250$ Taxis</t>
  </si>
  <si>
    <t>Bonis cadres</t>
  </si>
  <si>
    <t>+0.5k temps non productf + 1.5k Landry + Daniel vs budget</t>
  </si>
  <si>
    <t>2k de cadeau client</t>
  </si>
  <si>
    <t>5UX53GP06S9Y02514</t>
  </si>
  <si>
    <t xml:space="preserve"> - Au budget vente et gross
 - Trop haut en courtoise auto, car rappel qui dure plus 1 jrs 
 - Pub au dessus du budget ce sont des entreposages ce qui est une bonne nouvelle, opportunité année prochaine</t>
  </si>
  <si>
    <t xml:space="preserve"> - Plan d'action Novembre afin de reprendre retard YTD et de maximiser le nombre de RDR pour faire l'objectif de 41 chez BMW. Notre processus de vente et de négociation a été revu avec négociation moins serré et plus aggressive avec rabais plus gros et signature avec moins de marge, mais plus de ventes. La marge front a donc baissé, mais récupéré avec le nombre. Avec la vente privée et les programmes BMW en ligne avec cette démarche, nous avions les bons éléments en place pour effectuer ceci.
 - Plus de transaction en location pour le mois et ventes de produits F&amp;i en hausse.</t>
  </si>
  <si>
    <t xml:space="preserve"> - Nous avons mis beaucoup d'emphase sur le neuf avec la vente privée et l'achalendage used a été en baisse
 - L'inventaire est bas et l'approvisionement a été plus difficile</t>
  </si>
  <si>
    <t xml:space="preserve"> - Gros rappels en garantie nous aident à palier le manque en wholesale
 - Escompte client atelier trop élevée vs. budget
 - Focus pneus payant
</t>
  </si>
  <si>
    <t xml:space="preserve"> - Semi-fixe : Dépréciatios démos et courtoisies supérieur au budget (2% vs 1.25% et + de véhicule) et Entreposage et frais bancaire plus élevé que pévu.
 - FP Intérêt : Inventaire neuf plus élevé que prévu</t>
  </si>
  <si>
    <t xml:space="preserve"> - Les dépenses ont explosé
 - Vente Privé on double l' objectif de vente, mais les resultats sont au RDV 
 - Un beau 3,6% D'EBIT 
 - Le reste des dépenses en contole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</si>
</sst>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8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73">
    <xf numFmtId="0" fontId="0" fillId="0" borderId="0"/>
    <xf numFmtId="9" fontId="90" fillId="0" borderId="0" applyFont="0" applyFill="0" applyBorder="0" applyAlignment="0" applyProtection="0"/>
    <xf numFmtId="0" fontId="53" fillId="0" borderId="1"/>
    <xf numFmtId="0" fontId="52" fillId="0" borderId="1"/>
    <xf numFmtId="9" fontId="52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8" fillId="0" borderId="1"/>
    <xf numFmtId="0" fontId="47" fillId="0" borderId="1"/>
    <xf numFmtId="0" fontId="90" fillId="0" borderId="1"/>
    <xf numFmtId="0" fontId="45" fillId="0" borderId="1"/>
    <xf numFmtId="0" fontId="44" fillId="0" borderId="1"/>
    <xf numFmtId="0" fontId="43" fillId="0" borderId="1"/>
    <xf numFmtId="0" fontId="40" fillId="0" borderId="1"/>
    <xf numFmtId="0" fontId="39" fillId="0" borderId="1"/>
    <xf numFmtId="9" fontId="90" fillId="0" borderId="1" applyFont="0" applyFill="0" applyBorder="0" applyAlignment="0" applyProtection="0"/>
    <xf numFmtId="0" fontId="39" fillId="0" borderId="1"/>
    <xf numFmtId="9" fontId="39" fillId="0" borderId="1" applyFont="0" applyFill="0" applyBorder="0" applyAlignment="0" applyProtection="0"/>
    <xf numFmtId="0" fontId="125" fillId="0" borderId="1"/>
    <xf numFmtId="0" fontId="126" fillId="0" borderId="1"/>
    <xf numFmtId="0" fontId="38" fillId="0" borderId="1"/>
    <xf numFmtId="0" fontId="37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4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29" fillId="0" borderId="1"/>
    <xf numFmtId="0" fontId="29" fillId="0" borderId="1"/>
    <xf numFmtId="9" fontId="29" fillId="0" borderId="1" applyFont="0" applyFill="0" applyBorder="0" applyAlignment="0" applyProtection="0"/>
    <xf numFmtId="0" fontId="29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0" fontId="28" fillId="0" borderId="1"/>
    <xf numFmtId="0" fontId="27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5" fillId="0" borderId="1"/>
    <xf numFmtId="0" fontId="25" fillId="0" borderId="1"/>
    <xf numFmtId="9" fontId="25" fillId="0" borderId="1" applyFont="0" applyFill="0" applyBorder="0" applyAlignment="0" applyProtection="0"/>
    <xf numFmtId="0" fontId="25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0" fontId="24" fillId="0" borderId="1"/>
    <xf numFmtId="0" fontId="22" fillId="0" borderId="1"/>
    <xf numFmtId="0" fontId="20" fillId="0" borderId="1"/>
    <xf numFmtId="0" fontId="20" fillId="0" borderId="1"/>
    <xf numFmtId="9" fontId="20" fillId="0" borderId="1" applyFont="0" applyFill="0" applyBorder="0" applyAlignment="0" applyProtection="0"/>
    <xf numFmtId="164" fontId="20" fillId="0" borderId="1" applyFont="0" applyFill="0" applyBorder="0" applyAlignment="0" applyProtection="0"/>
    <xf numFmtId="0" fontId="19" fillId="0" borderId="1"/>
    <xf numFmtId="0" fontId="18" fillId="0" borderId="1"/>
    <xf numFmtId="0" fontId="17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9" fillId="0" borderId="1"/>
    <xf numFmtId="0" fontId="8" fillId="0" borderId="1"/>
    <xf numFmtId="0" fontId="7" fillId="0" borderId="1"/>
    <xf numFmtId="0" fontId="6" fillId="0" borderId="1"/>
    <xf numFmtId="44" fontId="140" fillId="0" borderId="0" applyFont="0" applyFill="0" applyBorder="0" applyAlignment="0" applyProtection="0"/>
    <xf numFmtId="0" fontId="103" fillId="0" borderId="1"/>
    <xf numFmtId="0" fontId="2" fillId="0" borderId="1"/>
  </cellStyleXfs>
  <cellXfs count="1219">
    <xf numFmtId="0" fontId="0" fillId="0" borderId="0" xfId="0"/>
    <xf numFmtId="0" fontId="54" fillId="0" borderId="0" xfId="0" applyFont="1"/>
    <xf numFmtId="0" fontId="55" fillId="0" borderId="0" xfId="0" applyFont="1"/>
    <xf numFmtId="0" fontId="55" fillId="2" borderId="1" xfId="0" applyFont="1" applyFill="1" applyBorder="1" applyAlignment="1">
      <alignment horizontal="center"/>
    </xf>
    <xf numFmtId="0" fontId="56" fillId="0" borderId="0" xfId="0" applyFont="1" applyAlignment="1">
      <alignment horizontal="left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right"/>
    </xf>
    <xf numFmtId="0" fontId="56" fillId="0" borderId="0" xfId="0" applyFont="1"/>
    <xf numFmtId="0" fontId="58" fillId="0" borderId="2" xfId="0" applyFont="1" applyBorder="1"/>
    <xf numFmtId="0" fontId="60" fillId="0" borderId="4" xfId="0" applyFont="1" applyBorder="1"/>
    <xf numFmtId="0" fontId="58" fillId="0" borderId="6" xfId="0" applyFont="1" applyBorder="1"/>
    <xf numFmtId="0" fontId="60" fillId="0" borderId="6" xfId="0" applyFont="1" applyBorder="1"/>
    <xf numFmtId="0" fontId="60" fillId="3" borderId="8" xfId="0" applyFont="1" applyFill="1" applyBorder="1"/>
    <xf numFmtId="0" fontId="60" fillId="3" borderId="10" xfId="0" applyFont="1" applyFill="1" applyBorder="1"/>
    <xf numFmtId="0" fontId="59" fillId="0" borderId="6" xfId="0" applyFont="1" applyBorder="1"/>
    <xf numFmtId="168" fontId="55" fillId="0" borderId="0" xfId="0" applyNumberFormat="1" applyFont="1"/>
    <xf numFmtId="0" fontId="55" fillId="0" borderId="6" xfId="0" applyFont="1" applyBorder="1"/>
    <xf numFmtId="169" fontId="55" fillId="0" borderId="0" xfId="0" applyNumberFormat="1" applyFont="1"/>
    <xf numFmtId="0" fontId="57" fillId="0" borderId="0" xfId="0" applyFont="1"/>
    <xf numFmtId="0" fontId="62" fillId="0" borderId="0" xfId="0" applyFont="1" applyAlignment="1">
      <alignment horizontal="center" vertical="center"/>
    </xf>
    <xf numFmtId="3" fontId="57" fillId="0" borderId="0" xfId="0" applyNumberFormat="1" applyFont="1"/>
    <xf numFmtId="0" fontId="62" fillId="0" borderId="0" xfId="0" applyFont="1"/>
    <xf numFmtId="170" fontId="63" fillId="0" borderId="0" xfId="0" applyNumberFormat="1" applyFont="1" applyAlignment="1">
      <alignment horizontal="left"/>
    </xf>
    <xf numFmtId="0" fontId="63" fillId="0" borderId="0" xfId="0" applyFont="1"/>
    <xf numFmtId="0" fontId="64" fillId="0" borderId="0" xfId="0" applyFont="1"/>
    <xf numFmtId="0" fontId="65" fillId="0" borderId="0" xfId="0" applyFont="1"/>
    <xf numFmtId="37" fontId="66" fillId="3" borderId="14" xfId="0" applyNumberFormat="1" applyFont="1" applyFill="1" applyBorder="1"/>
    <xf numFmtId="3" fontId="66" fillId="3" borderId="14" xfId="0" applyNumberFormat="1" applyFont="1" applyFill="1" applyBorder="1"/>
    <xf numFmtId="37" fontId="66" fillId="3" borderId="9" xfId="0" applyNumberFormat="1" applyFont="1" applyFill="1" applyBorder="1"/>
    <xf numFmtId="37" fontId="66" fillId="3" borderId="8" xfId="0" applyNumberFormat="1" applyFont="1" applyFill="1" applyBorder="1"/>
    <xf numFmtId="172" fontId="66" fillId="3" borderId="14" xfId="0" applyNumberFormat="1" applyFont="1" applyFill="1" applyBorder="1"/>
    <xf numFmtId="0" fontId="66" fillId="3" borderId="10" xfId="0" applyFont="1" applyFill="1" applyBorder="1"/>
    <xf numFmtId="0" fontId="66" fillId="3" borderId="11" xfId="0" applyFont="1" applyFill="1" applyBorder="1"/>
    <xf numFmtId="171" fontId="66" fillId="3" borderId="10" xfId="0" applyNumberFormat="1" applyFont="1" applyFill="1" applyBorder="1"/>
    <xf numFmtId="171" fontId="66" fillId="3" borderId="11" xfId="0" applyNumberFormat="1" applyFont="1" applyFill="1" applyBorder="1"/>
    <xf numFmtId="0" fontId="66" fillId="4" borderId="1" xfId="0" applyFont="1" applyFill="1" applyBorder="1"/>
    <xf numFmtId="0" fontId="65" fillId="0" borderId="0" xfId="0" applyFont="1" applyAlignment="1">
      <alignment horizontal="right"/>
    </xf>
    <xf numFmtId="37" fontId="65" fillId="0" borderId="0" xfId="0" applyNumberFormat="1" applyFont="1"/>
    <xf numFmtId="0" fontId="66" fillId="3" borderId="16" xfId="0" applyFont="1" applyFill="1" applyBorder="1"/>
    <xf numFmtId="0" fontId="66" fillId="3" borderId="17" xfId="0" applyFont="1" applyFill="1" applyBorder="1" applyAlignment="1">
      <alignment horizontal="center"/>
    </xf>
    <xf numFmtId="171" fontId="66" fillId="3" borderId="17" xfId="0" applyNumberFormat="1" applyFont="1" applyFill="1" applyBorder="1"/>
    <xf numFmtId="37" fontId="66" fillId="3" borderId="18" xfId="0" applyNumberFormat="1" applyFont="1" applyFill="1" applyBorder="1"/>
    <xf numFmtId="0" fontId="66" fillId="3" borderId="16" xfId="0" applyFont="1" applyFill="1" applyBorder="1" applyAlignment="1">
      <alignment horizontal="center"/>
    </xf>
    <xf numFmtId="0" fontId="65" fillId="3" borderId="13" xfId="0" applyFont="1" applyFill="1" applyBorder="1"/>
    <xf numFmtId="0" fontId="65" fillId="3" borderId="16" xfId="0" applyFont="1" applyFill="1" applyBorder="1"/>
    <xf numFmtId="37" fontId="66" fillId="0" borderId="0" xfId="0" applyNumberFormat="1" applyFont="1"/>
    <xf numFmtId="37" fontId="66" fillId="3" borderId="19" xfId="0" applyNumberFormat="1" applyFont="1" applyFill="1" applyBorder="1"/>
    <xf numFmtId="0" fontId="65" fillId="4" borderId="1" xfId="0" applyFont="1" applyFill="1" applyBorder="1"/>
    <xf numFmtId="37" fontId="66" fillId="4" borderId="15" xfId="0" applyNumberFormat="1" applyFont="1" applyFill="1" applyBorder="1"/>
    <xf numFmtId="0" fontId="65" fillId="4" borderId="12" xfId="0" applyFont="1" applyFill="1" applyBorder="1"/>
    <xf numFmtId="0" fontId="65" fillId="4" borderId="13" xfId="0" applyFont="1" applyFill="1" applyBorder="1"/>
    <xf numFmtId="0" fontId="65" fillId="4" borderId="22" xfId="0" applyFont="1" applyFill="1" applyBorder="1"/>
    <xf numFmtId="37" fontId="66" fillId="4" borderId="19" xfId="0" applyNumberFormat="1" applyFont="1" applyFill="1" applyBorder="1"/>
    <xf numFmtId="0" fontId="69" fillId="0" borderId="0" xfId="0" applyFont="1"/>
    <xf numFmtId="0" fontId="70" fillId="0" borderId="0" xfId="0" applyFont="1"/>
    <xf numFmtId="37" fontId="70" fillId="0" borderId="0" xfId="0" applyNumberFormat="1" applyFont="1"/>
    <xf numFmtId="0" fontId="66" fillId="0" borderId="0" xfId="0" applyFont="1"/>
    <xf numFmtId="37" fontId="63" fillId="0" borderId="0" xfId="0" applyNumberFormat="1" applyFont="1"/>
    <xf numFmtId="37" fontId="66" fillId="4" borderId="14" xfId="0" applyNumberFormat="1" applyFont="1" applyFill="1" applyBorder="1"/>
    <xf numFmtId="37" fontId="66" fillId="4" borderId="9" xfId="0" applyNumberFormat="1" applyFont="1" applyFill="1" applyBorder="1"/>
    <xf numFmtId="37" fontId="66" fillId="4" borderId="8" xfId="0" applyNumberFormat="1" applyFont="1" applyFill="1" applyBorder="1"/>
    <xf numFmtId="171" fontId="66" fillId="4" borderId="8" xfId="0" applyNumberFormat="1" applyFont="1" applyFill="1" applyBorder="1"/>
    <xf numFmtId="37" fontId="66" fillId="4" borderId="22" xfId="0" applyNumberFormat="1" applyFont="1" applyFill="1" applyBorder="1"/>
    <xf numFmtId="171" fontId="66" fillId="4" borderId="19" xfId="0" applyNumberFormat="1" applyFont="1" applyFill="1" applyBorder="1"/>
    <xf numFmtId="37" fontId="66" fillId="4" borderId="13" xfId="0" applyNumberFormat="1" applyFont="1" applyFill="1" applyBorder="1"/>
    <xf numFmtId="39" fontId="66" fillId="4" borderId="22" xfId="0" applyNumberFormat="1" applyFont="1" applyFill="1" applyBorder="1"/>
    <xf numFmtId="37" fontId="66" fillId="4" borderId="24" xfId="0" applyNumberFormat="1" applyFont="1" applyFill="1" applyBorder="1"/>
    <xf numFmtId="172" fontId="66" fillId="4" borderId="24" xfId="0" applyNumberFormat="1" applyFont="1" applyFill="1" applyBorder="1"/>
    <xf numFmtId="37" fontId="66" fillId="4" borderId="25" xfId="0" applyNumberFormat="1" applyFont="1" applyFill="1" applyBorder="1"/>
    <xf numFmtId="37" fontId="66" fillId="4" borderId="23" xfId="0" applyNumberFormat="1" applyFont="1" applyFill="1" applyBorder="1"/>
    <xf numFmtId="171" fontId="66" fillId="3" borderId="8" xfId="0" applyNumberFormat="1" applyFont="1" applyFill="1" applyBorder="1"/>
    <xf numFmtId="171" fontId="66" fillId="3" borderId="14" xfId="0" applyNumberFormat="1" applyFont="1" applyFill="1" applyBorder="1"/>
    <xf numFmtId="171" fontId="66" fillId="3" borderId="26" xfId="0" applyNumberFormat="1" applyFont="1" applyFill="1" applyBorder="1"/>
    <xf numFmtId="37" fontId="66" fillId="3" borderId="27" xfId="0" applyNumberFormat="1" applyFont="1" applyFill="1" applyBorder="1"/>
    <xf numFmtId="37" fontId="66" fillId="3" borderId="29" xfId="0" applyNumberFormat="1" applyFont="1" applyFill="1" applyBorder="1"/>
    <xf numFmtId="172" fontId="66" fillId="3" borderId="29" xfId="0" applyNumberFormat="1" applyFont="1" applyFill="1" applyBorder="1"/>
    <xf numFmtId="37" fontId="66" fillId="3" borderId="30" xfId="0" applyNumberFormat="1" applyFont="1" applyFill="1" applyBorder="1"/>
    <xf numFmtId="37" fontId="66" fillId="3" borderId="28" xfId="0" applyNumberFormat="1" applyFont="1" applyFill="1" applyBorder="1"/>
    <xf numFmtId="0" fontId="65" fillId="3" borderId="10" xfId="0" applyFont="1" applyFill="1" applyBorder="1"/>
    <xf numFmtId="0" fontId="73" fillId="0" borderId="0" xfId="0" applyFont="1"/>
    <xf numFmtId="0" fontId="62" fillId="0" borderId="0" xfId="0" applyFont="1" applyAlignment="1">
      <alignment horizontal="right" vertical="center"/>
    </xf>
    <xf numFmtId="0" fontId="74" fillId="3" borderId="22" xfId="0" applyFont="1" applyFill="1" applyBorder="1"/>
    <xf numFmtId="37" fontId="74" fillId="3" borderId="32" xfId="0" applyNumberFormat="1" applyFont="1" applyFill="1" applyBorder="1"/>
    <xf numFmtId="37" fontId="74" fillId="3" borderId="33" xfId="0" applyNumberFormat="1" applyFont="1" applyFill="1" applyBorder="1"/>
    <xf numFmtId="37" fontId="74" fillId="3" borderId="22" xfId="0" applyNumberFormat="1" applyFont="1" applyFill="1" applyBorder="1"/>
    <xf numFmtId="171" fontId="74" fillId="3" borderId="22" xfId="0" applyNumberFormat="1" applyFont="1" applyFill="1" applyBorder="1"/>
    <xf numFmtId="37" fontId="74" fillId="3" borderId="34" xfId="0" applyNumberFormat="1" applyFont="1" applyFill="1" applyBorder="1"/>
    <xf numFmtId="37" fontId="68" fillId="0" borderId="35" xfId="0" applyNumberFormat="1" applyFont="1" applyBorder="1"/>
    <xf numFmtId="0" fontId="74" fillId="3" borderId="17" xfId="0" applyFont="1" applyFill="1" applyBorder="1"/>
    <xf numFmtId="171" fontId="74" fillId="3" borderId="17" xfId="0" applyNumberFormat="1" applyFont="1" applyFill="1" applyBorder="1"/>
    <xf numFmtId="37" fontId="74" fillId="3" borderId="21" xfId="0" applyNumberFormat="1" applyFont="1" applyFill="1" applyBorder="1"/>
    <xf numFmtId="171" fontId="74" fillId="3" borderId="20" xfId="0" applyNumberFormat="1" applyFont="1" applyFill="1" applyBorder="1"/>
    <xf numFmtId="0" fontId="74" fillId="3" borderId="20" xfId="0" applyFont="1" applyFill="1" applyBorder="1"/>
    <xf numFmtId="37" fontId="74" fillId="3" borderId="17" xfId="0" applyNumberFormat="1" applyFont="1" applyFill="1" applyBorder="1"/>
    <xf numFmtId="0" fontId="74" fillId="3" borderId="36" xfId="0" applyFont="1" applyFill="1" applyBorder="1"/>
    <xf numFmtId="165" fontId="63" fillId="0" borderId="0" xfId="0" applyNumberFormat="1" applyFont="1"/>
    <xf numFmtId="165" fontId="73" fillId="0" borderId="0" xfId="0" applyNumberFormat="1" applyFont="1"/>
    <xf numFmtId="171" fontId="68" fillId="0" borderId="35" xfId="0" applyNumberFormat="1" applyFont="1" applyBorder="1"/>
    <xf numFmtId="172" fontId="74" fillId="3" borderId="17" xfId="0" applyNumberFormat="1" applyFont="1" applyFill="1" applyBorder="1"/>
    <xf numFmtId="37" fontId="74" fillId="3" borderId="20" xfId="0" applyNumberFormat="1" applyFont="1" applyFill="1" applyBorder="1"/>
    <xf numFmtId="37" fontId="74" fillId="3" borderId="36" xfId="0" applyNumberFormat="1" applyFont="1" applyFill="1" applyBorder="1"/>
    <xf numFmtId="37" fontId="73" fillId="0" borderId="0" xfId="0" applyNumberFormat="1" applyFont="1"/>
    <xf numFmtId="169" fontId="73" fillId="0" borderId="0" xfId="0" applyNumberFormat="1" applyFont="1"/>
    <xf numFmtId="0" fontId="68" fillId="3" borderId="17" xfId="0" applyFont="1" applyFill="1" applyBorder="1"/>
    <xf numFmtId="0" fontId="73" fillId="4" borderId="1" xfId="0" applyFont="1" applyFill="1" applyBorder="1"/>
    <xf numFmtId="0" fontId="68" fillId="0" borderId="35" xfId="0" applyFont="1" applyBorder="1"/>
    <xf numFmtId="37" fontId="68" fillId="4" borderId="37" xfId="0" applyNumberFormat="1" applyFont="1" applyFill="1" applyBorder="1"/>
    <xf numFmtId="0" fontId="74" fillId="4" borderId="24" xfId="0" applyFont="1" applyFill="1" applyBorder="1"/>
    <xf numFmtId="37" fontId="74" fillId="4" borderId="24" xfId="0" applyNumberFormat="1" applyFont="1" applyFill="1" applyBorder="1"/>
    <xf numFmtId="171" fontId="68" fillId="3" borderId="20" xfId="0" applyNumberFormat="1" applyFont="1" applyFill="1" applyBorder="1"/>
    <xf numFmtId="171" fontId="68" fillId="3" borderId="17" xfId="0" applyNumberFormat="1" applyFont="1" applyFill="1" applyBorder="1"/>
    <xf numFmtId="37" fontId="68" fillId="3" borderId="36" xfId="0" applyNumberFormat="1" applyFont="1" applyFill="1" applyBorder="1"/>
    <xf numFmtId="0" fontId="68" fillId="4" borderId="24" xfId="0" applyFont="1" applyFill="1" applyBorder="1"/>
    <xf numFmtId="37" fontId="68" fillId="4" borderId="24" xfId="0" applyNumberFormat="1" applyFont="1" applyFill="1" applyBorder="1"/>
    <xf numFmtId="37" fontId="68" fillId="4" borderId="38" xfId="0" applyNumberFormat="1" applyFont="1" applyFill="1" applyBorder="1"/>
    <xf numFmtId="37" fontId="68" fillId="4" borderId="1" xfId="0" applyNumberFormat="1" applyFont="1" applyFill="1" applyBorder="1"/>
    <xf numFmtId="171" fontId="68" fillId="4" borderId="1" xfId="0" applyNumberFormat="1" applyFont="1" applyFill="1" applyBorder="1"/>
    <xf numFmtId="171" fontId="68" fillId="4" borderId="38" xfId="0" applyNumberFormat="1" applyFont="1" applyFill="1" applyBorder="1"/>
    <xf numFmtId="171" fontId="68" fillId="4" borderId="24" xfId="0" applyNumberFormat="1" applyFont="1" applyFill="1" applyBorder="1"/>
    <xf numFmtId="37" fontId="68" fillId="4" borderId="42" xfId="0" applyNumberFormat="1" applyFont="1" applyFill="1" applyBorder="1"/>
    <xf numFmtId="39" fontId="68" fillId="0" borderId="0" xfId="0" applyNumberFormat="1" applyFont="1"/>
    <xf numFmtId="37" fontId="73" fillId="0" borderId="35" xfId="0" applyNumberFormat="1" applyFont="1" applyBorder="1"/>
    <xf numFmtId="0" fontId="73" fillId="0" borderId="35" xfId="0" applyFont="1" applyBorder="1"/>
    <xf numFmtId="0" fontId="73" fillId="0" borderId="40" xfId="0" applyFont="1" applyBorder="1"/>
    <xf numFmtId="0" fontId="75" fillId="0" borderId="0" xfId="0" applyFont="1"/>
    <xf numFmtId="37" fontId="75" fillId="0" borderId="0" xfId="0" applyNumberFormat="1" applyFont="1"/>
    <xf numFmtId="37" fontId="76" fillId="0" borderId="0" xfId="0" applyNumberFormat="1" applyFont="1"/>
    <xf numFmtId="0" fontId="75" fillId="4" borderId="1" xfId="0" applyFont="1" applyFill="1" applyBorder="1"/>
    <xf numFmtId="37" fontId="73" fillId="4" borderId="1" xfId="0" applyNumberFormat="1" applyFont="1" applyFill="1" applyBorder="1"/>
    <xf numFmtId="0" fontId="77" fillId="4" borderId="1" xfId="0" applyFont="1" applyFill="1" applyBorder="1"/>
    <xf numFmtId="37" fontId="75" fillId="4" borderId="1" xfId="0" applyNumberFormat="1" applyFont="1" applyFill="1" applyBorder="1"/>
    <xf numFmtId="0" fontId="78" fillId="4" borderId="1" xfId="0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70" fontId="79" fillId="4" borderId="1" xfId="0" applyNumberFormat="1" applyFont="1" applyFill="1" applyBorder="1" applyAlignment="1">
      <alignment horizontal="right"/>
    </xf>
    <xf numFmtId="0" fontId="75" fillId="4" borderId="1" xfId="0" applyFont="1" applyFill="1" applyBorder="1" applyAlignment="1">
      <alignment horizontal="center"/>
    </xf>
    <xf numFmtId="0" fontId="73" fillId="4" borderId="1" xfId="0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/>
    </xf>
    <xf numFmtId="0" fontId="79" fillId="4" borderId="1" xfId="0" applyFont="1" applyFill="1" applyBorder="1"/>
    <xf numFmtId="171" fontId="73" fillId="4" borderId="1" xfId="0" applyNumberFormat="1" applyFont="1" applyFill="1" applyBorder="1"/>
    <xf numFmtId="9" fontId="73" fillId="4" borderId="1" xfId="0" applyNumberFormat="1" applyFont="1" applyFill="1" applyBorder="1"/>
    <xf numFmtId="171" fontId="75" fillId="4" borderId="1" xfId="0" applyNumberFormat="1" applyFont="1" applyFill="1" applyBorder="1"/>
    <xf numFmtId="0" fontId="80" fillId="4" borderId="1" xfId="0" applyFont="1" applyFill="1" applyBorder="1"/>
    <xf numFmtId="0" fontId="78" fillId="4" borderId="1" xfId="0" applyFont="1" applyFill="1" applyBorder="1" applyAlignment="1">
      <alignment horizontal="center"/>
    </xf>
    <xf numFmtId="170" fontId="73" fillId="4" borderId="1" xfId="0" applyNumberFormat="1" applyFont="1" applyFill="1" applyBorder="1" applyAlignment="1">
      <alignment horizontal="center"/>
    </xf>
    <xf numFmtId="0" fontId="81" fillId="4" borderId="1" xfId="0" applyFont="1" applyFill="1" applyBorder="1" applyAlignment="1">
      <alignment horizontal="center"/>
    </xf>
    <xf numFmtId="0" fontId="79" fillId="4" borderId="1" xfId="0" applyFont="1" applyFill="1" applyBorder="1" applyAlignment="1">
      <alignment horizontal="left"/>
    </xf>
    <xf numFmtId="0" fontId="82" fillId="4" borderId="1" xfId="0" applyFont="1" applyFill="1" applyBorder="1"/>
    <xf numFmtId="0" fontId="83" fillId="0" borderId="0" xfId="0" applyFont="1" applyAlignment="1">
      <alignment horizontal="center" vertical="top"/>
    </xf>
    <xf numFmtId="0" fontId="84" fillId="6" borderId="43" xfId="0" applyFont="1" applyFill="1" applyBorder="1" applyAlignment="1">
      <alignment horizontal="center" vertical="center" wrapText="1"/>
    </xf>
    <xf numFmtId="1" fontId="55" fillId="0" borderId="0" xfId="0" applyNumberFormat="1" applyFont="1" applyAlignment="1">
      <alignment horizontal="left" vertical="top"/>
    </xf>
    <xf numFmtId="49" fontId="55" fillId="0" borderId="0" xfId="0" applyNumberFormat="1" applyFont="1" applyAlignment="1">
      <alignment horizontal="left" vertical="top"/>
    </xf>
    <xf numFmtId="4" fontId="55" fillId="0" borderId="0" xfId="0" applyNumberFormat="1" applyFont="1" applyAlignment="1">
      <alignment horizontal="center" vertical="top"/>
    </xf>
    <xf numFmtId="0" fontId="55" fillId="7" borderId="1" xfId="0" applyFont="1" applyFill="1" applyBorder="1" applyAlignment="1">
      <alignment horizontal="center"/>
    </xf>
    <xf numFmtId="0" fontId="55" fillId="5" borderId="1" xfId="0" applyFont="1" applyFill="1" applyBorder="1" applyAlignment="1">
      <alignment horizontal="left" vertical="top"/>
    </xf>
    <xf numFmtId="0" fontId="8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4" fillId="9" borderId="1" xfId="0" applyFont="1" applyFill="1" applyBorder="1"/>
    <xf numFmtId="49" fontId="87" fillId="0" borderId="48" xfId="0" applyNumberFormat="1" applyFont="1" applyBorder="1" applyAlignment="1">
      <alignment horizontal="left" vertical="top"/>
    </xf>
    <xf numFmtId="0" fontId="86" fillId="0" borderId="48" xfId="0" applyFont="1" applyBorder="1" applyAlignment="1">
      <alignment horizontal="left" vertical="top"/>
    </xf>
    <xf numFmtId="0" fontId="86" fillId="0" borderId="0" xfId="0" applyFont="1" applyAlignment="1">
      <alignment horizontal="left" vertical="top"/>
    </xf>
    <xf numFmtId="0" fontId="85" fillId="0" borderId="0" xfId="0" applyFont="1"/>
    <xf numFmtId="0" fontId="55" fillId="9" borderId="1" xfId="0" applyFont="1" applyFill="1" applyBorder="1"/>
    <xf numFmtId="0" fontId="87" fillId="0" borderId="48" xfId="0" applyFont="1" applyBorder="1" applyAlignment="1">
      <alignment horizontal="left" vertical="top"/>
    </xf>
    <xf numFmtId="39" fontId="86" fillId="0" borderId="48" xfId="0" applyNumberFormat="1" applyFont="1" applyBorder="1" applyAlignment="1">
      <alignment horizontal="left" vertical="top"/>
    </xf>
    <xf numFmtId="39" fontId="86" fillId="10" borderId="49" xfId="0" applyNumberFormat="1" applyFont="1" applyFill="1" applyBorder="1" applyAlignment="1">
      <alignment horizontal="left" vertical="top"/>
    </xf>
    <xf numFmtId="0" fontId="87" fillId="10" borderId="49" xfId="0" applyFont="1" applyFill="1" applyBorder="1" applyAlignment="1">
      <alignment horizontal="left" vertical="top"/>
    </xf>
    <xf numFmtId="39" fontId="86" fillId="0" borderId="44" xfId="0" applyNumberFormat="1" applyFont="1" applyBorder="1" applyAlignment="1">
      <alignment horizontal="left" vertical="top"/>
    </xf>
    <xf numFmtId="0" fontId="87" fillId="0" borderId="44" xfId="0" applyFont="1" applyBorder="1" applyAlignment="1">
      <alignment horizontal="left" vertical="top"/>
    </xf>
    <xf numFmtId="0" fontId="87" fillId="0" borderId="0" xfId="0" applyFont="1" applyAlignment="1">
      <alignment horizontal="left" vertical="top"/>
    </xf>
    <xf numFmtId="1" fontId="87" fillId="0" borderId="48" xfId="0" applyNumberFormat="1" applyFont="1" applyBorder="1" applyAlignment="1">
      <alignment horizontal="left" vertical="top"/>
    </xf>
    <xf numFmtId="49" fontId="86" fillId="0" borderId="48" xfId="0" applyNumberFormat="1" applyFont="1" applyBorder="1" applyAlignment="1">
      <alignment horizontal="left" vertical="top"/>
    </xf>
    <xf numFmtId="1" fontId="87" fillId="10" borderId="49" xfId="0" applyNumberFormat="1" applyFont="1" applyFill="1" applyBorder="1" applyAlignment="1">
      <alignment horizontal="left" vertical="top"/>
    </xf>
    <xf numFmtId="49" fontId="86" fillId="10" borderId="49" xfId="0" applyNumberFormat="1" applyFont="1" applyFill="1" applyBorder="1" applyAlignment="1">
      <alignment horizontal="left" vertical="top"/>
    </xf>
    <xf numFmtId="0" fontId="86" fillId="10" borderId="49" xfId="0" applyFont="1" applyFill="1" applyBorder="1" applyAlignment="1">
      <alignment horizontal="left" vertical="top"/>
    </xf>
    <xf numFmtId="0" fontId="86" fillId="0" borderId="44" xfId="0" applyFont="1" applyBorder="1" applyAlignment="1">
      <alignment horizontal="left" vertical="top"/>
    </xf>
    <xf numFmtId="0" fontId="88" fillId="0" borderId="48" xfId="0" applyFont="1" applyBorder="1" applyAlignment="1">
      <alignment horizontal="left" vertical="top"/>
    </xf>
    <xf numFmtId="0" fontId="86" fillId="0" borderId="45" xfId="0" applyFont="1" applyBorder="1" applyAlignment="1">
      <alignment horizontal="left" vertical="top"/>
    </xf>
    <xf numFmtId="0" fontId="89" fillId="8" borderId="49" xfId="0" applyFont="1" applyFill="1" applyBorder="1" applyAlignment="1">
      <alignment horizontal="left" vertical="top"/>
    </xf>
    <xf numFmtId="0" fontId="86" fillId="8" borderId="49" xfId="0" applyFont="1" applyFill="1" applyBorder="1" applyAlignment="1">
      <alignment horizontal="left" vertical="top"/>
    </xf>
    <xf numFmtId="0" fontId="87" fillId="5" borderId="49" xfId="0" applyFont="1" applyFill="1" applyBorder="1" applyAlignment="1">
      <alignment horizontal="left" vertical="top"/>
    </xf>
    <xf numFmtId="0" fontId="86" fillId="5" borderId="49" xfId="0" applyFont="1" applyFill="1" applyBorder="1" applyAlignment="1">
      <alignment horizontal="left" vertical="top"/>
    </xf>
    <xf numFmtId="0" fontId="86" fillId="5" borderId="1" xfId="0" applyFont="1" applyFill="1" applyBorder="1" applyAlignment="1">
      <alignment horizontal="left" vertical="top"/>
    </xf>
    <xf numFmtId="3" fontId="65" fillId="0" borderId="52" xfId="0" applyNumberFormat="1" applyFont="1" applyBorder="1"/>
    <xf numFmtId="0" fontId="65" fillId="0" borderId="1" xfId="0" applyFont="1" applyBorder="1"/>
    <xf numFmtId="3" fontId="65" fillId="0" borderId="1" xfId="0" applyNumberFormat="1" applyFont="1" applyBorder="1"/>
    <xf numFmtId="3" fontId="65" fillId="0" borderId="15" xfId="0" applyNumberFormat="1" applyFont="1" applyBorder="1"/>
    <xf numFmtId="3" fontId="65" fillId="0" borderId="53" xfId="0" applyNumberFormat="1" applyFont="1" applyBorder="1"/>
    <xf numFmtId="3" fontId="65" fillId="0" borderId="12" xfId="0" applyNumberFormat="1" applyFont="1" applyBorder="1"/>
    <xf numFmtId="3" fontId="65" fillId="0" borderId="54" xfId="0" applyNumberFormat="1" applyFont="1" applyBorder="1"/>
    <xf numFmtId="3" fontId="65" fillId="0" borderId="55" xfId="0" applyNumberFormat="1" applyFont="1" applyBorder="1"/>
    <xf numFmtId="2" fontId="65" fillId="0" borderId="1" xfId="0" applyNumberFormat="1" applyFont="1" applyBorder="1"/>
    <xf numFmtId="3" fontId="65" fillId="0" borderId="56" xfId="0" applyNumberFormat="1" applyFont="1" applyBorder="1"/>
    <xf numFmtId="0" fontId="55" fillId="0" borderId="0" xfId="0" applyFont="1" applyAlignment="1">
      <alignment horizontal="center"/>
    </xf>
    <xf numFmtId="37" fontId="65" fillId="0" borderId="55" xfId="0" applyNumberFormat="1" applyFont="1" applyBorder="1"/>
    <xf numFmtId="172" fontId="65" fillId="0" borderId="55" xfId="0" applyNumberFormat="1" applyFont="1" applyBorder="1"/>
    <xf numFmtId="171" fontId="65" fillId="0" borderId="52" xfId="0" applyNumberFormat="1" applyFont="1" applyBorder="1"/>
    <xf numFmtId="0" fontId="65" fillId="0" borderId="55" xfId="0" applyFont="1" applyBorder="1" applyAlignment="1">
      <alignment horizontal="center"/>
    </xf>
    <xf numFmtId="0" fontId="65" fillId="0" borderId="52" xfId="0" applyFont="1" applyBorder="1" applyAlignment="1">
      <alignment horizontal="center"/>
    </xf>
    <xf numFmtId="171" fontId="65" fillId="0" borderId="55" xfId="0" applyNumberFormat="1" applyFont="1" applyBorder="1"/>
    <xf numFmtId="37" fontId="65" fillId="0" borderId="52" xfId="0" applyNumberFormat="1" applyFont="1" applyBorder="1"/>
    <xf numFmtId="37" fontId="65" fillId="0" borderId="1" xfId="0" applyNumberFormat="1" applyFont="1" applyBorder="1"/>
    <xf numFmtId="37" fontId="66" fillId="0" borderId="24" xfId="0" applyNumberFormat="1" applyFont="1" applyBorder="1"/>
    <xf numFmtId="37" fontId="65" fillId="0" borderId="57" xfId="0" applyNumberFormat="1" applyFont="1" applyBorder="1"/>
    <xf numFmtId="37" fontId="66" fillId="0" borderId="58" xfId="0" applyNumberFormat="1" applyFont="1" applyBorder="1"/>
    <xf numFmtId="37" fontId="65" fillId="0" borderId="58" xfId="0" applyNumberFormat="1" applyFont="1" applyBorder="1"/>
    <xf numFmtId="37" fontId="65" fillId="0" borderId="60" xfId="0" applyNumberFormat="1" applyFont="1" applyBorder="1"/>
    <xf numFmtId="37" fontId="65" fillId="11" borderId="1" xfId="0" applyNumberFormat="1" applyFont="1" applyFill="1" applyBorder="1"/>
    <xf numFmtId="171" fontId="66" fillId="3" borderId="1" xfId="0" applyNumberFormat="1" applyFont="1" applyFill="1" applyBorder="1"/>
    <xf numFmtId="0" fontId="65" fillId="0" borderId="62" xfId="0" applyFont="1" applyBorder="1" applyAlignment="1">
      <alignment horizontal="center"/>
    </xf>
    <xf numFmtId="0" fontId="65" fillId="0" borderId="61" xfId="0" applyFont="1" applyBorder="1" applyAlignment="1">
      <alignment horizontal="center"/>
    </xf>
    <xf numFmtId="0" fontId="65" fillId="0" borderId="63" xfId="0" applyFont="1" applyBorder="1" applyAlignment="1">
      <alignment horizontal="center"/>
    </xf>
    <xf numFmtId="37" fontId="65" fillId="11" borderId="64" xfId="0" applyNumberFormat="1" applyFont="1" applyFill="1" applyBorder="1"/>
    <xf numFmtId="37" fontId="65" fillId="0" borderId="63" xfId="0" applyNumberFormat="1" applyFont="1" applyBorder="1"/>
    <xf numFmtId="171" fontId="65" fillId="0" borderId="1" xfId="0" applyNumberFormat="1" applyFont="1" applyBorder="1"/>
    <xf numFmtId="37" fontId="65" fillId="0" borderId="54" xfId="0" applyNumberFormat="1" applyFont="1" applyBorder="1"/>
    <xf numFmtId="0" fontId="65" fillId="0" borderId="54" xfId="0" applyFont="1" applyBorder="1" applyAlignment="1">
      <alignment horizontal="center"/>
    </xf>
    <xf numFmtId="171" fontId="68" fillId="0" borderId="58" xfId="0" applyNumberFormat="1" applyFont="1" applyBorder="1"/>
    <xf numFmtId="171" fontId="68" fillId="0" borderId="57" xfId="0" applyNumberFormat="1" applyFont="1" applyBorder="1"/>
    <xf numFmtId="171" fontId="68" fillId="0" borderId="65" xfId="0" applyNumberFormat="1" applyFont="1" applyBorder="1"/>
    <xf numFmtId="171" fontId="95" fillId="0" borderId="57" xfId="0" applyNumberFormat="1" applyFont="1" applyBorder="1"/>
    <xf numFmtId="37" fontId="74" fillId="3" borderId="66" xfId="0" applyNumberFormat="1" applyFont="1" applyFill="1" applyBorder="1"/>
    <xf numFmtId="37" fontId="74" fillId="3" borderId="67" xfId="0" applyNumberFormat="1" applyFont="1" applyFill="1" applyBorder="1"/>
    <xf numFmtId="0" fontId="73" fillId="0" borderId="1" xfId="0" applyFont="1" applyBorder="1"/>
    <xf numFmtId="3" fontId="65" fillId="11" borderId="69" xfId="0" applyNumberFormat="1" applyFont="1" applyFill="1" applyBorder="1"/>
    <xf numFmtId="3" fontId="65" fillId="11" borderId="70" xfId="0" applyNumberFormat="1" applyFont="1" applyFill="1" applyBorder="1"/>
    <xf numFmtId="172" fontId="66" fillId="0" borderId="24" xfId="0" applyNumberFormat="1" applyFont="1" applyBorder="1"/>
    <xf numFmtId="37" fontId="66" fillId="0" borderId="25" xfId="0" applyNumberFormat="1" applyFont="1" applyBorder="1"/>
    <xf numFmtId="37" fontId="66" fillId="0" borderId="23" xfId="0" applyNumberFormat="1" applyFont="1" applyBorder="1"/>
    <xf numFmtId="0" fontId="65" fillId="0" borderId="12" xfId="0" applyFont="1" applyBorder="1"/>
    <xf numFmtId="37" fontId="65" fillId="0" borderId="12" xfId="0" applyNumberFormat="1" applyFont="1" applyBorder="1"/>
    <xf numFmtId="37" fontId="65" fillId="0" borderId="15" xfId="0" applyNumberFormat="1" applyFont="1" applyBorder="1"/>
    <xf numFmtId="172" fontId="65" fillId="0" borderId="1" xfId="0" applyNumberFormat="1" applyFont="1" applyBorder="1"/>
    <xf numFmtId="171" fontId="65" fillId="0" borderId="15" xfId="0" applyNumberFormat="1" applyFont="1" applyBorder="1"/>
    <xf numFmtId="37" fontId="66" fillId="0" borderId="12" xfId="0" applyNumberFormat="1" applyFont="1" applyBorder="1"/>
    <xf numFmtId="172" fontId="66" fillId="0" borderId="1" xfId="0" applyNumberFormat="1" applyFont="1" applyBorder="1"/>
    <xf numFmtId="37" fontId="66" fillId="0" borderId="15" xfId="0" applyNumberFormat="1" applyFont="1" applyBorder="1"/>
    <xf numFmtId="37" fontId="66" fillId="0" borderId="1" xfId="0" applyNumberFormat="1" applyFont="1" applyBorder="1"/>
    <xf numFmtId="0" fontId="66" fillId="0" borderId="12" xfId="0" applyFont="1" applyBorder="1"/>
    <xf numFmtId="0" fontId="66" fillId="0" borderId="1" xfId="0" applyFont="1" applyBorder="1"/>
    <xf numFmtId="171" fontId="66" fillId="0" borderId="15" xfId="0" applyNumberFormat="1" applyFont="1" applyBorder="1"/>
    <xf numFmtId="171" fontId="66" fillId="0" borderId="12" xfId="0" applyNumberFormat="1" applyFont="1" applyBorder="1"/>
    <xf numFmtId="37" fontId="92" fillId="0" borderId="1" xfId="0" applyNumberFormat="1" applyFont="1" applyBorder="1"/>
    <xf numFmtId="0" fontId="74" fillId="0" borderId="1" xfId="0" applyFont="1" applyBorder="1"/>
    <xf numFmtId="37" fontId="68" fillId="0" borderId="37" xfId="0" applyNumberFormat="1" applyFont="1" applyBorder="1"/>
    <xf numFmtId="171" fontId="74" fillId="0" borderId="24" xfId="0" applyNumberFormat="1" applyFont="1" applyBorder="1"/>
    <xf numFmtId="0" fontId="74" fillId="0" borderId="24" xfId="0" applyFont="1" applyBorder="1"/>
    <xf numFmtId="37" fontId="74" fillId="0" borderId="38" xfId="0" applyNumberFormat="1" applyFont="1" applyBorder="1"/>
    <xf numFmtId="171" fontId="74" fillId="0" borderId="38" xfId="0" applyNumberFormat="1" applyFont="1" applyBorder="1"/>
    <xf numFmtId="37" fontId="74" fillId="0" borderId="24" xfId="0" applyNumberFormat="1" applyFont="1" applyBorder="1"/>
    <xf numFmtId="171" fontId="74" fillId="0" borderId="1" xfId="0" applyNumberFormat="1" applyFont="1" applyBorder="1"/>
    <xf numFmtId="37" fontId="74" fillId="0" borderId="39" xfId="0" applyNumberFormat="1" applyFont="1" applyBorder="1"/>
    <xf numFmtId="171" fontId="74" fillId="0" borderId="39" xfId="0" applyNumberFormat="1" applyFont="1" applyBorder="1"/>
    <xf numFmtId="37" fontId="68" fillId="0" borderId="40" xfId="0" applyNumberFormat="1" applyFont="1" applyBorder="1"/>
    <xf numFmtId="37" fontId="74" fillId="0" borderId="1" xfId="0" applyNumberFormat="1" applyFont="1" applyBorder="1"/>
    <xf numFmtId="0" fontId="65" fillId="0" borderId="1" xfId="0" applyFont="1" applyBorder="1" applyAlignment="1">
      <alignment horizontal="right"/>
    </xf>
    <xf numFmtId="0" fontId="65" fillId="0" borderId="70" xfId="0" applyFont="1" applyBorder="1"/>
    <xf numFmtId="0" fontId="65" fillId="0" borderId="72" xfId="0" applyFont="1" applyBorder="1"/>
    <xf numFmtId="0" fontId="65" fillId="0" borderId="12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65" fillId="0" borderId="15" xfId="0" applyFont="1" applyBorder="1" applyAlignment="1">
      <alignment horizontal="center"/>
    </xf>
    <xf numFmtId="0" fontId="65" fillId="0" borderId="57" xfId="0" applyFont="1" applyBorder="1" applyAlignment="1">
      <alignment horizontal="center"/>
    </xf>
    <xf numFmtId="0" fontId="66" fillId="3" borderId="73" xfId="0" applyFont="1" applyFill="1" applyBorder="1"/>
    <xf numFmtId="37" fontId="66" fillId="3" borderId="74" xfId="0" applyNumberFormat="1" applyFont="1" applyFill="1" applyBorder="1"/>
    <xf numFmtId="0" fontId="66" fillId="3" borderId="75" xfId="0" applyFont="1" applyFill="1" applyBorder="1"/>
    <xf numFmtId="171" fontId="66" fillId="3" borderId="76" xfId="0" applyNumberFormat="1" applyFont="1" applyFill="1" applyBorder="1"/>
    <xf numFmtId="0" fontId="66" fillId="0" borderId="72" xfId="0" applyFont="1" applyBorder="1"/>
    <xf numFmtId="171" fontId="65" fillId="0" borderId="15" xfId="1" applyNumberFormat="1" applyFont="1" applyFill="1" applyBorder="1"/>
    <xf numFmtId="171" fontId="66" fillId="0" borderId="57" xfId="0" applyNumberFormat="1" applyFont="1" applyBorder="1"/>
    <xf numFmtId="0" fontId="66" fillId="0" borderId="72" xfId="0" applyFont="1" applyBorder="1" applyAlignment="1">
      <alignment horizontal="left"/>
    </xf>
    <xf numFmtId="0" fontId="91" fillId="0" borderId="1" xfId="0" applyFont="1" applyBorder="1"/>
    <xf numFmtId="0" fontId="65" fillId="0" borderId="15" xfId="0" applyFont="1" applyBorder="1"/>
    <xf numFmtId="0" fontId="65" fillId="0" borderId="57" xfId="0" applyFont="1" applyBorder="1"/>
    <xf numFmtId="0" fontId="68" fillId="0" borderId="72" xfId="0" applyFont="1" applyBorder="1"/>
    <xf numFmtId="0" fontId="68" fillId="0" borderId="77" xfId="0" applyFont="1" applyBorder="1"/>
    <xf numFmtId="0" fontId="65" fillId="0" borderId="12" xfId="0" applyFont="1" applyBorder="1" applyAlignment="1">
      <alignment horizontal="right"/>
    </xf>
    <xf numFmtId="0" fontId="65" fillId="0" borderId="24" xfId="0" applyFont="1" applyBorder="1" applyAlignment="1">
      <alignment horizontal="right"/>
    </xf>
    <xf numFmtId="0" fontId="65" fillId="0" borderId="24" xfId="0" applyFont="1" applyBorder="1"/>
    <xf numFmtId="0" fontId="65" fillId="0" borderId="23" xfId="0" applyFont="1" applyBorder="1" applyAlignment="1">
      <alignment horizontal="right"/>
    </xf>
    <xf numFmtId="0" fontId="65" fillId="0" borderId="23" xfId="0" applyFont="1" applyBorder="1"/>
    <xf numFmtId="37" fontId="65" fillId="0" borderId="25" xfId="0" applyNumberFormat="1" applyFont="1" applyBorder="1"/>
    <xf numFmtId="0" fontId="65" fillId="0" borderId="22" xfId="0" applyFont="1" applyBorder="1" applyAlignment="1">
      <alignment horizontal="right"/>
    </xf>
    <xf numFmtId="0" fontId="65" fillId="0" borderId="22" xfId="0" applyFont="1" applyBorder="1"/>
    <xf numFmtId="0" fontId="65" fillId="0" borderId="13" xfId="0" applyFont="1" applyBorder="1" applyAlignment="1">
      <alignment horizontal="right"/>
    </xf>
    <xf numFmtId="0" fontId="65" fillId="0" borderId="13" xfId="0" applyFont="1" applyBorder="1"/>
    <xf numFmtId="37" fontId="65" fillId="0" borderId="19" xfId="0" applyNumberFormat="1" applyFont="1" applyBorder="1"/>
    <xf numFmtId="0" fontId="66" fillId="3" borderId="78" xfId="0" applyFont="1" applyFill="1" applyBorder="1"/>
    <xf numFmtId="37" fontId="66" fillId="3" borderId="60" xfId="0" applyNumberFormat="1" applyFont="1" applyFill="1" applyBorder="1"/>
    <xf numFmtId="0" fontId="68" fillId="0" borderId="79" xfId="0" applyFont="1" applyBorder="1"/>
    <xf numFmtId="0" fontId="66" fillId="0" borderId="15" xfId="0" applyFont="1" applyBorder="1"/>
    <xf numFmtId="0" fontId="66" fillId="0" borderId="57" xfId="0" applyFont="1" applyBorder="1"/>
    <xf numFmtId="37" fontId="66" fillId="3" borderId="59" xfId="0" applyNumberFormat="1" applyFont="1" applyFill="1" applyBorder="1"/>
    <xf numFmtId="0" fontId="66" fillId="3" borderId="80" xfId="0" applyFont="1" applyFill="1" applyBorder="1"/>
    <xf numFmtId="0" fontId="66" fillId="3" borderId="66" xfId="0" applyFont="1" applyFill="1" applyBorder="1"/>
    <xf numFmtId="37" fontId="66" fillId="3" borderId="81" xfId="0" applyNumberFormat="1" applyFont="1" applyFill="1" applyBorder="1"/>
    <xf numFmtId="0" fontId="66" fillId="3" borderId="82" xfId="0" applyFont="1" applyFill="1" applyBorder="1"/>
    <xf numFmtId="0" fontId="65" fillId="3" borderId="82" xfId="0" applyFont="1" applyFill="1" applyBorder="1"/>
    <xf numFmtId="0" fontId="65" fillId="3" borderId="66" xfId="0" applyFont="1" applyFill="1" applyBorder="1"/>
    <xf numFmtId="37" fontId="66" fillId="3" borderId="83" xfId="0" applyNumberFormat="1" applyFont="1" applyFill="1" applyBorder="1"/>
    <xf numFmtId="171" fontId="65" fillId="0" borderId="12" xfId="0" applyNumberFormat="1" applyFont="1" applyBorder="1"/>
    <xf numFmtId="0" fontId="65" fillId="0" borderId="77" xfId="0" applyFont="1" applyBorder="1"/>
    <xf numFmtId="171" fontId="66" fillId="0" borderId="24" xfId="0" applyNumberFormat="1" applyFont="1" applyBorder="1"/>
    <xf numFmtId="171" fontId="66" fillId="0" borderId="23" xfId="0" applyNumberFormat="1" applyFont="1" applyBorder="1"/>
    <xf numFmtId="0" fontId="65" fillId="0" borderId="19" xfId="0" applyFont="1" applyBorder="1"/>
    <xf numFmtId="0" fontId="91" fillId="0" borderId="22" xfId="0" applyFont="1" applyBorder="1"/>
    <xf numFmtId="171" fontId="66" fillId="0" borderId="19" xfId="0" applyNumberFormat="1" applyFont="1" applyBorder="1"/>
    <xf numFmtId="171" fontId="66" fillId="0" borderId="60" xfId="0" applyNumberFormat="1" applyFont="1" applyBorder="1"/>
    <xf numFmtId="171" fontId="65" fillId="0" borderId="22" xfId="0" applyNumberFormat="1" applyFont="1" applyBorder="1"/>
    <xf numFmtId="37" fontId="65" fillId="0" borderId="13" xfId="0" applyNumberFormat="1" applyFont="1" applyBorder="1"/>
    <xf numFmtId="0" fontId="66" fillId="3" borderId="84" xfId="0" applyFont="1" applyFill="1" applyBorder="1"/>
    <xf numFmtId="0" fontId="65" fillId="3" borderId="62" xfId="0" applyFont="1" applyFill="1" applyBorder="1" applyAlignment="1">
      <alignment horizontal="right"/>
    </xf>
    <xf numFmtId="0" fontId="65" fillId="3" borderId="62" xfId="0" applyFont="1" applyFill="1" applyBorder="1"/>
    <xf numFmtId="37" fontId="66" fillId="3" borderId="61" xfId="0" applyNumberFormat="1" applyFont="1" applyFill="1" applyBorder="1"/>
    <xf numFmtId="0" fontId="65" fillId="3" borderId="63" xfId="0" applyFont="1" applyFill="1" applyBorder="1" applyAlignment="1">
      <alignment horizontal="right"/>
    </xf>
    <xf numFmtId="0" fontId="66" fillId="3" borderId="63" xfId="0" applyFont="1" applyFill="1" applyBorder="1"/>
    <xf numFmtId="0" fontId="66" fillId="3" borderId="62" xfId="0" applyFont="1" applyFill="1" applyBorder="1"/>
    <xf numFmtId="37" fontId="66" fillId="3" borderId="85" xfId="0" applyNumberFormat="1" applyFont="1" applyFill="1" applyBorder="1"/>
    <xf numFmtId="1" fontId="65" fillId="0" borderId="12" xfId="0" applyNumberFormat="1" applyFont="1" applyBorder="1"/>
    <xf numFmtId="0" fontId="65" fillId="0" borderId="79" xfId="0" applyFont="1" applyBorder="1"/>
    <xf numFmtId="1" fontId="65" fillId="0" borderId="23" xfId="0" applyNumberFormat="1" applyFont="1" applyBorder="1"/>
    <xf numFmtId="37" fontId="65" fillId="0" borderId="23" xfId="0" applyNumberFormat="1" applyFont="1" applyBorder="1"/>
    <xf numFmtId="171" fontId="65" fillId="0" borderId="23" xfId="0" applyNumberFormat="1" applyFont="1" applyBorder="1"/>
    <xf numFmtId="37" fontId="65" fillId="0" borderId="24" xfId="0" applyNumberFormat="1" applyFont="1" applyBorder="1"/>
    <xf numFmtId="172" fontId="65" fillId="0" borderId="22" xfId="0" applyNumberFormat="1" applyFont="1" applyBorder="1"/>
    <xf numFmtId="171" fontId="65" fillId="0" borderId="19" xfId="0" applyNumberFormat="1" applyFont="1" applyBorder="1"/>
    <xf numFmtId="2" fontId="65" fillId="0" borderId="22" xfId="0" applyNumberFormat="1" applyFont="1" applyBorder="1"/>
    <xf numFmtId="171" fontId="65" fillId="0" borderId="13" xfId="0" applyNumberFormat="1" applyFont="1" applyBorder="1"/>
    <xf numFmtId="37" fontId="66" fillId="3" borderId="86" xfId="0" applyNumberFormat="1" applyFont="1" applyFill="1" applyBorder="1"/>
    <xf numFmtId="0" fontId="66" fillId="3" borderId="87" xfId="0" applyFont="1" applyFill="1" applyBorder="1"/>
    <xf numFmtId="0" fontId="66" fillId="3" borderId="31" xfId="0" applyFont="1" applyFill="1" applyBorder="1"/>
    <xf numFmtId="171" fontId="66" fillId="0" borderId="13" xfId="0" applyNumberFormat="1" applyFont="1" applyBorder="1"/>
    <xf numFmtId="173" fontId="65" fillId="0" borderId="1" xfId="0" applyNumberFormat="1" applyFont="1" applyBorder="1"/>
    <xf numFmtId="37" fontId="66" fillId="0" borderId="57" xfId="0" applyNumberFormat="1" applyFont="1" applyBorder="1"/>
    <xf numFmtId="0" fontId="66" fillId="0" borderId="22" xfId="0" applyFont="1" applyBorder="1"/>
    <xf numFmtId="172" fontId="66" fillId="0" borderId="22" xfId="0" applyNumberFormat="1" applyFont="1" applyBorder="1"/>
    <xf numFmtId="0" fontId="66" fillId="0" borderId="13" xfId="0" applyFont="1" applyBorder="1"/>
    <xf numFmtId="37" fontId="66" fillId="0" borderId="13" xfId="0" applyNumberFormat="1" applyFont="1" applyBorder="1"/>
    <xf numFmtId="37" fontId="66" fillId="0" borderId="19" xfId="0" applyNumberFormat="1" applyFont="1" applyBorder="1"/>
    <xf numFmtId="37" fontId="66" fillId="0" borderId="60" xfId="0" applyNumberFormat="1" applyFont="1" applyBorder="1"/>
    <xf numFmtId="0" fontId="66" fillId="4" borderId="73" xfId="0" applyFont="1" applyFill="1" applyBorder="1"/>
    <xf numFmtId="171" fontId="93" fillId="0" borderId="12" xfId="0" applyNumberFormat="1" applyFont="1" applyBorder="1"/>
    <xf numFmtId="37" fontId="66" fillId="4" borderId="86" xfId="0" applyNumberFormat="1" applyFont="1" applyFill="1" applyBorder="1"/>
    <xf numFmtId="0" fontId="66" fillId="4" borderId="77" xfId="0" applyFont="1" applyFill="1" applyBorder="1"/>
    <xf numFmtId="0" fontId="66" fillId="0" borderId="79" xfId="0" applyFont="1" applyBorder="1"/>
    <xf numFmtId="0" fontId="66" fillId="4" borderId="79" xfId="0" applyFont="1" applyFill="1" applyBorder="1"/>
    <xf numFmtId="37" fontId="66" fillId="4" borderId="58" xfId="0" applyNumberFormat="1" applyFont="1" applyFill="1" applyBorder="1"/>
    <xf numFmtId="0" fontId="65" fillId="0" borderId="24" xfId="0" applyFont="1" applyBorder="1" applyAlignment="1">
      <alignment horizontal="center"/>
    </xf>
    <xf numFmtId="0" fontId="65" fillId="0" borderId="13" xfId="0" applyFont="1" applyBorder="1" applyAlignment="1">
      <alignment horizontal="center"/>
    </xf>
    <xf numFmtId="0" fontId="65" fillId="0" borderId="19" xfId="0" applyFont="1" applyBorder="1" applyAlignment="1">
      <alignment horizontal="center"/>
    </xf>
    <xf numFmtId="0" fontId="65" fillId="0" borderId="22" xfId="0" applyFont="1" applyBorder="1" applyAlignment="1">
      <alignment horizontal="center"/>
    </xf>
    <xf numFmtId="0" fontId="65" fillId="0" borderId="60" xfId="0" applyFont="1" applyBorder="1" applyAlignment="1">
      <alignment horizontal="center"/>
    </xf>
    <xf numFmtId="3" fontId="65" fillId="0" borderId="57" xfId="0" applyNumberFormat="1" applyFont="1" applyBorder="1"/>
    <xf numFmtId="3" fontId="66" fillId="0" borderId="24" xfId="0" applyNumberFormat="1" applyFont="1" applyBorder="1"/>
    <xf numFmtId="3" fontId="66" fillId="0" borderId="25" xfId="0" applyNumberFormat="1" applyFont="1" applyBorder="1"/>
    <xf numFmtId="3" fontId="66" fillId="0" borderId="23" xfId="0" applyNumberFormat="1" applyFont="1" applyBorder="1"/>
    <xf numFmtId="3" fontId="66" fillId="0" borderId="58" xfId="0" applyNumberFormat="1" applyFont="1" applyBorder="1"/>
    <xf numFmtId="3" fontId="65" fillId="0" borderId="19" xfId="0" applyNumberFormat="1" applyFont="1" applyBorder="1"/>
    <xf numFmtId="3" fontId="65" fillId="0" borderId="13" xfId="0" applyNumberFormat="1" applyFont="1" applyBorder="1"/>
    <xf numFmtId="3" fontId="65" fillId="0" borderId="22" xfId="0" applyNumberFormat="1" applyFont="1" applyBorder="1"/>
    <xf numFmtId="3" fontId="66" fillId="0" borderId="13" xfId="0" applyNumberFormat="1" applyFont="1" applyBorder="1"/>
    <xf numFmtId="3" fontId="66" fillId="0" borderId="19" xfId="0" applyNumberFormat="1" applyFont="1" applyBorder="1"/>
    <xf numFmtId="3" fontId="66" fillId="0" borderId="60" xfId="0" applyNumberFormat="1" applyFont="1" applyBorder="1"/>
    <xf numFmtId="3" fontId="65" fillId="0" borderId="23" xfId="0" applyNumberFormat="1" applyFont="1" applyBorder="1"/>
    <xf numFmtId="171" fontId="92" fillId="11" borderId="88" xfId="0" applyNumberFormat="1" applyFont="1" applyFill="1" applyBorder="1"/>
    <xf numFmtId="37" fontId="65" fillId="0" borderId="22" xfId="0" applyNumberFormat="1" applyFont="1" applyBorder="1"/>
    <xf numFmtId="0" fontId="66" fillId="0" borderId="1" xfId="0" applyFont="1" applyBorder="1" applyAlignment="1">
      <alignment horizontal="center"/>
    </xf>
    <xf numFmtId="171" fontId="66" fillId="0" borderId="1" xfId="0" applyNumberFormat="1" applyFont="1" applyBorder="1"/>
    <xf numFmtId="0" fontId="66" fillId="0" borderId="12" xfId="0" applyFont="1" applyBorder="1" applyAlignment="1">
      <alignment horizontal="center"/>
    </xf>
    <xf numFmtId="3" fontId="65" fillId="0" borderId="24" xfId="0" applyNumberFormat="1" applyFont="1" applyBorder="1" applyAlignment="1">
      <alignment horizontal="center"/>
    </xf>
    <xf numFmtId="3" fontId="65" fillId="0" borderId="1" xfId="0" applyNumberFormat="1" applyFont="1" applyBorder="1" applyAlignment="1">
      <alignment horizontal="center"/>
    </xf>
    <xf numFmtId="3" fontId="65" fillId="0" borderId="15" xfId="0" applyNumberFormat="1" applyFont="1" applyBorder="1" applyAlignment="1">
      <alignment horizontal="center"/>
    </xf>
    <xf numFmtId="3" fontId="65" fillId="0" borderId="12" xfId="0" applyNumberFormat="1" applyFont="1" applyBorder="1" applyAlignment="1">
      <alignment horizontal="center"/>
    </xf>
    <xf numFmtId="3" fontId="65" fillId="0" borderId="57" xfId="0" applyNumberFormat="1" applyFont="1" applyBorder="1" applyAlignment="1">
      <alignment horizontal="center"/>
    </xf>
    <xf numFmtId="3" fontId="65" fillId="0" borderId="22" xfId="0" applyNumberFormat="1" applyFont="1" applyBorder="1" applyAlignment="1">
      <alignment horizontal="center"/>
    </xf>
    <xf numFmtId="3" fontId="65" fillId="0" borderId="13" xfId="0" applyNumberFormat="1" applyFont="1" applyBorder="1" applyAlignment="1">
      <alignment horizontal="center"/>
    </xf>
    <xf numFmtId="3" fontId="65" fillId="0" borderId="19" xfId="0" applyNumberFormat="1" applyFont="1" applyBorder="1" applyAlignment="1">
      <alignment horizontal="center"/>
    </xf>
    <xf numFmtId="3" fontId="65" fillId="0" borderId="60" xfId="0" applyNumberFormat="1" applyFont="1" applyBorder="1" applyAlignment="1">
      <alignment horizontal="center"/>
    </xf>
    <xf numFmtId="0" fontId="66" fillId="0" borderId="77" xfId="0" applyFont="1" applyBorder="1"/>
    <xf numFmtId="3" fontId="65" fillId="0" borderId="60" xfId="0" applyNumberFormat="1" applyFont="1" applyBorder="1"/>
    <xf numFmtId="3" fontId="65" fillId="0" borderId="24" xfId="0" applyNumberFormat="1" applyFont="1" applyBorder="1"/>
    <xf numFmtId="3" fontId="65" fillId="0" borderId="25" xfId="0" applyNumberFormat="1" applyFont="1" applyBorder="1"/>
    <xf numFmtId="3" fontId="65" fillId="0" borderId="58" xfId="0" applyNumberFormat="1" applyFont="1" applyBorder="1"/>
    <xf numFmtId="3" fontId="66" fillId="0" borderId="12" xfId="0" applyNumberFormat="1" applyFont="1" applyBorder="1"/>
    <xf numFmtId="0" fontId="66" fillId="4" borderId="72" xfId="0" applyFont="1" applyFill="1" applyBorder="1"/>
    <xf numFmtId="37" fontId="66" fillId="4" borderId="60" xfId="0" applyNumberFormat="1" applyFont="1" applyFill="1" applyBorder="1"/>
    <xf numFmtId="0" fontId="65" fillId="3" borderId="63" xfId="0" applyFont="1" applyFill="1" applyBorder="1"/>
    <xf numFmtId="0" fontId="7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/>
    </xf>
    <xf numFmtId="0" fontId="63" fillId="0" borderId="1" xfId="0" applyFont="1" applyBorder="1"/>
    <xf numFmtId="0" fontId="65" fillId="0" borderId="89" xfId="0" applyFont="1" applyBorder="1" applyAlignment="1">
      <alignment horizontal="left"/>
    </xf>
    <xf numFmtId="0" fontId="66" fillId="0" borderId="90" xfId="0" applyFont="1" applyBorder="1" applyAlignment="1">
      <alignment horizontal="center" vertical="center"/>
    </xf>
    <xf numFmtId="0" fontId="65" fillId="0" borderId="32" xfId="0" applyFont="1" applyBorder="1" applyAlignment="1">
      <alignment horizontal="center"/>
    </xf>
    <xf numFmtId="0" fontId="65" fillId="0" borderId="33" xfId="0" applyFont="1" applyBorder="1" applyAlignment="1">
      <alignment horizontal="center"/>
    </xf>
    <xf numFmtId="0" fontId="65" fillId="0" borderId="34" xfId="0" applyFont="1" applyBorder="1" applyAlignment="1">
      <alignment horizontal="center"/>
    </xf>
    <xf numFmtId="0" fontId="68" fillId="0" borderId="22" xfId="0" applyFont="1" applyBorder="1"/>
    <xf numFmtId="37" fontId="68" fillId="0" borderId="32" xfId="0" applyNumberFormat="1" applyFont="1" applyBorder="1"/>
    <xf numFmtId="37" fontId="68" fillId="0" borderId="33" xfId="0" applyNumberFormat="1" applyFont="1" applyBorder="1"/>
    <xf numFmtId="37" fontId="68" fillId="0" borderId="22" xfId="0" applyNumberFormat="1" applyFont="1" applyBorder="1"/>
    <xf numFmtId="171" fontId="68" fillId="0" borderId="22" xfId="0" applyNumberFormat="1" applyFont="1" applyBorder="1"/>
    <xf numFmtId="37" fontId="68" fillId="0" borderId="34" xfId="0" applyNumberFormat="1" applyFont="1" applyBorder="1"/>
    <xf numFmtId="171" fontId="68" fillId="0" borderId="60" xfId="0" applyNumberFormat="1" applyFont="1" applyBorder="1"/>
    <xf numFmtId="0" fontId="74" fillId="3" borderId="77" xfId="0" applyFont="1" applyFill="1" applyBorder="1"/>
    <xf numFmtId="171" fontId="74" fillId="3" borderId="60" xfId="0" applyNumberFormat="1" applyFont="1" applyFill="1" applyBorder="1"/>
    <xf numFmtId="0" fontId="74" fillId="0" borderId="72" xfId="0" applyFont="1" applyBorder="1"/>
    <xf numFmtId="0" fontId="68" fillId="0" borderId="1" xfId="0" applyFont="1" applyBorder="1"/>
    <xf numFmtId="37" fontId="68" fillId="0" borderId="39" xfId="0" applyNumberFormat="1" applyFont="1" applyBorder="1"/>
    <xf numFmtId="37" fontId="68" fillId="0" borderId="1" xfId="0" applyNumberFormat="1" applyFont="1" applyBorder="1"/>
    <xf numFmtId="171" fontId="68" fillId="0" borderId="1" xfId="0" applyNumberFormat="1" applyFont="1" applyBorder="1"/>
    <xf numFmtId="37" fontId="68" fillId="0" borderId="41" xfId="0" applyNumberFormat="1" applyFont="1" applyBorder="1"/>
    <xf numFmtId="0" fontId="68" fillId="0" borderId="1" xfId="0" applyFont="1" applyBorder="1" applyAlignment="1">
      <alignment horizontal="right"/>
    </xf>
    <xf numFmtId="172" fontId="68" fillId="0" borderId="1" xfId="0" applyNumberFormat="1" applyFont="1" applyBorder="1"/>
    <xf numFmtId="0" fontId="68" fillId="0" borderId="39" xfId="0" applyFont="1" applyBorder="1"/>
    <xf numFmtId="0" fontId="68" fillId="0" borderId="22" xfId="0" applyFont="1" applyBorder="1" applyAlignment="1">
      <alignment horizontal="right"/>
    </xf>
    <xf numFmtId="172" fontId="68" fillId="0" borderId="22" xfId="0" applyNumberFormat="1" applyFont="1" applyBorder="1"/>
    <xf numFmtId="0" fontId="68" fillId="0" borderId="33" xfId="0" applyFont="1" applyBorder="1"/>
    <xf numFmtId="171" fontId="68" fillId="0" borderId="32" xfId="0" applyNumberFormat="1" applyFont="1" applyBorder="1"/>
    <xf numFmtId="0" fontId="74" fillId="3" borderId="78" xfId="0" applyFont="1" applyFill="1" applyBorder="1"/>
    <xf numFmtId="0" fontId="68" fillId="0" borderId="24" xfId="0" applyFont="1" applyBorder="1" applyAlignment="1">
      <alignment horizontal="right"/>
    </xf>
    <xf numFmtId="0" fontId="68" fillId="0" borderId="24" xfId="0" applyFont="1" applyBorder="1"/>
    <xf numFmtId="0" fontId="68" fillId="0" borderId="38" xfId="0" applyFont="1" applyBorder="1"/>
    <xf numFmtId="172" fontId="68" fillId="0" borderId="24" xfId="0" applyNumberFormat="1" applyFont="1" applyBorder="1"/>
    <xf numFmtId="37" fontId="68" fillId="0" borderId="24" xfId="0" applyNumberFormat="1" applyFont="1" applyBorder="1"/>
    <xf numFmtId="171" fontId="68" fillId="0" borderId="24" xfId="0" applyNumberFormat="1" applyFont="1" applyBorder="1"/>
    <xf numFmtId="37" fontId="68" fillId="0" borderId="42" xfId="0" applyNumberFormat="1" applyFont="1" applyBorder="1"/>
    <xf numFmtId="171" fontId="68" fillId="0" borderId="37" xfId="0" applyNumberFormat="1" applyFont="1" applyBorder="1"/>
    <xf numFmtId="0" fontId="68" fillId="0" borderId="41" xfId="0" applyFont="1" applyBorder="1"/>
    <xf numFmtId="171" fontId="68" fillId="0" borderId="94" xfId="0" applyNumberFormat="1" applyFont="1" applyBorder="1"/>
    <xf numFmtId="37" fontId="68" fillId="0" borderId="51" xfId="0" applyNumberFormat="1" applyFont="1" applyBorder="1"/>
    <xf numFmtId="0" fontId="74" fillId="4" borderId="79" xfId="0" applyFont="1" applyFill="1" applyBorder="1"/>
    <xf numFmtId="171" fontId="68" fillId="0" borderId="85" xfId="0" applyNumberFormat="1" applyFont="1" applyBorder="1"/>
    <xf numFmtId="0" fontId="74" fillId="3" borderId="80" xfId="0" applyFont="1" applyFill="1" applyBorder="1"/>
    <xf numFmtId="0" fontId="74" fillId="3" borderId="66" xfId="0" applyFont="1" applyFill="1" applyBorder="1"/>
    <xf numFmtId="0" fontId="74" fillId="3" borderId="66" xfId="0" applyFont="1" applyFill="1" applyBorder="1" applyAlignment="1">
      <alignment horizontal="center"/>
    </xf>
    <xf numFmtId="171" fontId="74" fillId="3" borderId="66" xfId="0" applyNumberFormat="1" applyFont="1" applyFill="1" applyBorder="1"/>
    <xf numFmtId="37" fontId="74" fillId="3" borderId="95" xfId="0" applyNumberFormat="1" applyFont="1" applyFill="1" applyBorder="1"/>
    <xf numFmtId="37" fontId="74" fillId="3" borderId="96" xfId="0" applyNumberFormat="1" applyFont="1" applyFill="1" applyBorder="1"/>
    <xf numFmtId="0" fontId="74" fillId="3" borderId="96" xfId="0" applyFont="1" applyFill="1" applyBorder="1" applyAlignment="1">
      <alignment horizontal="center"/>
    </xf>
    <xf numFmtId="171" fontId="74" fillId="3" borderId="88" xfId="0" applyNumberFormat="1" applyFont="1" applyFill="1" applyBorder="1"/>
    <xf numFmtId="0" fontId="74" fillId="3" borderId="97" xfId="0" applyFont="1" applyFill="1" applyBorder="1"/>
    <xf numFmtId="0" fontId="74" fillId="3" borderId="98" xfId="0" applyFont="1" applyFill="1" applyBorder="1"/>
    <xf numFmtId="0" fontId="74" fillId="3" borderId="98" xfId="0" applyFont="1" applyFill="1" applyBorder="1" applyAlignment="1">
      <alignment horizontal="center"/>
    </xf>
    <xf numFmtId="171" fontId="74" fillId="3" borderId="98" xfId="0" applyNumberFormat="1" applyFont="1" applyFill="1" applyBorder="1"/>
    <xf numFmtId="37" fontId="74" fillId="3" borderId="99" xfId="0" applyNumberFormat="1" applyFont="1" applyFill="1" applyBorder="1"/>
    <xf numFmtId="37" fontId="74" fillId="3" borderId="98" xfId="0" applyNumberFormat="1" applyFont="1" applyFill="1" applyBorder="1"/>
    <xf numFmtId="37" fontId="74" fillId="3" borderId="100" xfId="0" applyNumberFormat="1" applyFont="1" applyFill="1" applyBorder="1"/>
    <xf numFmtId="37" fontId="74" fillId="3" borderId="101" xfId="0" applyNumberFormat="1" applyFont="1" applyFill="1" applyBorder="1"/>
    <xf numFmtId="37" fontId="74" fillId="3" borderId="90" xfId="0" applyNumberFormat="1" applyFont="1" applyFill="1" applyBorder="1"/>
    <xf numFmtId="171" fontId="74" fillId="3" borderId="93" xfId="0" applyNumberFormat="1" applyFont="1" applyFill="1" applyBorder="1"/>
    <xf numFmtId="0" fontId="73" fillId="0" borderId="72" xfId="0" applyFont="1" applyBorder="1"/>
    <xf numFmtId="0" fontId="73" fillId="0" borderId="41" xfId="0" applyFont="1" applyBorder="1"/>
    <xf numFmtId="0" fontId="73" fillId="0" borderId="57" xfId="0" applyFont="1" applyBorder="1"/>
    <xf numFmtId="0" fontId="63" fillId="0" borderId="41" xfId="0" applyFont="1" applyBorder="1"/>
    <xf numFmtId="171" fontId="74" fillId="3" borderId="83" xfId="0" applyNumberFormat="1" applyFont="1" applyFill="1" applyBorder="1"/>
    <xf numFmtId="171" fontId="96" fillId="0" borderId="12" xfId="1" applyNumberFormat="1" applyFont="1" applyFill="1" applyBorder="1"/>
    <xf numFmtId="3" fontId="96" fillId="0" borderId="57" xfId="0" applyNumberFormat="1" applyFont="1" applyBorder="1"/>
    <xf numFmtId="0" fontId="71" fillId="0" borderId="0" xfId="0" applyFont="1"/>
    <xf numFmtId="39" fontId="65" fillId="0" borderId="0" xfId="0" applyNumberFormat="1" applyFont="1"/>
    <xf numFmtId="0" fontId="62" fillId="0" borderId="1" xfId="0" applyFont="1" applyBorder="1"/>
    <xf numFmtId="0" fontId="72" fillId="0" borderId="0" xfId="0" applyFont="1"/>
    <xf numFmtId="171" fontId="65" fillId="0" borderId="0" xfId="0" applyNumberFormat="1" applyFont="1"/>
    <xf numFmtId="171" fontId="66" fillId="0" borderId="0" xfId="0" applyNumberFormat="1" applyFont="1"/>
    <xf numFmtId="37" fontId="63" fillId="0" borderId="1" xfId="0" applyNumberFormat="1" applyFont="1" applyBorder="1"/>
    <xf numFmtId="0" fontId="66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2" fillId="0" borderId="1" xfId="0" applyFont="1" applyBorder="1" applyAlignment="1">
      <alignment horizontal="center" vertical="center"/>
    </xf>
    <xf numFmtId="0" fontId="94" fillId="0" borderId="0" xfId="0" applyFont="1"/>
    <xf numFmtId="168" fontId="59" fillId="0" borderId="1" xfId="0" applyNumberFormat="1" applyFont="1" applyBorder="1"/>
    <xf numFmtId="168" fontId="61" fillId="0" borderId="1" xfId="0" applyNumberFormat="1" applyFont="1" applyBorder="1"/>
    <xf numFmtId="168" fontId="60" fillId="0" borderId="1" xfId="0" applyNumberFormat="1" applyFont="1" applyBorder="1"/>
    <xf numFmtId="0" fontId="60" fillId="0" borderId="1" xfId="0" applyFont="1" applyBorder="1"/>
    <xf numFmtId="171" fontId="74" fillId="3" borderId="102" xfId="0" applyNumberFormat="1" applyFont="1" applyFill="1" applyBorder="1"/>
    <xf numFmtId="0" fontId="65" fillId="0" borderId="103" xfId="0" applyFont="1" applyBorder="1"/>
    <xf numFmtId="3" fontId="93" fillId="0" borderId="13" xfId="0" applyNumberFormat="1" applyFont="1" applyBorder="1"/>
    <xf numFmtId="3" fontId="93" fillId="0" borderId="22" xfId="0" applyNumberFormat="1" applyFont="1" applyBorder="1"/>
    <xf numFmtId="0" fontId="97" fillId="0" borderId="0" xfId="0" applyFont="1" applyAlignment="1">
      <alignment horizontal="left" vertical="top"/>
    </xf>
    <xf numFmtId="0" fontId="96" fillId="0" borderId="72" xfId="0" applyFont="1" applyBorder="1"/>
    <xf numFmtId="0" fontId="94" fillId="9" borderId="1" xfId="0" applyFont="1" applyFill="1" applyBorder="1"/>
    <xf numFmtId="0" fontId="98" fillId="0" borderId="79" xfId="0" applyFont="1" applyBorder="1"/>
    <xf numFmtId="4" fontId="99" fillId="0" borderId="0" xfId="0" applyNumberFormat="1" applyFont="1" applyAlignment="1">
      <alignment horizontal="center" vertical="top"/>
    </xf>
    <xf numFmtId="3" fontId="91" fillId="0" borderId="15" xfId="0" applyNumberFormat="1" applyFont="1" applyBorder="1"/>
    <xf numFmtId="0" fontId="87" fillId="10" borderId="48" xfId="0" applyFont="1" applyFill="1" applyBorder="1" applyAlignment="1">
      <alignment horizontal="left" vertical="top"/>
    </xf>
    <xf numFmtId="49" fontId="87" fillId="0" borderId="49" xfId="0" applyNumberFormat="1" applyFont="1" applyBorder="1" applyAlignment="1">
      <alignment horizontal="left" vertical="top"/>
    </xf>
    <xf numFmtId="1" fontId="87" fillId="10" borderId="48" xfId="0" applyNumberFormat="1" applyFont="1" applyFill="1" applyBorder="1" applyAlignment="1">
      <alignment horizontal="left" vertical="top"/>
    </xf>
    <xf numFmtId="1" fontId="87" fillId="0" borderId="49" xfId="0" applyNumberFormat="1" applyFont="1" applyBorder="1" applyAlignment="1">
      <alignment horizontal="left" vertical="top"/>
    </xf>
    <xf numFmtId="39" fontId="86" fillId="0" borderId="49" xfId="0" applyNumberFormat="1" applyFont="1" applyBorder="1" applyAlignment="1">
      <alignment horizontal="left" vertical="top"/>
    </xf>
    <xf numFmtId="0" fontId="87" fillId="0" borderId="49" xfId="0" applyFont="1" applyBorder="1" applyAlignment="1">
      <alignment horizontal="left" vertical="top"/>
    </xf>
    <xf numFmtId="0" fontId="86" fillId="0" borderId="49" xfId="0" applyFont="1" applyBorder="1" applyAlignment="1">
      <alignment horizontal="left" vertical="top"/>
    </xf>
    <xf numFmtId="49" fontId="86" fillId="0" borderId="49" xfId="0" applyNumberFormat="1" applyFont="1" applyBorder="1" applyAlignment="1">
      <alignment horizontal="left" vertical="top"/>
    </xf>
    <xf numFmtId="39" fontId="86" fillId="10" borderId="48" xfId="0" applyNumberFormat="1" applyFont="1" applyFill="1" applyBorder="1" applyAlignment="1">
      <alignment horizontal="left" vertical="top"/>
    </xf>
    <xf numFmtId="49" fontId="86" fillId="10" borderId="48" xfId="0" applyNumberFormat="1" applyFont="1" applyFill="1" applyBorder="1" applyAlignment="1">
      <alignment horizontal="left" vertical="top"/>
    </xf>
    <xf numFmtId="39" fontId="86" fillId="10" borderId="44" xfId="0" applyNumberFormat="1" applyFont="1" applyFill="1" applyBorder="1" applyAlignment="1">
      <alignment horizontal="left" vertical="top"/>
    </xf>
    <xf numFmtId="0" fontId="55" fillId="0" borderId="104" xfId="0" applyFont="1" applyBorder="1"/>
    <xf numFmtId="168" fontId="100" fillId="0" borderId="52" xfId="0" applyNumberFormat="1" applyFont="1" applyBorder="1"/>
    <xf numFmtId="166" fontId="59" fillId="0" borderId="7" xfId="0" applyNumberFormat="1" applyFont="1" applyBorder="1"/>
    <xf numFmtId="166" fontId="60" fillId="3" borderId="9" xfId="0" applyNumberFormat="1" applyFont="1" applyFill="1" applyBorder="1"/>
    <xf numFmtId="166" fontId="60" fillId="3" borderId="11" xfId="0" applyNumberFormat="1" applyFont="1" applyFill="1" applyBorder="1"/>
    <xf numFmtId="166" fontId="61" fillId="0" borderId="5" xfId="0" applyNumberFormat="1" applyFont="1" applyBorder="1"/>
    <xf numFmtId="166" fontId="55" fillId="0" borderId="7" xfId="0" applyNumberFormat="1" applyFont="1" applyBorder="1"/>
    <xf numFmtId="166" fontId="59" fillId="0" borderId="53" xfId="0" applyNumberFormat="1" applyFont="1" applyBorder="1"/>
    <xf numFmtId="166" fontId="61" fillId="0" borderId="53" xfId="0" applyNumberFormat="1" applyFont="1" applyBorder="1"/>
    <xf numFmtId="166" fontId="59" fillId="0" borderId="3" xfId="0" applyNumberFormat="1" applyFont="1" applyBorder="1"/>
    <xf numFmtId="0" fontId="85" fillId="0" borderId="0" xfId="0" applyFont="1" applyAlignment="1">
      <alignment horizontal="center"/>
    </xf>
    <xf numFmtId="4" fontId="55" fillId="12" borderId="0" xfId="0" applyNumberFormat="1" applyFont="1" applyFill="1" applyAlignment="1">
      <alignment horizontal="center" vertical="top"/>
    </xf>
    <xf numFmtId="39" fontId="91" fillId="0" borderId="105" xfId="0" applyNumberFormat="1" applyFont="1" applyBorder="1"/>
    <xf numFmtId="167" fontId="83" fillId="0" borderId="0" xfId="0" applyNumberFormat="1" applyFont="1" applyAlignment="1">
      <alignment horizontal="center" vertical="top"/>
    </xf>
    <xf numFmtId="167" fontId="55" fillId="0" borderId="0" xfId="0" applyNumberFormat="1" applyFont="1" applyAlignment="1">
      <alignment horizontal="center" vertical="top"/>
    </xf>
    <xf numFmtId="167" fontId="99" fillId="0" borderId="0" xfId="0" applyNumberFormat="1" applyFont="1" applyAlignment="1">
      <alignment horizontal="center" vertical="top"/>
    </xf>
    <xf numFmtId="167" fontId="55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5" fillId="14" borderId="0" xfId="0" applyNumberFormat="1" applyFont="1" applyFill="1" applyAlignment="1">
      <alignment horizontal="left" vertical="top"/>
    </xf>
    <xf numFmtId="167" fontId="55" fillId="14" borderId="0" xfId="0" applyNumberFormat="1" applyFont="1" applyFill="1" applyAlignment="1">
      <alignment horizontal="center" vertical="top"/>
    </xf>
    <xf numFmtId="4" fontId="55" fillId="14" borderId="0" xfId="0" applyNumberFormat="1" applyFont="1" applyFill="1" applyAlignment="1">
      <alignment horizontal="center" vertical="top"/>
    </xf>
    <xf numFmtId="37" fontId="66" fillId="3" borderId="17" xfId="0" applyNumberFormat="1" applyFont="1" applyFill="1" applyBorder="1"/>
    <xf numFmtId="0" fontId="65" fillId="3" borderId="20" xfId="0" applyFont="1" applyFill="1" applyBorder="1"/>
    <xf numFmtId="0" fontId="53" fillId="0" borderId="1" xfId="2"/>
    <xf numFmtId="0" fontId="101" fillId="0" borderId="1" xfId="2" applyFont="1" applyAlignment="1">
      <alignment horizontal="center"/>
    </xf>
    <xf numFmtId="0" fontId="101" fillId="0" borderId="1" xfId="2" applyFont="1"/>
    <xf numFmtId="0" fontId="102" fillId="0" borderId="1" xfId="2" applyFont="1"/>
    <xf numFmtId="170" fontId="103" fillId="0" borderId="1" xfId="2" applyNumberFormat="1" applyFont="1" applyAlignment="1">
      <alignment horizontal="left"/>
    </xf>
    <xf numFmtId="0" fontId="103" fillId="0" borderId="1" xfId="2" applyFont="1"/>
    <xf numFmtId="0" fontId="104" fillId="0" borderId="1" xfId="2" applyFont="1"/>
    <xf numFmtId="0" fontId="91" fillId="0" borderId="1" xfId="2" applyFont="1"/>
    <xf numFmtId="0" fontId="105" fillId="0" borderId="1" xfId="2" applyFont="1"/>
    <xf numFmtId="0" fontId="106" fillId="0" borderId="1" xfId="2" applyFont="1"/>
    <xf numFmtId="0" fontId="107" fillId="0" borderId="1" xfId="2" applyFont="1"/>
    <xf numFmtId="0" fontId="109" fillId="15" borderId="1" xfId="2" applyFont="1" applyFill="1"/>
    <xf numFmtId="0" fontId="107" fillId="15" borderId="1" xfId="2" applyFont="1" applyFill="1"/>
    <xf numFmtId="0" fontId="110" fillId="15" borderId="1" xfId="2" applyFont="1" applyFill="1"/>
    <xf numFmtId="0" fontId="111" fillId="15" borderId="1" xfId="2" applyFont="1" applyFill="1" applyAlignment="1">
      <alignment horizontal="centerContinuous" vertical="center"/>
    </xf>
    <xf numFmtId="0" fontId="107" fillId="15" borderId="1" xfId="2" applyFont="1" applyFill="1" applyAlignment="1">
      <alignment horizontal="centerContinuous" vertical="center"/>
    </xf>
    <xf numFmtId="0" fontId="109" fillId="15" borderId="1" xfId="2" applyFont="1" applyFill="1" applyAlignment="1">
      <alignment horizontal="centerContinuous"/>
    </xf>
    <xf numFmtId="0" fontId="107" fillId="15" borderId="1" xfId="2" applyFont="1" applyFill="1" applyAlignment="1">
      <alignment horizontal="centerContinuous"/>
    </xf>
    <xf numFmtId="0" fontId="112" fillId="15" borderId="1" xfId="2" applyFont="1" applyFill="1" applyAlignment="1">
      <alignment horizontal="center"/>
    </xf>
    <xf numFmtId="171" fontId="107" fillId="15" borderId="1" xfId="2" applyNumberFormat="1" applyFont="1" applyFill="1"/>
    <xf numFmtId="37" fontId="107" fillId="15" borderId="1" xfId="2" applyNumberFormat="1" applyFont="1" applyFill="1"/>
    <xf numFmtId="171" fontId="109" fillId="15" borderId="1" xfId="2" applyNumberFormat="1" applyFont="1" applyFill="1"/>
    <xf numFmtId="37" fontId="109" fillId="15" borderId="1" xfId="2" applyNumberFormat="1" applyFont="1" applyFill="1"/>
    <xf numFmtId="0" fontId="113" fillId="15" borderId="1" xfId="2" applyFont="1" applyFill="1"/>
    <xf numFmtId="0" fontId="112" fillId="15" borderId="1" xfId="2" applyFont="1" applyFill="1" applyAlignment="1">
      <alignment horizontal="centerContinuous"/>
    </xf>
    <xf numFmtId="0" fontId="112" fillId="15" borderId="1" xfId="2" applyFont="1" applyFill="1" applyAlignment="1">
      <alignment horizontal="left"/>
    </xf>
    <xf numFmtId="0" fontId="114" fillId="15" borderId="1" xfId="2" applyFont="1" applyFill="1" applyProtection="1">
      <protection locked="0"/>
    </xf>
    <xf numFmtId="0" fontId="107" fillId="15" borderId="1" xfId="2" applyFont="1" applyFill="1" applyAlignment="1">
      <alignment horizontal="center"/>
    </xf>
    <xf numFmtId="0" fontId="115" fillId="15" borderId="1" xfId="2" applyFont="1" applyFill="1" applyAlignment="1">
      <alignment horizontal="centerContinuous"/>
    </xf>
    <xf numFmtId="0" fontId="109" fillId="15" borderId="1" xfId="2" applyFont="1" applyFill="1" applyAlignment="1">
      <alignment horizontal="left"/>
    </xf>
    <xf numFmtId="0" fontId="53" fillId="0" borderId="1" xfId="2" applyAlignment="1">
      <alignment horizontal="center"/>
    </xf>
    <xf numFmtId="0" fontId="116" fillId="0" borderId="1" xfId="2" applyFont="1" applyAlignment="1">
      <alignment horizontal="center"/>
    </xf>
    <xf numFmtId="0" fontId="101" fillId="12" borderId="56" xfId="2" applyFont="1" applyFill="1" applyBorder="1" applyAlignment="1">
      <alignment horizontal="center"/>
    </xf>
    <xf numFmtId="0" fontId="104" fillId="0" borderId="1" xfId="2" applyFont="1" applyAlignment="1">
      <alignment horizontal="center"/>
    </xf>
    <xf numFmtId="0" fontId="64" fillId="0" borderId="0" xfId="0" applyFont="1" applyAlignment="1">
      <alignment horizontal="center"/>
    </xf>
    <xf numFmtId="171" fontId="65" fillId="0" borderId="1" xfId="1" applyNumberFormat="1" applyFont="1" applyFill="1" applyBorder="1"/>
    <xf numFmtId="171" fontId="66" fillId="0" borderId="9" xfId="0" applyNumberFormat="1" applyFont="1" applyBorder="1"/>
    <xf numFmtId="3" fontId="65" fillId="0" borderId="22" xfId="0" applyNumberFormat="1" applyFont="1" applyBorder="1" applyAlignment="1">
      <alignment horizontal="right"/>
    </xf>
    <xf numFmtId="0" fontId="117" fillId="0" borderId="0" xfId="0" applyFont="1"/>
    <xf numFmtId="0" fontId="67" fillId="0" borderId="0" xfId="0" applyFont="1"/>
    <xf numFmtId="3" fontId="65" fillId="0" borderId="166" xfId="0" applyNumberFormat="1" applyFont="1" applyBorder="1"/>
    <xf numFmtId="3" fontId="65" fillId="0" borderId="167" xfId="0" applyNumberFormat="1" applyFont="1" applyBorder="1"/>
    <xf numFmtId="3" fontId="65" fillId="0" borderId="168" xfId="0" applyNumberFormat="1" applyFont="1" applyBorder="1"/>
    <xf numFmtId="0" fontId="118" fillId="0" borderId="0" xfId="0" applyFont="1"/>
    <xf numFmtId="0" fontId="91" fillId="0" borderId="110" xfId="0" applyFont="1" applyBorder="1"/>
    <xf numFmtId="171" fontId="74" fillId="3" borderId="59" xfId="0" applyNumberFormat="1" applyFont="1" applyFill="1" applyBorder="1"/>
    <xf numFmtId="0" fontId="52" fillId="0" borderId="1" xfId="3"/>
    <xf numFmtId="0" fontId="119" fillId="0" borderId="171" xfId="3" applyFont="1" applyBorder="1"/>
    <xf numFmtId="0" fontId="52" fillId="0" borderId="171" xfId="3" applyBorder="1"/>
    <xf numFmtId="0" fontId="52" fillId="0" borderId="171" xfId="3" applyBorder="1" applyAlignment="1">
      <alignment horizontal="left" indent="1"/>
    </xf>
    <xf numFmtId="0" fontId="119" fillId="0" borderId="187" xfId="3" applyFont="1" applyBorder="1"/>
    <xf numFmtId="0" fontId="119" fillId="16" borderId="169" xfId="3" applyFont="1" applyFill="1" applyBorder="1" applyAlignment="1">
      <alignment horizontal="center"/>
    </xf>
    <xf numFmtId="0" fontId="119" fillId="16" borderId="176" xfId="3" applyFont="1" applyFill="1" applyBorder="1" applyAlignment="1">
      <alignment horizontal="center"/>
    </xf>
    <xf numFmtId="0" fontId="119" fillId="16" borderId="177" xfId="3" applyFont="1" applyFill="1" applyBorder="1" applyAlignment="1">
      <alignment horizontal="center"/>
    </xf>
    <xf numFmtId="0" fontId="119" fillId="16" borderId="170" xfId="3" applyFont="1" applyFill="1" applyBorder="1" applyAlignment="1">
      <alignment horizontal="center"/>
    </xf>
    <xf numFmtId="0" fontId="119" fillId="17" borderId="169" xfId="3" applyFont="1" applyFill="1" applyBorder="1" applyAlignment="1">
      <alignment horizontal="center"/>
    </xf>
    <xf numFmtId="0" fontId="119" fillId="17" borderId="176" xfId="3" applyFont="1" applyFill="1" applyBorder="1" applyAlignment="1">
      <alignment horizontal="center"/>
    </xf>
    <xf numFmtId="0" fontId="119" fillId="17" borderId="177" xfId="3" applyFont="1" applyFill="1" applyBorder="1" applyAlignment="1">
      <alignment horizontal="center"/>
    </xf>
    <xf numFmtId="0" fontId="119" fillId="17" borderId="178" xfId="3" applyFont="1" applyFill="1" applyBorder="1" applyAlignment="1">
      <alignment horizontal="center"/>
    </xf>
    <xf numFmtId="0" fontId="119" fillId="17" borderId="170" xfId="3" applyFont="1" applyFill="1" applyBorder="1" applyAlignment="1">
      <alignment horizontal="center"/>
    </xf>
    <xf numFmtId="0" fontId="52" fillId="0" borderId="1" xfId="3" applyAlignment="1">
      <alignment horizontal="center"/>
    </xf>
    <xf numFmtId="0" fontId="119" fillId="11" borderId="169" xfId="3" applyFont="1" applyFill="1" applyBorder="1" applyAlignment="1">
      <alignment horizontal="center"/>
    </xf>
    <xf numFmtId="0" fontId="119" fillId="11" borderId="176" xfId="3" applyFont="1" applyFill="1" applyBorder="1" applyAlignment="1">
      <alignment horizontal="center"/>
    </xf>
    <xf numFmtId="0" fontId="119" fillId="11" borderId="177" xfId="3" applyFont="1" applyFill="1" applyBorder="1" applyAlignment="1">
      <alignment horizontal="center"/>
    </xf>
    <xf numFmtId="0" fontId="119" fillId="11" borderId="170" xfId="3" applyFont="1" applyFill="1" applyBorder="1" applyAlignment="1">
      <alignment horizontal="center"/>
    </xf>
    <xf numFmtId="37" fontId="119" fillId="0" borderId="179" xfId="3" applyNumberFormat="1" applyFont="1" applyBorder="1" applyAlignment="1">
      <alignment horizontal="center"/>
    </xf>
    <xf numFmtId="1" fontId="119" fillId="0" borderId="180" xfId="3" applyNumberFormat="1" applyFont="1" applyBorder="1" applyAlignment="1">
      <alignment horizontal="center"/>
    </xf>
    <xf numFmtId="1" fontId="119" fillId="0" borderId="172" xfId="3" applyNumberFormat="1" applyFont="1" applyBorder="1" applyAlignment="1">
      <alignment horizontal="center"/>
    </xf>
    <xf numFmtId="167" fontId="119" fillId="0" borderId="179" xfId="3" applyNumberFormat="1" applyFont="1" applyBorder="1" applyAlignment="1">
      <alignment horizontal="center"/>
    </xf>
    <xf numFmtId="167" fontId="119" fillId="0" borderId="180" xfId="3" applyNumberFormat="1" applyFont="1" applyBorder="1" applyAlignment="1">
      <alignment horizontal="center"/>
    </xf>
    <xf numFmtId="167" fontId="119" fillId="0" borderId="172" xfId="3" applyNumberFormat="1" applyFont="1" applyBorder="1" applyAlignment="1">
      <alignment horizontal="center"/>
    </xf>
    <xf numFmtId="0" fontId="52" fillId="0" borderId="174" xfId="3" applyBorder="1"/>
    <xf numFmtId="0" fontId="119" fillId="18" borderId="169" xfId="3" applyFont="1" applyFill="1" applyBorder="1" applyAlignment="1">
      <alignment horizontal="center"/>
    </xf>
    <xf numFmtId="0" fontId="119" fillId="18" borderId="176" xfId="3" applyFont="1" applyFill="1" applyBorder="1" applyAlignment="1">
      <alignment horizontal="center"/>
    </xf>
    <xf numFmtId="0" fontId="119" fillId="18" borderId="177" xfId="3" applyFont="1" applyFill="1" applyBorder="1" applyAlignment="1">
      <alignment horizontal="center"/>
    </xf>
    <xf numFmtId="0" fontId="119" fillId="18" borderId="170" xfId="3" applyFont="1" applyFill="1" applyBorder="1" applyAlignment="1">
      <alignment horizontal="center"/>
    </xf>
    <xf numFmtId="0" fontId="119" fillId="0" borderId="171" xfId="3" applyFont="1" applyBorder="1" applyAlignment="1">
      <alignment horizontal="left"/>
    </xf>
    <xf numFmtId="0" fontId="119" fillId="19" borderId="169" xfId="3" applyFont="1" applyFill="1" applyBorder="1" applyAlignment="1">
      <alignment horizontal="center"/>
    </xf>
    <xf numFmtId="0" fontId="119" fillId="19" borderId="176" xfId="3" applyFont="1" applyFill="1" applyBorder="1" applyAlignment="1">
      <alignment horizontal="center"/>
    </xf>
    <xf numFmtId="0" fontId="119" fillId="19" borderId="177" xfId="3" applyFont="1" applyFill="1" applyBorder="1" applyAlignment="1">
      <alignment horizontal="center"/>
    </xf>
    <xf numFmtId="0" fontId="119" fillId="19" borderId="170" xfId="3" applyFont="1" applyFill="1" applyBorder="1" applyAlignment="1">
      <alignment horizontal="center"/>
    </xf>
    <xf numFmtId="0" fontId="68" fillId="0" borderId="103" xfId="0" applyFont="1" applyBorder="1"/>
    <xf numFmtId="0" fontId="68" fillId="0" borderId="191" xfId="0" applyFont="1" applyBorder="1"/>
    <xf numFmtId="0" fontId="68" fillId="0" borderId="56" xfId="0" applyFont="1" applyBorder="1" applyAlignment="1">
      <alignment horizontal="right"/>
    </xf>
    <xf numFmtId="0" fontId="68" fillId="0" borderId="56" xfId="0" applyFont="1" applyBorder="1"/>
    <xf numFmtId="37" fontId="68" fillId="0" borderId="192" xfId="0" applyNumberFormat="1" applyFont="1" applyBorder="1"/>
    <xf numFmtId="0" fontId="68" fillId="0" borderId="193" xfId="0" applyFont="1" applyBorder="1"/>
    <xf numFmtId="172" fontId="68" fillId="0" borderId="56" xfId="0" applyNumberFormat="1" applyFont="1" applyBorder="1"/>
    <xf numFmtId="37" fontId="68" fillId="0" borderId="193" xfId="0" applyNumberFormat="1" applyFont="1" applyBorder="1"/>
    <xf numFmtId="37" fontId="68" fillId="0" borderId="56" xfId="0" applyNumberFormat="1" applyFont="1" applyBorder="1"/>
    <xf numFmtId="171" fontId="68" fillId="0" borderId="56" xfId="0" applyNumberFormat="1" applyFont="1" applyBorder="1"/>
    <xf numFmtId="37" fontId="68" fillId="0" borderId="194" xfId="0" applyNumberFormat="1" applyFont="1" applyBorder="1"/>
    <xf numFmtId="171" fontId="68" fillId="0" borderId="195" xfId="0" applyNumberFormat="1" applyFont="1" applyBorder="1"/>
    <xf numFmtId="0" fontId="0" fillId="12" borderId="0" xfId="0" applyFill="1"/>
    <xf numFmtId="49" fontId="50" fillId="12" borderId="1" xfId="6" applyNumberFormat="1" applyFill="1" applyAlignment="1">
      <alignment horizontal="left" vertical="center"/>
    </xf>
    <xf numFmtId="174" fontId="50" fillId="12" borderId="1" xfId="6" applyNumberFormat="1" applyFill="1" applyAlignment="1">
      <alignment horizontal="right" vertical="center"/>
    </xf>
    <xf numFmtId="0" fontId="50" fillId="12" borderId="1" xfId="6" applyFill="1"/>
    <xf numFmtId="0" fontId="91" fillId="0" borderId="109" xfId="0" applyFont="1" applyBorder="1"/>
    <xf numFmtId="0" fontId="92" fillId="0" borderId="109" xfId="0" applyFont="1" applyBorder="1"/>
    <xf numFmtId="0" fontId="91" fillId="0" borderId="0" xfId="0" applyFont="1"/>
    <xf numFmtId="0" fontId="92" fillId="20" borderId="118" xfId="0" applyFont="1" applyFill="1" applyBorder="1"/>
    <xf numFmtId="0" fontId="92" fillId="20" borderId="121" xfId="0" applyFont="1" applyFill="1" applyBorder="1"/>
    <xf numFmtId="0" fontId="92" fillId="15" borderId="110" xfId="0" applyFont="1" applyFill="1" applyBorder="1"/>
    <xf numFmtId="0" fontId="92" fillId="0" borderId="110" xfId="0" applyFont="1" applyBorder="1" applyAlignment="1">
      <alignment horizontal="left"/>
    </xf>
    <xf numFmtId="0" fontId="91" fillId="0" borderId="112" xfId="0" applyFont="1" applyBorder="1"/>
    <xf numFmtId="0" fontId="92" fillId="20" borderId="124" xfId="0" applyFont="1" applyFill="1" applyBorder="1"/>
    <xf numFmtId="0" fontId="92" fillId="20" borderId="127" xfId="0" applyFont="1" applyFill="1" applyBorder="1"/>
    <xf numFmtId="0" fontId="92" fillId="20" borderId="129" xfId="0" applyFont="1" applyFill="1" applyBorder="1"/>
    <xf numFmtId="0" fontId="91" fillId="15" borderId="112" xfId="0" applyFont="1" applyFill="1" applyBorder="1"/>
    <xf numFmtId="0" fontId="92" fillId="20" borderId="133" xfId="0" applyFont="1" applyFill="1" applyBorder="1"/>
    <xf numFmtId="0" fontId="105" fillId="0" borderId="0" xfId="0" applyFont="1"/>
    <xf numFmtId="0" fontId="103" fillId="0" borderId="0" xfId="0" applyFont="1"/>
    <xf numFmtId="0" fontId="102" fillId="0" borderId="0" xfId="0" applyFont="1"/>
    <xf numFmtId="170" fontId="103" fillId="0" borderId="0" xfId="0" applyNumberFormat="1" applyFont="1" applyAlignment="1">
      <alignment horizontal="left"/>
    </xf>
    <xf numFmtId="0" fontId="92" fillId="0" borderId="110" xfId="0" applyFont="1" applyBorder="1"/>
    <xf numFmtId="0" fontId="92" fillId="0" borderId="0" xfId="0" applyFont="1"/>
    <xf numFmtId="0" fontId="92" fillId="15" borderId="118" xfId="0" applyFont="1" applyFill="1" applyBorder="1"/>
    <xf numFmtId="0" fontId="92" fillId="15" borderId="112" xfId="0" applyFont="1" applyFill="1" applyBorder="1"/>
    <xf numFmtId="0" fontId="92" fillId="15" borderId="109" xfId="0" applyFont="1" applyFill="1" applyBorder="1"/>
    <xf numFmtId="0" fontId="91" fillId="15" borderId="110" xfId="0" applyFont="1" applyFill="1" applyBorder="1"/>
    <xf numFmtId="0" fontId="95" fillId="0" borderId="110" xfId="0" applyFont="1" applyBorder="1"/>
    <xf numFmtId="0" fontId="92" fillId="20" borderId="139" xfId="0" applyFont="1" applyFill="1" applyBorder="1"/>
    <xf numFmtId="0" fontId="92" fillId="20" borderId="140" xfId="0" applyFont="1" applyFill="1" applyBorder="1"/>
    <xf numFmtId="0" fontId="95" fillId="0" borderId="112" xfId="0" applyFont="1" applyBorder="1"/>
    <xf numFmtId="0" fontId="95" fillId="15" borderId="110" xfId="0" applyFont="1" applyFill="1" applyBorder="1"/>
    <xf numFmtId="0" fontId="95" fillId="0" borderId="109" xfId="0" applyFont="1" applyBorder="1"/>
    <xf numFmtId="0" fontId="95" fillId="0" borderId="138" xfId="0" applyFont="1" applyBorder="1"/>
    <xf numFmtId="0" fontId="92" fillId="20" borderId="143" xfId="0" applyFont="1" applyFill="1" applyBorder="1"/>
    <xf numFmtId="0" fontId="108" fillId="0" borderId="1" xfId="0" applyFont="1" applyBorder="1" applyAlignment="1">
      <alignment horizontal="centerContinuous" vertical="center"/>
    </xf>
    <xf numFmtId="0" fontId="91" fillId="0" borderId="147" xfId="0" applyFont="1" applyBorder="1"/>
    <xf numFmtId="0" fontId="95" fillId="0" borderId="147" xfId="0" applyFont="1" applyBorder="1"/>
    <xf numFmtId="0" fontId="108" fillId="20" borderId="147" xfId="0" applyFont="1" applyFill="1" applyBorder="1"/>
    <xf numFmtId="0" fontId="108" fillId="0" borderId="72" xfId="0" applyFont="1" applyBorder="1"/>
    <xf numFmtId="0" fontId="95" fillId="0" borderId="72" xfId="0" applyFont="1" applyBorder="1"/>
    <xf numFmtId="0" fontId="91" fillId="0" borderId="72" xfId="0" applyFont="1" applyBorder="1"/>
    <xf numFmtId="0" fontId="108" fillId="20" borderId="149" xfId="0" applyFont="1" applyFill="1" applyBorder="1"/>
    <xf numFmtId="0" fontId="95" fillId="15" borderId="72" xfId="0" applyFont="1" applyFill="1" applyBorder="1"/>
    <xf numFmtId="0" fontId="95" fillId="0" borderId="151" xfId="0" applyFont="1" applyBorder="1"/>
    <xf numFmtId="0" fontId="108" fillId="15" borderId="151" xfId="0" applyFont="1" applyFill="1" applyBorder="1"/>
    <xf numFmtId="0" fontId="108" fillId="20" borderId="153" xfId="0" applyFont="1" applyFill="1" applyBorder="1"/>
    <xf numFmtId="0" fontId="108" fillId="20" borderId="156" xfId="0" applyFont="1" applyFill="1" applyBorder="1"/>
    <xf numFmtId="0" fontId="107" fillId="0" borderId="160" xfId="0" applyFont="1" applyBorder="1"/>
    <xf numFmtId="0" fontId="95" fillId="0" borderId="160" xfId="0" applyFont="1" applyBorder="1"/>
    <xf numFmtId="0" fontId="91" fillId="0" borderId="160" xfId="0" applyFont="1" applyBorder="1"/>
    <xf numFmtId="0" fontId="91" fillId="0" borderId="161" xfId="0" applyFont="1" applyBorder="1"/>
    <xf numFmtId="0" fontId="108" fillId="20" borderId="162" xfId="0" applyFont="1" applyFill="1" applyBorder="1"/>
    <xf numFmtId="1" fontId="87" fillId="10" borderId="0" xfId="0" applyNumberFormat="1" applyFont="1" applyFill="1" applyAlignment="1">
      <alignment horizontal="left" vertical="top"/>
    </xf>
    <xf numFmtId="49" fontId="86" fillId="10" borderId="45" xfId="0" applyNumberFormat="1" applyFont="1" applyFill="1" applyBorder="1" applyAlignment="1">
      <alignment horizontal="left" vertical="top"/>
    </xf>
    <xf numFmtId="0" fontId="92" fillId="0" borderId="116" xfId="0" applyFont="1" applyBorder="1"/>
    <xf numFmtId="0" fontId="92" fillId="0" borderId="112" xfId="0" applyFont="1" applyBorder="1"/>
    <xf numFmtId="0" fontId="91" fillId="15" borderId="138" xfId="0" applyFont="1" applyFill="1" applyBorder="1"/>
    <xf numFmtId="49" fontId="48" fillId="12" borderId="1" xfId="8" applyNumberFormat="1" applyFill="1" applyAlignment="1">
      <alignment horizontal="left" vertical="center"/>
    </xf>
    <xf numFmtId="174" fontId="48" fillId="12" borderId="1" xfId="8" applyNumberFormat="1" applyFill="1" applyAlignment="1">
      <alignment horizontal="right" vertical="center"/>
    </xf>
    <xf numFmtId="0" fontId="48" fillId="12" borderId="1" xfId="8" applyFill="1"/>
    <xf numFmtId="0" fontId="92" fillId="0" borderId="106" xfId="0" applyFont="1" applyBorder="1" applyAlignment="1">
      <alignment horizontal="center"/>
    </xf>
    <xf numFmtId="0" fontId="92" fillId="0" borderId="146" xfId="0" applyFont="1" applyBorder="1" applyAlignment="1">
      <alignment horizontal="center"/>
    </xf>
    <xf numFmtId="49" fontId="121" fillId="12" borderId="1" xfId="9" applyNumberFormat="1" applyFont="1" applyFill="1" applyAlignment="1">
      <alignment horizontal="left" vertical="center"/>
    </xf>
    <xf numFmtId="174" fontId="121" fillId="12" borderId="1" xfId="9" applyNumberFormat="1" applyFont="1" applyFill="1" applyAlignment="1">
      <alignment horizontal="right" vertical="center"/>
    </xf>
    <xf numFmtId="49" fontId="47" fillId="12" borderId="1" xfId="9" applyNumberFormat="1" applyFill="1" applyAlignment="1">
      <alignment horizontal="left" vertical="center"/>
    </xf>
    <xf numFmtId="174" fontId="47" fillId="12" borderId="1" xfId="9" applyNumberFormat="1" applyFill="1" applyAlignment="1">
      <alignment horizontal="right" vertical="center"/>
    </xf>
    <xf numFmtId="0" fontId="47" fillId="12" borderId="1" xfId="9" applyFill="1"/>
    <xf numFmtId="49" fontId="86" fillId="0" borderId="44" xfId="0" applyNumberFormat="1" applyFont="1" applyBorder="1" applyAlignment="1">
      <alignment horizontal="left" vertical="top"/>
    </xf>
    <xf numFmtId="0" fontId="54" fillId="0" borderId="0" xfId="0" applyFont="1" applyAlignment="1">
      <alignment horizontal="center"/>
    </xf>
    <xf numFmtId="167" fontId="55" fillId="0" borderId="1" xfId="0" applyNumberFormat="1" applyFont="1" applyBorder="1" applyAlignment="1">
      <alignment horizontal="center"/>
    </xf>
    <xf numFmtId="0" fontId="122" fillId="0" borderId="0" xfId="0" applyFont="1"/>
    <xf numFmtId="0" fontId="122" fillId="0" borderId="0" xfId="0" applyFont="1" applyAlignment="1">
      <alignment horizontal="center"/>
    </xf>
    <xf numFmtId="0" fontId="87" fillId="10" borderId="48" xfId="0" quotePrefix="1" applyFont="1" applyFill="1" applyBorder="1" applyAlignment="1">
      <alignment horizontal="left" vertical="top"/>
    </xf>
    <xf numFmtId="0" fontId="123" fillId="0" borderId="0" xfId="0" applyFont="1" applyAlignment="1">
      <alignment horizontal="center"/>
    </xf>
    <xf numFmtId="0" fontId="123" fillId="0" borderId="0" xfId="0" applyFont="1"/>
    <xf numFmtId="2" fontId="66" fillId="0" borderId="15" xfId="0" applyNumberFormat="1" applyFont="1" applyBorder="1"/>
    <xf numFmtId="167" fontId="46" fillId="0" borderId="179" xfId="3" applyNumberFormat="1" applyFont="1" applyBorder="1" applyAlignment="1">
      <alignment horizontal="center"/>
    </xf>
    <xf numFmtId="167" fontId="46" fillId="0" borderId="180" xfId="3" applyNumberFormat="1" applyFont="1" applyBorder="1" applyAlignment="1">
      <alignment horizontal="center"/>
    </xf>
    <xf numFmtId="167" fontId="46" fillId="0" borderId="172" xfId="3" applyNumberFormat="1" applyFont="1" applyBorder="1" applyAlignment="1">
      <alignment horizontal="center"/>
    </xf>
    <xf numFmtId="9" fontId="46" fillId="0" borderId="180" xfId="4" applyFont="1" applyBorder="1" applyAlignment="1">
      <alignment horizontal="center"/>
    </xf>
    <xf numFmtId="9" fontId="46" fillId="0" borderId="181" xfId="4" applyFont="1" applyBorder="1" applyAlignment="1">
      <alignment horizontal="center"/>
    </xf>
    <xf numFmtId="9" fontId="46" fillId="0" borderId="179" xfId="4" applyFont="1" applyFill="1" applyBorder="1" applyAlignment="1">
      <alignment horizontal="center"/>
    </xf>
    <xf numFmtId="9" fontId="46" fillId="0" borderId="172" xfId="4" applyFont="1" applyBorder="1" applyAlignment="1">
      <alignment horizontal="center"/>
    </xf>
    <xf numFmtId="0" fontId="46" fillId="0" borderId="188" xfId="3" applyFont="1" applyBorder="1"/>
    <xf numFmtId="167" fontId="46" fillId="0" borderId="189" xfId="3" applyNumberFormat="1" applyFont="1" applyBorder="1" applyAlignment="1">
      <alignment horizontal="center"/>
    </xf>
    <xf numFmtId="167" fontId="46" fillId="0" borderId="190" xfId="3" applyNumberFormat="1" applyFont="1" applyBorder="1" applyAlignment="1">
      <alignment horizontal="center"/>
    </xf>
    <xf numFmtId="9" fontId="46" fillId="0" borderId="189" xfId="4" applyFont="1" applyBorder="1" applyAlignment="1">
      <alignment horizontal="center"/>
    </xf>
    <xf numFmtId="167" fontId="46" fillId="0" borderId="185" xfId="3" applyNumberFormat="1" applyFont="1" applyBorder="1" applyAlignment="1">
      <alignment horizontal="center"/>
    </xf>
    <xf numFmtId="167" fontId="46" fillId="0" borderId="175" xfId="3" applyNumberFormat="1" applyFont="1" applyBorder="1" applyAlignment="1">
      <alignment horizontal="center"/>
    </xf>
    <xf numFmtId="9" fontId="46" fillId="0" borderId="185" xfId="4" applyFont="1" applyBorder="1" applyAlignment="1">
      <alignment horizontal="center"/>
    </xf>
    <xf numFmtId="0" fontId="46" fillId="0" borderId="1" xfId="3" applyFont="1"/>
    <xf numFmtId="167" fontId="46" fillId="0" borderId="179" xfId="4" applyNumberFormat="1" applyFont="1" applyFill="1" applyBorder="1" applyAlignment="1">
      <alignment horizontal="center"/>
    </xf>
    <xf numFmtId="167" fontId="46" fillId="0" borderId="184" xfId="3" applyNumberFormat="1" applyFont="1" applyBorder="1" applyAlignment="1">
      <alignment horizontal="center"/>
    </xf>
    <xf numFmtId="0" fontId="46" fillId="0" borderId="171" xfId="3" applyFont="1" applyBorder="1" applyAlignment="1">
      <alignment horizontal="left" indent="1"/>
    </xf>
    <xf numFmtId="0" fontId="46" fillId="0" borderId="171" xfId="3" applyFont="1" applyBorder="1" applyAlignment="1">
      <alignment horizontal="left"/>
    </xf>
    <xf numFmtId="9" fontId="46" fillId="0" borderId="179" xfId="1" applyFont="1" applyBorder="1" applyAlignment="1">
      <alignment horizontal="center"/>
    </xf>
    <xf numFmtId="0" fontId="46" fillId="0" borderId="174" xfId="3" applyFont="1" applyBorder="1" applyAlignment="1">
      <alignment horizontal="left"/>
    </xf>
    <xf numFmtId="0" fontId="119" fillId="21" borderId="169" xfId="3" applyFont="1" applyFill="1" applyBorder="1" applyAlignment="1">
      <alignment horizontal="center"/>
    </xf>
    <xf numFmtId="0" fontId="119" fillId="21" borderId="176" xfId="3" applyFont="1" applyFill="1" applyBorder="1" applyAlignment="1">
      <alignment horizontal="center"/>
    </xf>
    <xf numFmtId="0" fontId="119" fillId="21" borderId="177" xfId="3" applyFont="1" applyFill="1" applyBorder="1" applyAlignment="1">
      <alignment horizontal="center"/>
    </xf>
    <xf numFmtId="0" fontId="119" fillId="21" borderId="170" xfId="3" applyFont="1" applyFill="1" applyBorder="1" applyAlignment="1">
      <alignment horizontal="center"/>
    </xf>
    <xf numFmtId="0" fontId="52" fillId="0" borderId="171" xfId="3" applyBorder="1" applyAlignment="1">
      <alignment horizontal="left"/>
    </xf>
    <xf numFmtId="167" fontId="46" fillId="0" borderId="179" xfId="1" applyNumberFormat="1" applyFont="1" applyBorder="1" applyAlignment="1">
      <alignment horizontal="center"/>
    </xf>
    <xf numFmtId="167" fontId="52" fillId="0" borderId="183" xfId="3" applyNumberFormat="1" applyBorder="1" applyAlignment="1">
      <alignment horizontal="center"/>
    </xf>
    <xf numFmtId="167" fontId="52" fillId="0" borderId="198" xfId="3" applyNumberFormat="1" applyBorder="1" applyAlignment="1">
      <alignment horizontal="center"/>
    </xf>
    <xf numFmtId="167" fontId="52" fillId="0" borderId="180" xfId="3" applyNumberFormat="1" applyBorder="1" applyAlignment="1">
      <alignment horizontal="center"/>
    </xf>
    <xf numFmtId="167" fontId="52" fillId="0" borderId="172" xfId="3" applyNumberFormat="1" applyBorder="1" applyAlignment="1">
      <alignment horizontal="center"/>
    </xf>
    <xf numFmtId="171" fontId="46" fillId="0" borderId="179" xfId="1" applyNumberFormat="1" applyFont="1" applyBorder="1" applyAlignment="1">
      <alignment horizontal="center"/>
    </xf>
    <xf numFmtId="0" fontId="52" fillId="0" borderId="174" xfId="3" applyBorder="1" applyAlignment="1">
      <alignment horizontal="left"/>
    </xf>
    <xf numFmtId="171" fontId="46" fillId="0" borderId="184" xfId="1" applyNumberFormat="1" applyFont="1" applyBorder="1" applyAlignment="1">
      <alignment horizontal="center"/>
    </xf>
    <xf numFmtId="0" fontId="119" fillId="0" borderId="1" xfId="3" applyFont="1"/>
    <xf numFmtId="49" fontId="44" fillId="12" borderId="1" xfId="12" applyNumberFormat="1" applyFill="1" applyAlignment="1">
      <alignment horizontal="left" vertical="center"/>
    </xf>
    <xf numFmtId="0" fontId="44" fillId="12" borderId="1" xfId="12" applyFill="1"/>
    <xf numFmtId="2" fontId="44" fillId="12" borderId="1" xfId="12" applyNumberFormat="1" applyFill="1" applyAlignment="1">
      <alignment horizontal="right" vertical="center"/>
    </xf>
    <xf numFmtId="10" fontId="73" fillId="0" borderId="0" xfId="0" applyNumberFormat="1" applyFont="1"/>
    <xf numFmtId="1" fontId="73" fillId="0" borderId="0" xfId="0" applyNumberFormat="1" applyFont="1"/>
    <xf numFmtId="9" fontId="46" fillId="0" borderId="179" xfId="1" applyFont="1" applyFill="1" applyBorder="1" applyAlignment="1">
      <alignment horizontal="center"/>
    </xf>
    <xf numFmtId="171" fontId="46" fillId="0" borderId="180" xfId="4" applyNumberFormat="1" applyFont="1" applyBorder="1" applyAlignment="1">
      <alignment horizontal="center"/>
    </xf>
    <xf numFmtId="171" fontId="46" fillId="0" borderId="181" xfId="4" applyNumberFormat="1" applyFont="1" applyBorder="1" applyAlignment="1">
      <alignment horizontal="center"/>
    </xf>
    <xf numFmtId="171" fontId="46" fillId="0" borderId="185" xfId="4" applyNumberFormat="1" applyFont="1" applyBorder="1" applyAlignment="1">
      <alignment horizontal="center"/>
    </xf>
    <xf numFmtId="171" fontId="46" fillId="0" borderId="186" xfId="4" applyNumberFormat="1" applyFont="1" applyBorder="1" applyAlignment="1">
      <alignment horizontal="center"/>
    </xf>
    <xf numFmtId="175" fontId="46" fillId="0" borderId="180" xfId="3" applyNumberFormat="1" applyFont="1" applyBorder="1" applyAlignment="1">
      <alignment horizontal="center"/>
    </xf>
    <xf numFmtId="175" fontId="46" fillId="0" borderId="172" xfId="3" applyNumberFormat="1" applyFont="1" applyBorder="1" applyAlignment="1">
      <alignment horizontal="center"/>
    </xf>
    <xf numFmtId="0" fontId="46" fillId="22" borderId="171" xfId="3" applyFont="1" applyFill="1" applyBorder="1" applyAlignment="1">
      <alignment horizontal="left"/>
    </xf>
    <xf numFmtId="175" fontId="46" fillId="22" borderId="179" xfId="3" applyNumberFormat="1" applyFont="1" applyFill="1" applyBorder="1" applyAlignment="1">
      <alignment horizontal="center"/>
    </xf>
    <xf numFmtId="0" fontId="52" fillId="22" borderId="171" xfId="3" applyFill="1" applyBorder="1" applyAlignment="1">
      <alignment horizontal="left" indent="1"/>
    </xf>
    <xf numFmtId="37" fontId="42" fillId="22" borderId="171" xfId="3" applyNumberFormat="1" applyFont="1" applyFill="1" applyBorder="1" applyAlignment="1">
      <alignment horizontal="center"/>
    </xf>
    <xf numFmtId="1" fontId="46" fillId="0" borderId="180" xfId="3" applyNumberFormat="1" applyFont="1" applyBorder="1" applyAlignment="1">
      <alignment horizontal="center"/>
    </xf>
    <xf numFmtId="1" fontId="46" fillId="0" borderId="172" xfId="3" applyNumberFormat="1" applyFont="1" applyBorder="1" applyAlignment="1">
      <alignment horizontal="center"/>
    </xf>
    <xf numFmtId="0" fontId="119" fillId="0" borderId="173" xfId="3" applyFont="1" applyBorder="1"/>
    <xf numFmtId="37" fontId="119" fillId="0" borderId="182" xfId="3" applyNumberFormat="1" applyFont="1" applyBorder="1" applyAlignment="1">
      <alignment horizontal="center"/>
    </xf>
    <xf numFmtId="1" fontId="119" fillId="0" borderId="183" xfId="3" applyNumberFormat="1" applyFont="1" applyBorder="1" applyAlignment="1">
      <alignment horizontal="center"/>
    </xf>
    <xf numFmtId="1" fontId="119" fillId="0" borderId="198" xfId="3" applyNumberFormat="1" applyFont="1" applyBorder="1" applyAlignment="1">
      <alignment horizontal="center"/>
    </xf>
    <xf numFmtId="0" fontId="41" fillId="22" borderId="174" xfId="3" applyFont="1" applyFill="1" applyBorder="1" applyAlignment="1">
      <alignment horizontal="left" indent="1"/>
    </xf>
    <xf numFmtId="167" fontId="46" fillId="22" borderId="184" xfId="3" applyNumberFormat="1" applyFont="1" applyFill="1" applyBorder="1" applyAlignment="1">
      <alignment horizontal="center"/>
    </xf>
    <xf numFmtId="1" fontId="87" fillId="10" borderId="44" xfId="0" applyNumberFormat="1" applyFont="1" applyFill="1" applyBorder="1" applyAlignment="1">
      <alignment horizontal="left" vertical="top"/>
    </xf>
    <xf numFmtId="0" fontId="87" fillId="0" borderId="48" xfId="0" quotePrefix="1" applyFont="1" applyBorder="1" applyAlignment="1">
      <alignment horizontal="left" vertical="top"/>
    </xf>
    <xf numFmtId="49" fontId="87" fillId="0" borderId="0" xfId="0" applyNumberFormat="1" applyFont="1" applyAlignment="1">
      <alignment horizontal="left" vertical="top"/>
    </xf>
    <xf numFmtId="0" fontId="87" fillId="10" borderId="44" xfId="0" applyFont="1" applyFill="1" applyBorder="1" applyAlignment="1">
      <alignment horizontal="left" vertical="top"/>
    </xf>
    <xf numFmtId="1" fontId="87" fillId="10" borderId="46" xfId="0" applyNumberFormat="1" applyFont="1" applyFill="1" applyBorder="1" applyAlignment="1">
      <alignment horizontal="left" vertical="top"/>
    </xf>
    <xf numFmtId="0" fontId="86" fillId="10" borderId="48" xfId="0" applyFont="1" applyFill="1" applyBorder="1" applyAlignment="1">
      <alignment horizontal="left" vertical="top"/>
    </xf>
    <xf numFmtId="49" fontId="86" fillId="10" borderId="47" xfId="0" applyNumberFormat="1" applyFont="1" applyFill="1" applyBorder="1" applyAlignment="1">
      <alignment horizontal="left" vertical="top"/>
    </xf>
    <xf numFmtId="49" fontId="86" fillId="10" borderId="44" xfId="0" applyNumberFormat="1" applyFont="1" applyFill="1" applyBorder="1" applyAlignment="1">
      <alignment horizontal="left" vertical="top"/>
    </xf>
    <xf numFmtId="49" fontId="86" fillId="0" borderId="1" xfId="0" applyNumberFormat="1" applyFont="1" applyBorder="1" applyAlignment="1">
      <alignment horizontal="left" vertical="top"/>
    </xf>
    <xf numFmtId="39" fontId="86" fillId="0" borderId="0" xfId="0" applyNumberFormat="1" applyFont="1" applyAlignment="1">
      <alignment horizontal="left" vertical="top"/>
    </xf>
    <xf numFmtId="3" fontId="124" fillId="0" borderId="0" xfId="0" applyNumberFormat="1" applyFont="1"/>
    <xf numFmtId="3" fontId="63" fillId="0" borderId="0" xfId="0" applyNumberFormat="1" applyFont="1"/>
    <xf numFmtId="0" fontId="90" fillId="0" borderId="0" xfId="0" applyFont="1"/>
    <xf numFmtId="3" fontId="73" fillId="0" borderId="0" xfId="0" applyNumberFormat="1" applyFont="1"/>
    <xf numFmtId="10" fontId="65" fillId="0" borderId="0" xfId="0" applyNumberFormat="1" applyFont="1"/>
    <xf numFmtId="9" fontId="46" fillId="0" borderId="180" xfId="4" applyFont="1" applyFill="1" applyBorder="1" applyAlignment="1">
      <alignment horizontal="center"/>
    </xf>
    <xf numFmtId="9" fontId="46" fillId="23" borderId="180" xfId="4" applyFont="1" applyFill="1" applyBorder="1" applyAlignment="1">
      <alignment horizontal="center"/>
    </xf>
    <xf numFmtId="0" fontId="52" fillId="0" borderId="172" xfId="3" applyBorder="1"/>
    <xf numFmtId="9" fontId="46" fillId="0" borderId="189" xfId="4" applyFont="1" applyFill="1" applyBorder="1" applyAlignment="1">
      <alignment horizontal="center"/>
    </xf>
    <xf numFmtId="9" fontId="46" fillId="0" borderId="185" xfId="4" applyFont="1" applyFill="1" applyBorder="1" applyAlignment="1">
      <alignment horizontal="center"/>
    </xf>
    <xf numFmtId="171" fontId="74" fillId="3" borderId="95" xfId="0" applyNumberFormat="1" applyFont="1" applyFill="1" applyBorder="1"/>
    <xf numFmtId="0" fontId="65" fillId="0" borderId="54" xfId="0" applyFont="1" applyBorder="1"/>
    <xf numFmtId="0" fontId="65" fillId="0" borderId="55" xfId="0" applyFont="1" applyBorder="1"/>
    <xf numFmtId="37" fontId="65" fillId="0" borderId="65" xfId="0" applyNumberFormat="1" applyFont="1" applyBorder="1"/>
    <xf numFmtId="1" fontId="55" fillId="0" borderId="48" xfId="0" applyNumberFormat="1" applyFont="1" applyBorder="1" applyAlignment="1">
      <alignment horizontal="left" vertical="top"/>
    </xf>
    <xf numFmtId="0" fontId="87" fillId="10" borderId="0" xfId="0" applyFont="1" applyFill="1" applyAlignment="1">
      <alignment horizontal="left" vertical="top"/>
    </xf>
    <xf numFmtId="1" fontId="55" fillId="0" borderId="49" xfId="0" applyNumberFormat="1" applyFont="1" applyBorder="1" applyAlignment="1">
      <alignment horizontal="left" vertical="top"/>
    </xf>
    <xf numFmtId="1" fontId="87" fillId="13" borderId="49" xfId="0" applyNumberFormat="1" applyFont="1" applyFill="1" applyBorder="1" applyAlignment="1">
      <alignment horizontal="left" vertical="top"/>
    </xf>
    <xf numFmtId="49" fontId="86" fillId="0" borderId="0" xfId="0" applyNumberFormat="1" applyFont="1" applyAlignment="1">
      <alignment horizontal="left" vertical="top"/>
    </xf>
    <xf numFmtId="49" fontId="55" fillId="0" borderId="48" xfId="0" applyNumberFormat="1" applyFont="1" applyBorder="1" applyAlignment="1">
      <alignment horizontal="left" vertical="top"/>
    </xf>
    <xf numFmtId="39" fontId="86" fillId="10" borderId="0" xfId="0" applyNumberFormat="1" applyFont="1" applyFill="1" applyAlignment="1">
      <alignment horizontal="left" vertical="top"/>
    </xf>
    <xf numFmtId="49" fontId="86" fillId="0" borderId="45" xfId="0" applyNumberFormat="1" applyFont="1" applyBorder="1" applyAlignment="1">
      <alignment horizontal="left" vertical="top"/>
    </xf>
    <xf numFmtId="49" fontId="55" fillId="0" borderId="49" xfId="0" applyNumberFormat="1" applyFont="1" applyBorder="1" applyAlignment="1">
      <alignment horizontal="left" vertical="top"/>
    </xf>
    <xf numFmtId="49" fontId="86" fillId="10" borderId="0" xfId="0" applyNumberFormat="1" applyFont="1" applyFill="1" applyAlignment="1">
      <alignment horizontal="left" vertical="top"/>
    </xf>
    <xf numFmtId="0" fontId="86" fillId="10" borderId="44" xfId="0" applyFont="1" applyFill="1" applyBorder="1" applyAlignment="1">
      <alignment horizontal="left" vertical="top"/>
    </xf>
    <xf numFmtId="1" fontId="87" fillId="0" borderId="1" xfId="0" applyNumberFormat="1" applyFont="1" applyBorder="1" applyAlignment="1">
      <alignment horizontal="left" vertical="top"/>
    </xf>
    <xf numFmtId="0" fontId="86" fillId="10" borderId="50" xfId="0" applyFont="1" applyFill="1" applyBorder="1" applyAlignment="1">
      <alignment horizontal="left" vertical="top"/>
    </xf>
    <xf numFmtId="0" fontId="73" fillId="23" borderId="0" xfId="0" applyFont="1" applyFill="1"/>
    <xf numFmtId="49" fontId="121" fillId="0" borderId="1" xfId="20" applyNumberFormat="1" applyFont="1" applyAlignment="1">
      <alignment horizontal="center" vertical="center"/>
    </xf>
    <xf numFmtId="2" fontId="121" fillId="0" borderId="1" xfId="20" applyNumberFormat="1" applyFont="1" applyAlignment="1">
      <alignment horizontal="center" vertical="center"/>
    </xf>
    <xf numFmtId="176" fontId="121" fillId="0" borderId="1" xfId="20" applyNumberFormat="1" applyFont="1" applyAlignment="1">
      <alignment horizontal="center" vertical="center"/>
    </xf>
    <xf numFmtId="0" fontId="0" fillId="0" borderId="1" xfId="20" applyFont="1"/>
    <xf numFmtId="0" fontId="127" fillId="0" borderId="1" xfId="20" applyFont="1" applyAlignment="1">
      <alignment horizontal="center"/>
    </xf>
    <xf numFmtId="49" fontId="126" fillId="0" borderId="1" xfId="20" applyNumberFormat="1" applyAlignment="1">
      <alignment horizontal="center" vertical="center"/>
    </xf>
    <xf numFmtId="176" fontId="126" fillId="0" borderId="1" xfId="20" applyNumberFormat="1" applyAlignment="1">
      <alignment horizontal="center" vertical="center"/>
    </xf>
    <xf numFmtId="3" fontId="12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5" fillId="0" borderId="0" xfId="0" quotePrefix="1" applyFont="1"/>
    <xf numFmtId="9" fontId="119" fillId="23" borderId="183" xfId="4" applyFont="1" applyFill="1" applyBorder="1" applyAlignment="1">
      <alignment horizontal="center"/>
    </xf>
    <xf numFmtId="9" fontId="119" fillId="23" borderId="180" xfId="4" applyFont="1" applyFill="1" applyBorder="1" applyAlignment="1">
      <alignment horizontal="center"/>
    </xf>
    <xf numFmtId="0" fontId="90" fillId="12" borderId="0" xfId="0" quotePrefix="1" applyFont="1" applyFill="1"/>
    <xf numFmtId="0" fontId="92" fillId="25" borderId="106" xfId="0" applyFont="1" applyFill="1" applyBorder="1"/>
    <xf numFmtId="0" fontId="92" fillId="25" borderId="107" xfId="0" applyFont="1" applyFill="1" applyBorder="1"/>
    <xf numFmtId="0" fontId="92" fillId="25" borderId="108" xfId="0" applyFont="1" applyFill="1" applyBorder="1"/>
    <xf numFmtId="3" fontId="91" fillId="25" borderId="110" xfId="0" applyNumberFormat="1" applyFont="1" applyFill="1" applyBorder="1" applyAlignment="1">
      <alignment horizontal="center"/>
    </xf>
    <xf numFmtId="3" fontId="91" fillId="25" borderId="0" xfId="0" applyNumberFormat="1" applyFont="1" applyFill="1" applyAlignment="1">
      <alignment horizontal="center"/>
    </xf>
    <xf numFmtId="3" fontId="91" fillId="25" borderId="111" xfId="0" applyNumberFormat="1" applyFont="1" applyFill="1" applyBorder="1" applyAlignment="1">
      <alignment horizontal="center"/>
    </xf>
    <xf numFmtId="3" fontId="91" fillId="25" borderId="112" xfId="0" applyNumberFormat="1" applyFont="1" applyFill="1" applyBorder="1" applyAlignment="1">
      <alignment horizontal="center"/>
    </xf>
    <xf numFmtId="3" fontId="91" fillId="25" borderId="105" xfId="0" applyNumberFormat="1" applyFont="1" applyFill="1" applyBorder="1" applyAlignment="1">
      <alignment horizontal="center"/>
    </xf>
    <xf numFmtId="3" fontId="91" fillId="25" borderId="113" xfId="0" applyNumberFormat="1" applyFont="1" applyFill="1" applyBorder="1" applyAlignment="1" applyProtection="1">
      <alignment horizontal="right"/>
      <protection locked="0"/>
    </xf>
    <xf numFmtId="3" fontId="91" fillId="25" borderId="110" xfId="0" applyNumberFormat="1" applyFont="1" applyFill="1" applyBorder="1" applyProtection="1">
      <protection locked="0"/>
    </xf>
    <xf numFmtId="3" fontId="91" fillId="25" borderId="0" xfId="0" applyNumberFormat="1" applyFont="1" applyFill="1"/>
    <xf numFmtId="3" fontId="91" fillId="25" borderId="111" xfId="0" applyNumberFormat="1" applyFont="1" applyFill="1" applyBorder="1" applyProtection="1">
      <protection locked="0"/>
    </xf>
    <xf numFmtId="3" fontId="91" fillId="25" borderId="110" xfId="0" applyNumberFormat="1" applyFont="1" applyFill="1" applyBorder="1"/>
    <xf numFmtId="3" fontId="91" fillId="25" borderId="111" xfId="0" applyNumberFormat="1" applyFont="1" applyFill="1" applyBorder="1"/>
    <xf numFmtId="3" fontId="92" fillId="25" borderId="109" xfId="0" applyNumberFormat="1" applyFont="1" applyFill="1" applyBorder="1"/>
    <xf numFmtId="3" fontId="92" fillId="25" borderId="114" xfId="0" applyNumberFormat="1" applyFont="1" applyFill="1" applyBorder="1"/>
    <xf numFmtId="3" fontId="92" fillId="25" borderId="115" xfId="0" applyNumberFormat="1" applyFont="1" applyFill="1" applyBorder="1"/>
    <xf numFmtId="0" fontId="91" fillId="25" borderId="110" xfId="0" applyFont="1" applyFill="1" applyBorder="1"/>
    <xf numFmtId="0" fontId="91" fillId="25" borderId="111" xfId="0" applyFont="1" applyFill="1" applyBorder="1"/>
    <xf numFmtId="3" fontId="91" fillId="25" borderId="116" xfId="0" applyNumberFormat="1" applyFont="1" applyFill="1" applyBorder="1" applyProtection="1">
      <protection locked="0"/>
    </xf>
    <xf numFmtId="3" fontId="91" fillId="25" borderId="55" xfId="0" applyNumberFormat="1" applyFont="1" applyFill="1" applyBorder="1"/>
    <xf numFmtId="3" fontId="91" fillId="25" borderId="117" xfId="0" applyNumberFormat="1" applyFont="1" applyFill="1" applyBorder="1" applyProtection="1">
      <protection locked="0"/>
    </xf>
    <xf numFmtId="3" fontId="91" fillId="25" borderId="109" xfId="0" applyNumberFormat="1" applyFont="1" applyFill="1" applyBorder="1"/>
    <xf numFmtId="3" fontId="91" fillId="25" borderId="114" xfId="0" applyNumberFormat="1" applyFont="1" applyFill="1" applyBorder="1"/>
    <xf numFmtId="3" fontId="91" fillId="25" borderId="115" xfId="0" applyNumberFormat="1" applyFont="1" applyFill="1" applyBorder="1"/>
    <xf numFmtId="0" fontId="91" fillId="25" borderId="0" xfId="0" applyFont="1" applyFill="1"/>
    <xf numFmtId="37" fontId="91" fillId="25" borderId="111" xfId="0" applyNumberFormat="1" applyFont="1" applyFill="1" applyBorder="1"/>
    <xf numFmtId="37" fontId="92" fillId="26" borderId="118" xfId="0" applyNumberFormat="1" applyFont="1" applyFill="1" applyBorder="1"/>
    <xf numFmtId="172" fontId="92" fillId="26" borderId="119" xfId="0" applyNumberFormat="1" applyFont="1" applyFill="1" applyBorder="1"/>
    <xf numFmtId="37" fontId="92" fillId="26" borderId="120" xfId="0" applyNumberFormat="1" applyFont="1" applyFill="1" applyBorder="1"/>
    <xf numFmtId="0" fontId="92" fillId="26" borderId="121" xfId="0" applyFont="1" applyFill="1" applyBorder="1"/>
    <xf numFmtId="0" fontId="92" fillId="26" borderId="122" xfId="0" applyFont="1" applyFill="1" applyBorder="1"/>
    <xf numFmtId="0" fontId="92" fillId="26" borderId="123" xfId="0" applyFont="1" applyFill="1" applyBorder="1"/>
    <xf numFmtId="0" fontId="92" fillId="27" borderId="110" xfId="0" applyFont="1" applyFill="1" applyBorder="1"/>
    <xf numFmtId="0" fontId="92" fillId="27" borderId="0" xfId="0" applyFont="1" applyFill="1"/>
    <xf numFmtId="0" fontId="92" fillId="27" borderId="111" xfId="0" applyFont="1" applyFill="1" applyBorder="1"/>
    <xf numFmtId="0" fontId="91" fillId="25" borderId="0" xfId="0" applyFont="1" applyFill="1" applyAlignment="1">
      <alignment horizontal="center"/>
    </xf>
    <xf numFmtId="9" fontId="91" fillId="25" borderId="110" xfId="1" applyFont="1" applyFill="1" applyBorder="1"/>
    <xf numFmtId="37" fontId="91" fillId="25" borderId="0" xfId="0" applyNumberFormat="1" applyFont="1" applyFill="1"/>
    <xf numFmtId="37" fontId="91" fillId="25" borderId="111" xfId="0" applyNumberFormat="1" applyFont="1" applyFill="1" applyBorder="1" applyProtection="1">
      <protection locked="0"/>
    </xf>
    <xf numFmtId="9" fontId="91" fillId="25" borderId="112" xfId="1" applyFont="1" applyFill="1" applyBorder="1"/>
    <xf numFmtId="37" fontId="91" fillId="25" borderId="105" xfId="0" applyNumberFormat="1" applyFont="1" applyFill="1" applyBorder="1"/>
    <xf numFmtId="37" fontId="91" fillId="25" borderId="113" xfId="0" applyNumberFormat="1" applyFont="1" applyFill="1" applyBorder="1" applyProtection="1">
      <protection locked="0"/>
    </xf>
    <xf numFmtId="0" fontId="91" fillId="25" borderId="112" xfId="0" applyFont="1" applyFill="1" applyBorder="1"/>
    <xf numFmtId="0" fontId="92" fillId="26" borderId="124" xfId="0" applyFont="1" applyFill="1" applyBorder="1" applyAlignment="1">
      <alignment horizontal="center"/>
    </xf>
    <xf numFmtId="171" fontId="92" fillId="26" borderId="125" xfId="0" applyNumberFormat="1" applyFont="1" applyFill="1" applyBorder="1"/>
    <xf numFmtId="37" fontId="92" fillId="26" borderId="126" xfId="0" applyNumberFormat="1" applyFont="1" applyFill="1" applyBorder="1"/>
    <xf numFmtId="0" fontId="91" fillId="25" borderId="109" xfId="0" applyFont="1" applyFill="1" applyBorder="1"/>
    <xf numFmtId="0" fontId="91" fillId="25" borderId="114" xfId="0" applyFont="1" applyFill="1" applyBorder="1"/>
    <xf numFmtId="37" fontId="91" fillId="25" borderId="115" xfId="0" applyNumberFormat="1" applyFont="1" applyFill="1" applyBorder="1" applyProtection="1">
      <protection locked="0"/>
    </xf>
    <xf numFmtId="0" fontId="91" fillId="25" borderId="105" xfId="0" applyFont="1" applyFill="1" applyBorder="1"/>
    <xf numFmtId="37" fontId="91" fillId="25" borderId="113" xfId="0" applyNumberFormat="1" applyFont="1" applyFill="1" applyBorder="1"/>
    <xf numFmtId="0" fontId="91" fillId="25" borderId="116" xfId="0" applyFont="1" applyFill="1" applyBorder="1"/>
    <xf numFmtId="0" fontId="91" fillId="25" borderId="55" xfId="0" applyFont="1" applyFill="1" applyBorder="1"/>
    <xf numFmtId="37" fontId="91" fillId="25" borderId="117" xfId="0" applyNumberFormat="1" applyFont="1" applyFill="1" applyBorder="1" applyProtection="1">
      <protection locked="0"/>
    </xf>
    <xf numFmtId="37" fontId="92" fillId="26" borderId="128" xfId="0" applyNumberFormat="1" applyFont="1" applyFill="1" applyBorder="1"/>
    <xf numFmtId="0" fontId="92" fillId="26" borderId="130" xfId="0" applyFont="1" applyFill="1" applyBorder="1" applyAlignment="1">
      <alignment horizontal="center"/>
    </xf>
    <xf numFmtId="171" fontId="92" fillId="26" borderId="131" xfId="0" applyNumberFormat="1" applyFont="1" applyFill="1" applyBorder="1"/>
    <xf numFmtId="37" fontId="92" fillId="26" borderId="132" xfId="0" applyNumberFormat="1" applyFont="1" applyFill="1" applyBorder="1"/>
    <xf numFmtId="0" fontId="91" fillId="27" borderId="112" xfId="0" applyFont="1" applyFill="1" applyBorder="1"/>
    <xf numFmtId="0" fontId="91" fillId="27" borderId="105" xfId="0" applyFont="1" applyFill="1" applyBorder="1"/>
    <xf numFmtId="37" fontId="92" fillId="27" borderId="111" xfId="0" applyNumberFormat="1" applyFont="1" applyFill="1" applyBorder="1"/>
    <xf numFmtId="0" fontId="91" fillId="26" borderId="133" xfId="0" applyFont="1" applyFill="1" applyBorder="1"/>
    <xf numFmtId="0" fontId="91" fillId="26" borderId="134" xfId="0" applyFont="1" applyFill="1" applyBorder="1"/>
    <xf numFmtId="37" fontId="92" fillId="26" borderId="135" xfId="0" applyNumberFormat="1" applyFont="1" applyFill="1" applyBorder="1"/>
    <xf numFmtId="0" fontId="105" fillId="25" borderId="0" xfId="0" applyFont="1" applyFill="1"/>
    <xf numFmtId="37" fontId="105" fillId="25" borderId="0" xfId="0" applyNumberFormat="1" applyFont="1" applyFill="1"/>
    <xf numFmtId="0" fontId="103" fillId="25" borderId="0" xfId="0" applyFont="1" applyFill="1"/>
    <xf numFmtId="0" fontId="101" fillId="25" borderId="0" xfId="0" applyFont="1" applyFill="1"/>
    <xf numFmtId="0" fontId="91" fillId="25" borderId="110" xfId="0" applyFont="1" applyFill="1" applyBorder="1" applyAlignment="1">
      <alignment horizontal="center"/>
    </xf>
    <xf numFmtId="0" fontId="91" fillId="25" borderId="111" xfId="0" applyFont="1" applyFill="1" applyBorder="1" applyAlignment="1">
      <alignment horizontal="center"/>
    </xf>
    <xf numFmtId="3" fontId="91" fillId="25" borderId="113" xfId="0" applyNumberFormat="1" applyFont="1" applyFill="1" applyBorder="1" applyAlignment="1" applyProtection="1">
      <alignment horizontal="center"/>
      <protection locked="0"/>
    </xf>
    <xf numFmtId="3" fontId="91" fillId="25" borderId="112" xfId="0" applyNumberFormat="1" applyFont="1" applyFill="1" applyBorder="1"/>
    <xf numFmtId="3" fontId="91" fillId="25" borderId="105" xfId="0" applyNumberFormat="1" applyFont="1" applyFill="1" applyBorder="1"/>
    <xf numFmtId="3" fontId="91" fillId="25" borderId="113" xfId="0" applyNumberFormat="1" applyFont="1" applyFill="1" applyBorder="1"/>
    <xf numFmtId="0" fontId="92" fillId="25" borderId="110" xfId="0" applyFont="1" applyFill="1" applyBorder="1"/>
    <xf numFmtId="0" fontId="92" fillId="25" borderId="0" xfId="0" applyFont="1" applyFill="1"/>
    <xf numFmtId="0" fontId="92" fillId="25" borderId="111" xfId="0" applyFont="1" applyFill="1" applyBorder="1"/>
    <xf numFmtId="9" fontId="91" fillId="25" borderId="110" xfId="0" applyNumberFormat="1" applyFont="1" applyFill="1" applyBorder="1"/>
    <xf numFmtId="0" fontId="91" fillId="25" borderId="110" xfId="0" applyFont="1" applyFill="1" applyBorder="1" applyAlignment="1">
      <alignment horizontal="right"/>
    </xf>
    <xf numFmtId="171" fontId="91" fillId="25" borderId="0" xfId="0" applyNumberFormat="1" applyFont="1" applyFill="1"/>
    <xf numFmtId="0" fontId="92" fillId="26" borderId="127" xfId="0" applyFont="1" applyFill="1" applyBorder="1" applyAlignment="1">
      <alignment horizontal="center"/>
    </xf>
    <xf numFmtId="171" fontId="92" fillId="26" borderId="136" xfId="0" applyNumberFormat="1" applyFont="1" applyFill="1" applyBorder="1"/>
    <xf numFmtId="0" fontId="92" fillId="26" borderId="133" xfId="0" applyFont="1" applyFill="1" applyBorder="1"/>
    <xf numFmtId="0" fontId="92" fillId="26" borderId="134" xfId="0" applyFont="1" applyFill="1" applyBorder="1"/>
    <xf numFmtId="37" fontId="103" fillId="25" borderId="0" xfId="0" applyNumberFormat="1" applyFont="1" applyFill="1"/>
    <xf numFmtId="37" fontId="91" fillId="25" borderId="110" xfId="0" applyNumberFormat="1" applyFont="1" applyFill="1" applyBorder="1" applyProtection="1">
      <protection locked="0"/>
    </xf>
    <xf numFmtId="37" fontId="91" fillId="25" borderId="0" xfId="0" applyNumberFormat="1" applyFont="1" applyFill="1" applyProtection="1">
      <protection locked="0"/>
    </xf>
    <xf numFmtId="37" fontId="91" fillId="25" borderId="110" xfId="0" applyNumberFormat="1" applyFont="1" applyFill="1" applyBorder="1"/>
    <xf numFmtId="171" fontId="91" fillId="25" borderId="111" xfId="0" applyNumberFormat="1" applyFont="1" applyFill="1" applyBorder="1"/>
    <xf numFmtId="37" fontId="91" fillId="25" borderId="112" xfId="0" applyNumberFormat="1" applyFont="1" applyFill="1" applyBorder="1"/>
    <xf numFmtId="2" fontId="91" fillId="25" borderId="105" xfId="0" applyNumberFormat="1" applyFont="1" applyFill="1" applyBorder="1"/>
    <xf numFmtId="171" fontId="91" fillId="25" borderId="113" xfId="0" applyNumberFormat="1" applyFont="1" applyFill="1" applyBorder="1"/>
    <xf numFmtId="37" fontId="91" fillId="25" borderId="109" xfId="0" applyNumberFormat="1" applyFont="1" applyFill="1" applyBorder="1" applyProtection="1">
      <protection locked="0"/>
    </xf>
    <xf numFmtId="37" fontId="91" fillId="25" borderId="114" xfId="0" applyNumberFormat="1" applyFont="1" applyFill="1" applyBorder="1" applyProtection="1">
      <protection locked="0"/>
    </xf>
    <xf numFmtId="172" fontId="91" fillId="25" borderId="0" xfId="0" applyNumberFormat="1" applyFont="1" applyFill="1"/>
    <xf numFmtId="173" fontId="91" fillId="25" borderId="0" xfId="0" applyNumberFormat="1" applyFont="1" applyFill="1"/>
    <xf numFmtId="37" fontId="92" fillId="25" borderId="110" xfId="0" applyNumberFormat="1" applyFont="1" applyFill="1" applyBorder="1"/>
    <xf numFmtId="172" fontId="92" fillId="25" borderId="0" xfId="0" applyNumberFormat="1" applyFont="1" applyFill="1"/>
    <xf numFmtId="37" fontId="92" fillId="25" borderId="112" xfId="0" applyNumberFormat="1" applyFont="1" applyFill="1" applyBorder="1"/>
    <xf numFmtId="173" fontId="91" fillId="25" borderId="105" xfId="0" applyNumberFormat="1" applyFont="1" applyFill="1" applyBorder="1"/>
    <xf numFmtId="37" fontId="92" fillId="27" borderId="118" xfId="0" applyNumberFormat="1" applyFont="1" applyFill="1" applyBorder="1"/>
    <xf numFmtId="37" fontId="92" fillId="27" borderId="119" xfId="0" applyNumberFormat="1" applyFont="1" applyFill="1" applyBorder="1"/>
    <xf numFmtId="37" fontId="92" fillId="27" borderId="120" xfId="0" applyNumberFormat="1" applyFont="1" applyFill="1" applyBorder="1"/>
    <xf numFmtId="37" fontId="92" fillId="27" borderId="112" xfId="0" applyNumberFormat="1" applyFont="1" applyFill="1" applyBorder="1"/>
    <xf numFmtId="39" fontId="92" fillId="27" borderId="105" xfId="0" applyNumberFormat="1" applyFont="1" applyFill="1" applyBorder="1"/>
    <xf numFmtId="171" fontId="92" fillId="25" borderId="111" xfId="0" applyNumberFormat="1" applyFont="1" applyFill="1" applyBorder="1"/>
    <xf numFmtId="37" fontId="91" fillId="25" borderId="137" xfId="0" applyNumberFormat="1" applyFont="1" applyFill="1" applyBorder="1"/>
    <xf numFmtId="172" fontId="91" fillId="25" borderId="0" xfId="0" applyNumberFormat="1" applyFont="1" applyFill="1" applyProtection="1">
      <protection locked="0"/>
    </xf>
    <xf numFmtId="172" fontId="91" fillId="25" borderId="114" xfId="0" applyNumberFormat="1" applyFont="1" applyFill="1" applyBorder="1" applyProtection="1">
      <protection locked="0"/>
    </xf>
    <xf numFmtId="172" fontId="91" fillId="25" borderId="105" xfId="0" applyNumberFormat="1" applyFont="1" applyFill="1" applyBorder="1"/>
    <xf numFmtId="37" fontId="92" fillId="27" borderId="109" xfId="0" applyNumberFormat="1" applyFont="1" applyFill="1" applyBorder="1"/>
    <xf numFmtId="172" fontId="92" fillId="27" borderId="114" xfId="0" applyNumberFormat="1" applyFont="1" applyFill="1" applyBorder="1"/>
    <xf numFmtId="37" fontId="92" fillId="27" borderId="115" xfId="0" applyNumberFormat="1" applyFont="1" applyFill="1" applyBorder="1"/>
    <xf numFmtId="37" fontId="92" fillId="26" borderId="119" xfId="0" applyNumberFormat="1" applyFont="1" applyFill="1" applyBorder="1"/>
    <xf numFmtId="171" fontId="92" fillId="26" borderId="123" xfId="0" applyNumberFormat="1" applyFont="1" applyFill="1" applyBorder="1"/>
    <xf numFmtId="171" fontId="92" fillId="27" borderId="111" xfId="0" applyNumberFormat="1" applyFont="1" applyFill="1" applyBorder="1"/>
    <xf numFmtId="0" fontId="91" fillId="25" borderId="1" xfId="0" applyFont="1" applyFill="1" applyBorder="1"/>
    <xf numFmtId="37" fontId="92" fillId="25" borderId="109" xfId="0" applyNumberFormat="1" applyFont="1" applyFill="1" applyBorder="1"/>
    <xf numFmtId="171" fontId="92" fillId="25" borderId="114" xfId="0" applyNumberFormat="1" applyFont="1" applyFill="1" applyBorder="1"/>
    <xf numFmtId="37" fontId="92" fillId="25" borderId="115" xfId="0" applyNumberFormat="1" applyFont="1" applyFill="1" applyBorder="1"/>
    <xf numFmtId="0" fontId="91" fillId="25" borderId="113" xfId="0" applyFont="1" applyFill="1" applyBorder="1"/>
    <xf numFmtId="171" fontId="91" fillId="25" borderId="0" xfId="1" applyNumberFormat="1" applyFont="1" applyFill="1"/>
    <xf numFmtId="37" fontId="91" fillId="25" borderId="116" xfId="0" applyNumberFormat="1" applyFont="1" applyFill="1" applyBorder="1" applyProtection="1">
      <protection locked="0"/>
    </xf>
    <xf numFmtId="171" fontId="91" fillId="25" borderId="55" xfId="0" applyNumberFormat="1" applyFont="1" applyFill="1" applyBorder="1"/>
    <xf numFmtId="171" fontId="92" fillId="26" borderId="119" xfId="0" applyNumberFormat="1" applyFont="1" applyFill="1" applyBorder="1"/>
    <xf numFmtId="37" fontId="92" fillId="26" borderId="140" xfId="0" applyNumberFormat="1" applyFont="1" applyFill="1" applyBorder="1"/>
    <xf numFmtId="172" fontId="92" fillId="26" borderId="141" xfId="0" applyNumberFormat="1" applyFont="1" applyFill="1" applyBorder="1"/>
    <xf numFmtId="37" fontId="92" fillId="26" borderId="142" xfId="0" applyNumberFormat="1" applyFont="1" applyFill="1" applyBorder="1"/>
    <xf numFmtId="37" fontId="92" fillId="27" borderId="110" xfId="0" applyNumberFormat="1" applyFont="1" applyFill="1" applyBorder="1"/>
    <xf numFmtId="172" fontId="92" fillId="27" borderId="0" xfId="0" applyNumberFormat="1" applyFont="1" applyFill="1"/>
    <xf numFmtId="37" fontId="92" fillId="25" borderId="0" xfId="0" applyNumberFormat="1" applyFont="1" applyFill="1"/>
    <xf numFmtId="0" fontId="91" fillId="26" borderId="143" xfId="0" applyFont="1" applyFill="1" applyBorder="1"/>
    <xf numFmtId="0" fontId="91" fillId="26" borderId="144" xfId="0" applyFont="1" applyFill="1" applyBorder="1"/>
    <xf numFmtId="37" fontId="92" fillId="26" borderId="145" xfId="0" applyNumberFormat="1" applyFont="1" applyFill="1" applyBorder="1"/>
    <xf numFmtId="37" fontId="101" fillId="25" borderId="0" xfId="0" applyNumberFormat="1" applyFont="1" applyFill="1"/>
    <xf numFmtId="0" fontId="103" fillId="25" borderId="122" xfId="0" applyFont="1" applyFill="1" applyBorder="1" applyAlignment="1">
      <alignment horizontal="center"/>
    </xf>
    <xf numFmtId="37" fontId="103" fillId="25" borderId="122" xfId="0" applyNumberFormat="1" applyFont="1" applyFill="1" applyBorder="1" applyAlignment="1">
      <alignment horizontal="center"/>
    </xf>
    <xf numFmtId="0" fontId="92" fillId="25" borderId="196" xfId="0" applyFont="1" applyFill="1" applyBorder="1"/>
    <xf numFmtId="0" fontId="92" fillId="25" borderId="197" xfId="0" applyFont="1" applyFill="1" applyBorder="1"/>
    <xf numFmtId="0" fontId="91" fillId="25" borderId="147" xfId="0" applyFont="1" applyFill="1" applyBorder="1" applyAlignment="1">
      <alignment horizontal="center"/>
    </xf>
    <xf numFmtId="0" fontId="91" fillId="25" borderId="105" xfId="0" applyFont="1" applyFill="1" applyBorder="1" applyAlignment="1">
      <alignment horizontal="center"/>
    </xf>
    <xf numFmtId="0" fontId="91" fillId="25" borderId="148" xfId="0" applyFont="1" applyFill="1" applyBorder="1" applyAlignment="1">
      <alignment horizontal="center"/>
    </xf>
    <xf numFmtId="37" fontId="95" fillId="25" borderId="147" xfId="0" applyNumberFormat="1" applyFont="1" applyFill="1" applyBorder="1"/>
    <xf numFmtId="37" fontId="95" fillId="25" borderId="105" xfId="0" applyNumberFormat="1" applyFont="1" applyFill="1" applyBorder="1"/>
    <xf numFmtId="37" fontId="95" fillId="25" borderId="148" xfId="0" applyNumberFormat="1" applyFont="1" applyFill="1" applyBorder="1"/>
    <xf numFmtId="37" fontId="108" fillId="26" borderId="147" xfId="0" applyNumberFormat="1" applyFont="1" applyFill="1" applyBorder="1"/>
    <xf numFmtId="37" fontId="108" fillId="26" borderId="105" xfId="0" applyNumberFormat="1" applyFont="1" applyFill="1" applyBorder="1"/>
    <xf numFmtId="37" fontId="108" fillId="26" borderId="148" xfId="0" applyNumberFormat="1" applyFont="1" applyFill="1" applyBorder="1"/>
    <xf numFmtId="37" fontId="95" fillId="25" borderId="72" xfId="0" applyNumberFormat="1" applyFont="1" applyFill="1" applyBorder="1"/>
    <xf numFmtId="0" fontId="95" fillId="25" borderId="0" xfId="0" applyFont="1" applyFill="1"/>
    <xf numFmtId="37" fontId="95" fillId="25" borderId="57" xfId="0" applyNumberFormat="1" applyFont="1" applyFill="1" applyBorder="1"/>
    <xf numFmtId="0" fontId="95" fillId="25" borderId="72" xfId="0" applyFont="1" applyFill="1" applyBorder="1"/>
    <xf numFmtId="172" fontId="95" fillId="25" borderId="0" xfId="0" applyNumberFormat="1" applyFont="1" applyFill="1"/>
    <xf numFmtId="0" fontId="95" fillId="25" borderId="147" xfId="0" applyFont="1" applyFill="1" applyBorder="1"/>
    <xf numFmtId="172" fontId="95" fillId="25" borderId="105" xfId="0" applyNumberFormat="1" applyFont="1" applyFill="1" applyBorder="1"/>
    <xf numFmtId="171" fontId="108" fillId="26" borderId="149" xfId="0" applyNumberFormat="1" applyFont="1" applyFill="1" applyBorder="1"/>
    <xf numFmtId="0" fontId="108" fillId="26" borderId="125" xfId="0" applyFont="1" applyFill="1" applyBorder="1"/>
    <xf numFmtId="37" fontId="108" fillId="26" borderId="150" xfId="0" applyNumberFormat="1" applyFont="1" applyFill="1" applyBorder="1"/>
    <xf numFmtId="37" fontId="95" fillId="25" borderId="57" xfId="0" applyNumberFormat="1" applyFont="1" applyFill="1" applyBorder="1" applyProtection="1">
      <protection locked="0"/>
    </xf>
    <xf numFmtId="9" fontId="95" fillId="25" borderId="105" xfId="1" applyFont="1" applyFill="1" applyBorder="1"/>
    <xf numFmtId="9" fontId="95" fillId="25" borderId="0" xfId="1" applyFont="1" applyFill="1"/>
    <xf numFmtId="172" fontId="108" fillId="26" borderId="125" xfId="0" applyNumberFormat="1" applyFont="1" applyFill="1" applyBorder="1"/>
    <xf numFmtId="0" fontId="95" fillId="25" borderId="151" xfId="0" applyFont="1" applyFill="1" applyBorder="1"/>
    <xf numFmtId="172" fontId="95" fillId="25" borderId="114" xfId="0" applyNumberFormat="1" applyFont="1" applyFill="1" applyBorder="1"/>
    <xf numFmtId="37" fontId="95" fillId="25" borderId="152" xfId="0" applyNumberFormat="1" applyFont="1" applyFill="1" applyBorder="1"/>
    <xf numFmtId="0" fontId="95" fillId="25" borderId="103" xfId="0" applyFont="1" applyFill="1" applyBorder="1"/>
    <xf numFmtId="172" fontId="95" fillId="25" borderId="55" xfId="0" applyNumberFormat="1" applyFont="1" applyFill="1" applyBorder="1"/>
    <xf numFmtId="37" fontId="95" fillId="25" borderId="65" xfId="0" applyNumberFormat="1" applyFont="1" applyFill="1" applyBorder="1"/>
    <xf numFmtId="172" fontId="95" fillId="25" borderId="1" xfId="0" applyNumberFormat="1" applyFont="1" applyFill="1" applyBorder="1"/>
    <xf numFmtId="37" fontId="95" fillId="25" borderId="148" xfId="0" applyNumberFormat="1" applyFont="1" applyFill="1" applyBorder="1" applyProtection="1">
      <protection locked="0"/>
    </xf>
    <xf numFmtId="0" fontId="128" fillId="25" borderId="72" xfId="0" applyFont="1" applyFill="1" applyBorder="1"/>
    <xf numFmtId="0" fontId="128" fillId="25" borderId="0" xfId="0" applyFont="1" applyFill="1"/>
    <xf numFmtId="37" fontId="128" fillId="25" borderId="57" xfId="0" applyNumberFormat="1" applyFont="1" applyFill="1" applyBorder="1"/>
    <xf numFmtId="171" fontId="108" fillId="25" borderId="151" xfId="0" applyNumberFormat="1" applyFont="1" applyFill="1" applyBorder="1"/>
    <xf numFmtId="0" fontId="108" fillId="25" borderId="114" xfId="0" applyFont="1" applyFill="1" applyBorder="1"/>
    <xf numFmtId="37" fontId="95" fillId="27" borderId="152" xfId="0" applyNumberFormat="1" applyFont="1" applyFill="1" applyBorder="1"/>
    <xf numFmtId="171" fontId="108" fillId="25" borderId="72" xfId="0" applyNumberFormat="1" applyFont="1" applyFill="1" applyBorder="1"/>
    <xf numFmtId="0" fontId="108" fillId="25" borderId="0" xfId="0" applyFont="1" applyFill="1"/>
    <xf numFmtId="171" fontId="108" fillId="25" borderId="147" xfId="0" applyNumberFormat="1" applyFont="1" applyFill="1" applyBorder="1"/>
    <xf numFmtId="0" fontId="95" fillId="26" borderId="125" xfId="0" applyFont="1" applyFill="1" applyBorder="1"/>
    <xf numFmtId="0" fontId="129" fillId="27" borderId="151" xfId="0" applyFont="1" applyFill="1" applyBorder="1"/>
    <xf numFmtId="0" fontId="128" fillId="27" borderId="114" xfId="0" applyFont="1" applyFill="1" applyBorder="1"/>
    <xf numFmtId="37" fontId="128" fillId="27" borderId="152" xfId="0" applyNumberFormat="1" applyFont="1" applyFill="1" applyBorder="1"/>
    <xf numFmtId="0" fontId="108" fillId="26" borderId="154" xfId="0" applyFont="1" applyFill="1" applyBorder="1" applyAlignment="1">
      <alignment horizontal="center"/>
    </xf>
    <xf numFmtId="171" fontId="108" fillId="26" borderId="144" xfId="0" applyNumberFormat="1" applyFont="1" applyFill="1" applyBorder="1"/>
    <xf numFmtId="37" fontId="108" fillId="26" borderId="155" xfId="0" applyNumberFormat="1" applyFont="1" applyFill="1" applyBorder="1"/>
    <xf numFmtId="39" fontId="95" fillId="25" borderId="0" xfId="0" applyNumberFormat="1" applyFont="1" applyFill="1"/>
    <xf numFmtId="0" fontId="108" fillId="26" borderId="158" xfId="0" applyFont="1" applyFill="1" applyBorder="1" applyAlignment="1">
      <alignment horizontal="center"/>
    </xf>
    <xf numFmtId="171" fontId="108" fillId="26" borderId="157" xfId="0" applyNumberFormat="1" applyFont="1" applyFill="1" applyBorder="1"/>
    <xf numFmtId="37" fontId="108" fillId="26" borderId="159" xfId="0" applyNumberFormat="1" applyFont="1" applyFill="1" applyBorder="1"/>
    <xf numFmtId="0" fontId="107" fillId="25" borderId="72" xfId="0" applyFont="1" applyFill="1" applyBorder="1"/>
    <xf numFmtId="0" fontId="107" fillId="25" borderId="0" xfId="0" applyFont="1" applyFill="1"/>
    <xf numFmtId="0" fontId="107" fillId="25" borderId="57" xfId="0" applyFont="1" applyFill="1" applyBorder="1"/>
    <xf numFmtId="0" fontId="103" fillId="25" borderId="72" xfId="0" applyFont="1" applyFill="1" applyBorder="1"/>
    <xf numFmtId="0" fontId="91" fillId="25" borderId="72" xfId="0" applyFont="1" applyFill="1" applyBorder="1"/>
    <xf numFmtId="0" fontId="92" fillId="25" borderId="72" xfId="0" applyFont="1" applyFill="1" applyBorder="1"/>
    <xf numFmtId="0" fontId="108" fillId="26" borderId="164" xfId="0" applyFont="1" applyFill="1" applyBorder="1" applyAlignment="1">
      <alignment horizontal="center"/>
    </xf>
    <xf numFmtId="171" fontId="108" fillId="26" borderId="163" xfId="0" applyNumberFormat="1" applyFont="1" applyFill="1" applyBorder="1"/>
    <xf numFmtId="37" fontId="108" fillId="26" borderId="165" xfId="0" applyNumberFormat="1" applyFont="1" applyFill="1" applyBorder="1"/>
    <xf numFmtId="0" fontId="130" fillId="0" borderId="1" xfId="22" applyFont="1"/>
    <xf numFmtId="0" fontId="37" fillId="0" borderId="1" xfId="22"/>
    <xf numFmtId="0" fontId="131" fillId="0" borderId="1" xfId="22" applyFont="1"/>
    <xf numFmtId="0" fontId="132" fillId="0" borderId="1" xfId="22" applyFont="1" applyAlignment="1">
      <alignment horizontal="center"/>
    </xf>
    <xf numFmtId="0" fontId="37" fillId="0" borderId="1" xfId="22" applyAlignment="1">
      <alignment horizontal="center"/>
    </xf>
    <xf numFmtId="0" fontId="119" fillId="0" borderId="1" xfId="22" applyFont="1" applyAlignment="1">
      <alignment horizontal="center"/>
    </xf>
    <xf numFmtId="0" fontId="119" fillId="18" borderId="200" xfId="22" applyFont="1" applyFill="1" applyBorder="1" applyAlignment="1">
      <alignment horizontal="center" vertical="center" wrapText="1"/>
    </xf>
    <xf numFmtId="0" fontId="119" fillId="18" borderId="201" xfId="22" applyFont="1" applyFill="1" applyBorder="1" applyAlignment="1">
      <alignment horizontal="center" vertical="center" wrapText="1"/>
    </xf>
    <xf numFmtId="0" fontId="119" fillId="18" borderId="202" xfId="22" applyFont="1" applyFill="1" applyBorder="1" applyAlignment="1">
      <alignment horizontal="center" vertical="center" wrapText="1"/>
    </xf>
    <xf numFmtId="0" fontId="119" fillId="18" borderId="199" xfId="22" applyFont="1" applyFill="1" applyBorder="1" applyAlignment="1">
      <alignment horizontal="center" vertical="center" wrapText="1"/>
    </xf>
    <xf numFmtId="0" fontId="119" fillId="0" borderId="1" xfId="22" applyFont="1"/>
    <xf numFmtId="167" fontId="120" fillId="11" borderId="204" xfId="22" applyNumberFormat="1" applyFont="1" applyFill="1" applyBorder="1" applyAlignment="1">
      <alignment horizontal="center" vertical="center"/>
    </xf>
    <xf numFmtId="167" fontId="120" fillId="11" borderId="206" xfId="22" applyNumberFormat="1" applyFont="1" applyFill="1" applyBorder="1" applyAlignment="1">
      <alignment horizontal="center" vertical="center"/>
    </xf>
    <xf numFmtId="0" fontId="120" fillId="11" borderId="205" xfId="22" applyFont="1" applyFill="1" applyBorder="1" applyAlignment="1">
      <alignment horizontal="center" vertical="center"/>
    </xf>
    <xf numFmtId="3" fontId="119" fillId="11" borderId="204" xfId="22" applyNumberFormat="1" applyFont="1" applyFill="1" applyBorder="1" applyAlignment="1">
      <alignment horizontal="center" vertical="center"/>
    </xf>
    <xf numFmtId="3" fontId="119" fillId="11" borderId="206" xfId="22" applyNumberFormat="1" applyFont="1" applyFill="1" applyBorder="1" applyAlignment="1">
      <alignment horizontal="center" vertical="center"/>
    </xf>
    <xf numFmtId="0" fontId="37" fillId="11" borderId="207" xfId="22" applyFill="1" applyBorder="1" applyAlignment="1">
      <alignment wrapText="1"/>
    </xf>
    <xf numFmtId="0" fontId="37" fillId="0" borderId="199" xfId="22" applyBorder="1" applyAlignment="1" applyProtection="1">
      <alignment horizontal="center" vertical="center" wrapText="1"/>
      <protection locked="0"/>
    </xf>
    <xf numFmtId="0" fontId="37" fillId="0" borderId="199" xfId="22" applyBorder="1" applyAlignment="1">
      <alignment horizontal="center" vertical="center"/>
    </xf>
    <xf numFmtId="0" fontId="37" fillId="0" borderId="202" xfId="22" applyBorder="1" applyAlignment="1" applyProtection="1">
      <alignment horizontal="center" vertical="center" wrapText="1"/>
      <protection locked="0"/>
    </xf>
    <xf numFmtId="0" fontId="37" fillId="0" borderId="167" xfId="22" applyBorder="1" applyAlignment="1" applyProtection="1">
      <alignment horizontal="center" vertical="center" wrapText="1"/>
      <protection locked="0"/>
    </xf>
    <xf numFmtId="37" fontId="37" fillId="0" borderId="1" xfId="22" applyNumberFormat="1" applyAlignment="1" applyProtection="1">
      <alignment horizontal="center" vertical="center"/>
      <protection locked="0"/>
    </xf>
    <xf numFmtId="37" fontId="37" fillId="0" borderId="208" xfId="22" applyNumberFormat="1" applyBorder="1" applyAlignment="1" applyProtection="1">
      <alignment horizontal="center" vertical="center"/>
      <protection locked="0"/>
    </xf>
    <xf numFmtId="0" fontId="37" fillId="0" borderId="209" xfId="22" applyBorder="1" applyAlignment="1" applyProtection="1">
      <alignment horizontal="center" vertical="center" wrapText="1"/>
      <protection locked="0"/>
    </xf>
    <xf numFmtId="0" fontId="37" fillId="0" borderId="209" xfId="22" applyBorder="1" applyAlignment="1">
      <alignment horizontal="center" vertical="center"/>
    </xf>
    <xf numFmtId="0" fontId="37" fillId="0" borderId="208" xfId="22" applyBorder="1" applyAlignment="1" applyProtection="1">
      <alignment horizontal="center" vertical="center" wrapText="1"/>
      <protection locked="0"/>
    </xf>
    <xf numFmtId="0" fontId="37" fillId="0" borderId="203" xfId="22" applyBorder="1" applyAlignment="1" applyProtection="1">
      <alignment horizontal="center" vertical="center" wrapText="1"/>
      <protection locked="0"/>
    </xf>
    <xf numFmtId="0" fontId="37" fillId="0" borderId="203" xfId="22" applyBorder="1" applyAlignment="1">
      <alignment horizontal="center" vertical="center"/>
    </xf>
    <xf numFmtId="0" fontId="37" fillId="0" borderId="210" xfId="22" applyBorder="1" applyAlignment="1" applyProtection="1">
      <alignment horizontal="center" vertical="center" wrapText="1"/>
      <protection locked="0"/>
    </xf>
    <xf numFmtId="0" fontId="37" fillId="0" borderId="211" xfId="22" applyBorder="1" applyAlignment="1" applyProtection="1">
      <alignment horizontal="center" vertical="center" wrapText="1"/>
      <protection locked="0"/>
    </xf>
    <xf numFmtId="37" fontId="37" fillId="0" borderId="210" xfId="22" applyNumberFormat="1" applyBorder="1" applyAlignment="1" applyProtection="1">
      <alignment horizontal="center" vertical="center"/>
      <protection locked="0"/>
    </xf>
    <xf numFmtId="37" fontId="37" fillId="0" borderId="212" xfId="22" applyNumberFormat="1" applyBorder="1" applyAlignment="1" applyProtection="1">
      <alignment horizontal="center" vertical="center"/>
      <protection locked="0"/>
    </xf>
    <xf numFmtId="0" fontId="37" fillId="0" borderId="1" xfId="22" applyAlignment="1">
      <alignment horizontal="center" wrapText="1"/>
    </xf>
    <xf numFmtId="0" fontId="37" fillId="0" borderId="1" xfId="22" applyAlignment="1">
      <alignment wrapText="1"/>
    </xf>
    <xf numFmtId="167" fontId="4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3" fillId="0" borderId="0" xfId="0" applyNumberFormat="1" applyFont="1" applyAlignment="1">
      <alignment horizontal="center"/>
    </xf>
    <xf numFmtId="177" fontId="73" fillId="0" borderId="0" xfId="0" applyNumberFormat="1" applyFont="1"/>
    <xf numFmtId="1" fontId="75" fillId="0" borderId="0" xfId="0" applyNumberFormat="1" applyFont="1"/>
    <xf numFmtId="10" fontId="75" fillId="0" borderId="0" xfId="0" applyNumberFormat="1" applyFont="1"/>
    <xf numFmtId="177" fontId="75" fillId="0" borderId="0" xfId="0" applyNumberFormat="1" applyFont="1"/>
    <xf numFmtId="0" fontId="35" fillId="0" borderId="209" xfId="22" applyFont="1" applyBorder="1" applyAlignment="1" applyProtection="1">
      <alignment horizontal="center" vertical="center" wrapText="1"/>
      <protection locked="0"/>
    </xf>
    <xf numFmtId="10" fontId="65" fillId="0" borderId="15" xfId="0" applyNumberFormat="1" applyFont="1" applyBorder="1"/>
    <xf numFmtId="49" fontId="33" fillId="12" borderId="1" xfId="12" applyNumberFormat="1" applyFont="1" applyFill="1" applyAlignment="1">
      <alignment horizontal="left" vertical="center"/>
    </xf>
    <xf numFmtId="0" fontId="30" fillId="0" borderId="208" xfId="22" applyFont="1" applyBorder="1" applyAlignment="1" applyProtection="1">
      <alignment horizontal="center" vertical="center" wrapText="1"/>
      <protection locked="0"/>
    </xf>
    <xf numFmtId="2" fontId="126" fillId="0" borderId="1" xfId="20" applyNumberFormat="1" applyAlignment="1">
      <alignment horizontal="center" vertical="center"/>
    </xf>
    <xf numFmtId="0" fontId="86" fillId="24" borderId="0" xfId="0" applyFont="1" applyFill="1" applyAlignment="1">
      <alignment horizontal="left" vertical="top"/>
    </xf>
    <xf numFmtId="0" fontId="90" fillId="0" borderId="1" xfId="10"/>
    <xf numFmtId="0" fontId="90" fillId="0" borderId="1" xfId="10" applyAlignment="1">
      <alignment horizontal="center"/>
    </xf>
    <xf numFmtId="0" fontId="64" fillId="0" borderId="0" xfId="0" quotePrefix="1" applyFont="1"/>
    <xf numFmtId="10" fontId="74" fillId="0" borderId="0" xfId="0" applyNumberFormat="1" applyFont="1"/>
    <xf numFmtId="0" fontId="73" fillId="0" borderId="0" xfId="0" quotePrefix="1" applyFont="1"/>
    <xf numFmtId="0" fontId="65" fillId="3" borderId="216" xfId="0" applyFont="1" applyFill="1" applyBorder="1"/>
    <xf numFmtId="37" fontId="66" fillId="3" borderId="217" xfId="0" applyNumberFormat="1" applyFont="1" applyFill="1" applyBorder="1"/>
    <xf numFmtId="1" fontId="73" fillId="0" borderId="0" xfId="0" quotePrefix="1" applyNumberFormat="1" applyFont="1"/>
    <xf numFmtId="49" fontId="23" fillId="12" borderId="1" xfId="12" applyNumberFormat="1" applyFont="1" applyFill="1" applyAlignment="1">
      <alignment horizontal="left" vertical="center"/>
    </xf>
    <xf numFmtId="0" fontId="21" fillId="0" borderId="167" xfId="22" applyFont="1" applyBorder="1" applyAlignment="1" applyProtection="1">
      <alignment horizontal="center" vertical="center" wrapText="1"/>
      <protection locked="0"/>
    </xf>
    <xf numFmtId="9" fontId="119" fillId="23" borderId="218" xfId="4" applyFont="1" applyFill="1" applyBorder="1" applyAlignment="1">
      <alignment horizontal="center"/>
    </xf>
    <xf numFmtId="9" fontId="46" fillId="0" borderId="219" xfId="4" applyFont="1" applyFill="1" applyBorder="1" applyAlignment="1">
      <alignment horizontal="center"/>
    </xf>
    <xf numFmtId="9" fontId="46" fillId="23" borderId="219" xfId="4" applyFont="1" applyFill="1" applyBorder="1" applyAlignment="1">
      <alignment horizontal="center"/>
    </xf>
    <xf numFmtId="9" fontId="46" fillId="0" borderId="220" xfId="4" applyFont="1" applyFill="1" applyBorder="1" applyAlignment="1">
      <alignment horizontal="center"/>
    </xf>
    <xf numFmtId="9" fontId="46" fillId="0" borderId="219" xfId="4" applyFont="1" applyBorder="1" applyAlignment="1">
      <alignment horizontal="center"/>
    </xf>
    <xf numFmtId="9" fontId="46" fillId="0" borderId="221" xfId="4" applyFont="1" applyBorder="1" applyAlignment="1">
      <alignment horizontal="center"/>
    </xf>
    <xf numFmtId="0" fontId="119" fillId="17" borderId="173" xfId="3" applyFont="1" applyFill="1" applyBorder="1" applyAlignment="1">
      <alignment horizontal="center"/>
    </xf>
    <xf numFmtId="9" fontId="46" fillId="0" borderId="220" xfId="4" applyFont="1" applyBorder="1" applyAlignment="1">
      <alignment horizontal="center"/>
    </xf>
    <xf numFmtId="0" fontId="119" fillId="16" borderId="173" xfId="3" applyFont="1" applyFill="1" applyBorder="1" applyAlignment="1">
      <alignment horizontal="center"/>
    </xf>
    <xf numFmtId="9" fontId="119" fillId="23" borderId="219" xfId="4" applyFont="1" applyFill="1" applyBorder="1" applyAlignment="1">
      <alignment horizontal="center"/>
    </xf>
    <xf numFmtId="0" fontId="119" fillId="11" borderId="173" xfId="3" applyFont="1" applyFill="1" applyBorder="1" applyAlignment="1">
      <alignment horizontal="center"/>
    </xf>
    <xf numFmtId="9" fontId="46" fillId="0" borderId="221" xfId="4" applyFont="1" applyFill="1" applyBorder="1" applyAlignment="1">
      <alignment horizontal="center"/>
    </xf>
    <xf numFmtId="0" fontId="119" fillId="18" borderId="173" xfId="3" applyFont="1" applyFill="1" applyBorder="1" applyAlignment="1">
      <alignment horizontal="center"/>
    </xf>
    <xf numFmtId="0" fontId="119" fillId="21" borderId="173" xfId="3" applyFont="1" applyFill="1" applyBorder="1" applyAlignment="1">
      <alignment horizontal="center"/>
    </xf>
    <xf numFmtId="0" fontId="20" fillId="0" borderId="1" xfId="55"/>
    <xf numFmtId="2" fontId="135" fillId="0" borderId="1" xfId="55" applyNumberFormat="1" applyFont="1" applyAlignment="1">
      <alignment horizontal="center"/>
    </xf>
    <xf numFmtId="0" fontId="135" fillId="0" borderId="1" xfId="55" applyFont="1"/>
    <xf numFmtId="2" fontId="20" fillId="0" borderId="1" xfId="55" applyNumberFormat="1" applyAlignment="1">
      <alignment horizontal="center"/>
    </xf>
    <xf numFmtId="0" fontId="136" fillId="0" borderId="1" xfId="55" applyFont="1"/>
    <xf numFmtId="2" fontId="119" fillId="21" borderId="129" xfId="55" applyNumberFormat="1" applyFont="1" applyFill="1" applyBorder="1" applyAlignment="1">
      <alignment horizontal="center"/>
    </xf>
    <xf numFmtId="2" fontId="119" fillId="21" borderId="170" xfId="55" applyNumberFormat="1" applyFont="1" applyFill="1" applyBorder="1" applyAlignment="1">
      <alignment horizontal="center"/>
    </xf>
    <xf numFmtId="0" fontId="20" fillId="0" borderId="55" xfId="55" applyBorder="1"/>
    <xf numFmtId="0" fontId="20" fillId="0" borderId="172" xfId="55" applyBorder="1"/>
    <xf numFmtId="0" fontId="119" fillId="0" borderId="173" xfId="56" applyFont="1" applyBorder="1"/>
    <xf numFmtId="0" fontId="20" fillId="25" borderId="171" xfId="55" applyFill="1" applyBorder="1"/>
    <xf numFmtId="37" fontId="119" fillId="0" borderId="129" xfId="55" applyNumberFormat="1" applyFont="1" applyBorder="1" applyAlignment="1">
      <alignment horizontal="center"/>
    </xf>
    <xf numFmtId="37" fontId="119" fillId="0" borderId="170" xfId="55" applyNumberFormat="1" applyFont="1" applyBorder="1" applyAlignment="1">
      <alignment horizontal="center"/>
    </xf>
    <xf numFmtId="171" fontId="119" fillId="0" borderId="170" xfId="57" applyNumberFormat="1" applyFont="1" applyBorder="1" applyAlignment="1">
      <alignment horizontal="center"/>
    </xf>
    <xf numFmtId="0" fontId="134" fillId="0" borderId="1" xfId="55" applyFont="1"/>
    <xf numFmtId="0" fontId="20" fillId="0" borderId="173" xfId="55" applyBorder="1"/>
    <xf numFmtId="0" fontId="20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0" fillId="0" borderId="171" xfId="55" applyBorder="1" applyAlignment="1">
      <alignment horizontal="left"/>
    </xf>
    <xf numFmtId="37" fontId="20" fillId="0" borderId="214" xfId="55" applyNumberFormat="1" applyBorder="1" applyAlignment="1">
      <alignment horizontal="center"/>
    </xf>
    <xf numFmtId="37" fontId="20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9" fillId="0" borderId="171" xfId="55" applyFont="1" applyBorder="1"/>
    <xf numFmtId="37" fontId="119" fillId="0" borderId="214" xfId="58" applyNumberFormat="1" applyFont="1" applyBorder="1" applyAlignment="1">
      <alignment horizontal="center"/>
    </xf>
    <xf numFmtId="37" fontId="119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0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4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0" fillId="0" borderId="174" xfId="55" applyBorder="1" applyAlignment="1">
      <alignment horizontal="left"/>
    </xf>
    <xf numFmtId="0" fontId="20" fillId="0" borderId="214" xfId="55" applyBorder="1"/>
    <xf numFmtId="171" fontId="0" fillId="0" borderId="175" xfId="57" applyNumberFormat="1" applyFont="1" applyBorder="1" applyAlignment="1">
      <alignment horizontal="center"/>
    </xf>
    <xf numFmtId="2" fontId="20" fillId="0" borderId="175" xfId="55" applyNumberFormat="1" applyBorder="1" applyAlignment="1">
      <alignment horizontal="center"/>
    </xf>
    <xf numFmtId="0" fontId="20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9" fillId="0" borderId="215" xfId="58" applyNumberFormat="1" applyFont="1" applyBorder="1" applyAlignment="1">
      <alignment horizontal="center"/>
    </xf>
    <xf numFmtId="37" fontId="137" fillId="0" borderId="223" xfId="58" applyNumberFormat="1" applyFont="1" applyBorder="1" applyAlignment="1">
      <alignment horizontal="center"/>
    </xf>
    <xf numFmtId="0" fontId="119" fillId="0" borderId="174" xfId="55" applyFont="1" applyBorder="1"/>
    <xf numFmtId="37" fontId="119" fillId="0" borderId="175" xfId="58" applyNumberFormat="1" applyFont="1" applyBorder="1" applyAlignment="1">
      <alignment horizontal="center"/>
    </xf>
    <xf numFmtId="0" fontId="133" fillId="0" borderId="1" xfId="55" applyFont="1"/>
    <xf numFmtId="0" fontId="20" fillId="25" borderId="169" xfId="55" applyFill="1" applyBorder="1"/>
    <xf numFmtId="0" fontId="119" fillId="0" borderId="1" xfId="55" applyFont="1"/>
    <xf numFmtId="0" fontId="20" fillId="0" borderId="1" xfId="55" applyAlignment="1">
      <alignment horizontal="center"/>
    </xf>
    <xf numFmtId="2" fontId="133" fillId="0" borderId="1" xfId="55" applyNumberFormat="1" applyFont="1" applyAlignment="1">
      <alignment horizontal="center"/>
    </xf>
    <xf numFmtId="2" fontId="20" fillId="0" borderId="1" xfId="55" applyNumberFormat="1"/>
    <xf numFmtId="1" fontId="55" fillId="12" borderId="174" xfId="55" applyNumberFormat="1" applyFont="1" applyFill="1" applyBorder="1" applyAlignment="1">
      <alignment horizontal="left" vertical="top"/>
    </xf>
    <xf numFmtId="178" fontId="20" fillId="24" borderId="1" xfId="55" applyNumberFormat="1" applyFill="1" applyAlignment="1">
      <alignment horizontal="center"/>
    </xf>
    <xf numFmtId="0" fontId="119" fillId="0" borderId="1" xfId="55" applyFont="1" applyAlignment="1">
      <alignment horizontal="center" vertical="center"/>
    </xf>
    <xf numFmtId="0" fontId="119" fillId="0" borderId="173" xfId="55" applyFont="1" applyBorder="1" applyAlignment="1">
      <alignment horizontal="center" vertical="center"/>
    </xf>
    <xf numFmtId="0" fontId="119" fillId="0" borderId="169" xfId="55" applyFont="1" applyBorder="1" applyAlignment="1">
      <alignment horizontal="center" vertical="center"/>
    </xf>
    <xf numFmtId="0" fontId="119" fillId="0" borderId="169" xfId="55" applyFont="1" applyBorder="1" applyAlignment="1">
      <alignment horizontal="center" wrapText="1"/>
    </xf>
    <xf numFmtId="0" fontId="20" fillId="0" borderId="1" xfId="55" applyAlignment="1">
      <alignment horizontal="center" vertical="center"/>
    </xf>
    <xf numFmtId="0" fontId="119" fillId="0" borderId="173" xfId="55" applyFont="1" applyBorder="1" applyAlignment="1">
      <alignment horizontal="center"/>
    </xf>
    <xf numFmtId="3" fontId="20" fillId="12" borderId="171" xfId="55" applyNumberFormat="1" applyFill="1" applyBorder="1" applyAlignment="1">
      <alignment horizontal="center"/>
    </xf>
    <xf numFmtId="2" fontId="119" fillId="0" borderId="171" xfId="55" applyNumberFormat="1" applyFont="1" applyBorder="1" applyAlignment="1">
      <alignment horizontal="center"/>
    </xf>
    <xf numFmtId="0" fontId="119" fillId="0" borderId="171" xfId="55" applyFont="1" applyBorder="1" applyAlignment="1">
      <alignment horizontal="center"/>
    </xf>
    <xf numFmtId="0" fontId="119" fillId="0" borderId="174" xfId="55" applyFont="1" applyBorder="1" applyAlignment="1">
      <alignment horizontal="center"/>
    </xf>
    <xf numFmtId="3" fontId="20" fillId="12" borderId="174" xfId="55" applyNumberFormat="1" applyFill="1" applyBorder="1" applyAlignment="1">
      <alignment horizontal="center"/>
    </xf>
    <xf numFmtId="10" fontId="73" fillId="0" borderId="0" xfId="0" quotePrefix="1" applyNumberFormat="1" applyFont="1"/>
    <xf numFmtId="37" fontId="42" fillId="22" borderId="214" xfId="3" applyNumberFormat="1" applyFont="1" applyFill="1" applyBorder="1" applyAlignment="1">
      <alignment horizontal="center"/>
    </xf>
    <xf numFmtId="0" fontId="16" fillId="0" borderId="208" xfId="22" applyFont="1" applyBorder="1" applyAlignment="1" applyProtection="1">
      <alignment horizontal="center" vertical="center" wrapText="1"/>
      <protection locked="0"/>
    </xf>
    <xf numFmtId="0" fontId="15" fillId="0" borderId="1" xfId="62"/>
    <xf numFmtId="49" fontId="83" fillId="0" borderId="214" xfId="62" applyNumberFormat="1" applyFont="1" applyBorder="1" applyAlignment="1">
      <alignment horizontal="center" vertical="center"/>
    </xf>
    <xf numFmtId="49" fontId="83" fillId="0" borderId="1" xfId="62" applyNumberFormat="1" applyFont="1" applyAlignment="1">
      <alignment horizontal="center" vertical="center"/>
    </xf>
    <xf numFmtId="3" fontId="83" fillId="0" borderId="1" xfId="62" applyNumberFormat="1" applyFont="1" applyAlignment="1">
      <alignment horizontal="center" vertical="center"/>
    </xf>
    <xf numFmtId="49" fontId="83" fillId="0" borderId="172" xfId="62" applyNumberFormat="1" applyFont="1" applyBorder="1" applyAlignment="1">
      <alignment horizontal="center" vertical="center"/>
    </xf>
    <xf numFmtId="0" fontId="15" fillId="0" borderId="214" xfId="62" applyBorder="1" applyAlignment="1">
      <alignment horizontal="center"/>
    </xf>
    <xf numFmtId="0" fontId="15" fillId="0" borderId="1" xfId="62" applyAlignment="1">
      <alignment horizontal="center"/>
    </xf>
    <xf numFmtId="3" fontId="15" fillId="0" borderId="1" xfId="62" applyNumberFormat="1" applyAlignment="1">
      <alignment horizontal="center"/>
    </xf>
    <xf numFmtId="0" fontId="15" fillId="0" borderId="172" xfId="62" applyBorder="1" applyAlignment="1">
      <alignment horizontal="center"/>
    </xf>
    <xf numFmtId="0" fontId="139" fillId="0" borderId="227" xfId="0" applyFont="1" applyBorder="1" applyAlignment="1">
      <alignment horizontal="center"/>
    </xf>
    <xf numFmtId="17" fontId="139" fillId="0" borderId="173" xfId="0" quotePrefix="1" applyNumberFormat="1" applyFont="1" applyBorder="1" applyAlignment="1">
      <alignment horizontal="center"/>
    </xf>
    <xf numFmtId="17" fontId="139" fillId="0" borderId="56" xfId="0" quotePrefix="1" applyNumberFormat="1" applyFont="1" applyBorder="1" applyAlignment="1">
      <alignment horizontal="center"/>
    </xf>
    <xf numFmtId="17" fontId="139" fillId="0" borderId="222" xfId="0" quotePrefix="1" applyNumberFormat="1" applyFont="1" applyBorder="1" applyAlignment="1">
      <alignment horizontal="center"/>
    </xf>
    <xf numFmtId="0" fontId="90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0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12" fillId="0" borderId="1" xfId="62" applyFont="1" applyAlignment="1">
      <alignment horizontal="center"/>
    </xf>
    <xf numFmtId="0" fontId="11" fillId="0" borderId="1" xfId="62" applyFont="1" applyAlignment="1">
      <alignment horizontal="center"/>
    </xf>
    <xf numFmtId="0" fontId="11" fillId="0" borderId="172" xfId="62" applyFont="1" applyBorder="1" applyAlignment="1">
      <alignment horizontal="center"/>
    </xf>
    <xf numFmtId="0" fontId="119" fillId="19" borderId="173" xfId="3" applyFont="1" applyFill="1" applyBorder="1" applyAlignment="1">
      <alignment horizontal="center"/>
    </xf>
    <xf numFmtId="0" fontId="74" fillId="3" borderId="228" xfId="0" applyFont="1" applyFill="1" applyBorder="1"/>
    <xf numFmtId="0" fontId="74" fillId="3" borderId="229" xfId="0" applyFont="1" applyFill="1" applyBorder="1"/>
    <xf numFmtId="0" fontId="74" fillId="3" borderId="229" xfId="0" applyFont="1" applyFill="1" applyBorder="1" applyAlignment="1">
      <alignment horizontal="center"/>
    </xf>
    <xf numFmtId="171" fontId="74" fillId="3" borderId="229" xfId="0" applyNumberFormat="1" applyFont="1" applyFill="1" applyBorder="1"/>
    <xf numFmtId="37" fontId="74" fillId="3" borderId="230" xfId="0" applyNumberFormat="1" applyFont="1" applyFill="1" applyBorder="1"/>
    <xf numFmtId="37" fontId="74" fillId="3" borderId="229" xfId="0" applyNumberFormat="1" applyFont="1" applyFill="1" applyBorder="1"/>
    <xf numFmtId="37" fontId="74" fillId="3" borderId="231" xfId="0" applyNumberFormat="1" applyFont="1" applyFill="1" applyBorder="1"/>
    <xf numFmtId="171" fontId="74" fillId="3" borderId="232" xfId="0" applyNumberFormat="1" applyFont="1" applyFill="1" applyBorder="1"/>
    <xf numFmtId="37" fontId="74" fillId="3" borderId="233" xfId="0" applyNumberFormat="1" applyFont="1" applyFill="1" applyBorder="1"/>
    <xf numFmtId="171" fontId="74" fillId="3" borderId="234" xfId="0" applyNumberFormat="1" applyFont="1" applyFill="1" applyBorder="1"/>
    <xf numFmtId="10" fontId="64" fillId="0" borderId="0" xfId="0" applyNumberFormat="1" applyFont="1"/>
    <xf numFmtId="0" fontId="5" fillId="0" borderId="208" xfId="22" applyFont="1" applyBorder="1" applyAlignment="1" applyProtection="1">
      <alignment horizontal="center" vertical="center" wrapText="1"/>
      <protection locked="0"/>
    </xf>
    <xf numFmtId="0" fontId="141" fillId="0" borderId="1" xfId="3" applyFont="1"/>
    <xf numFmtId="179" fontId="141" fillId="0" borderId="1" xfId="70" applyNumberFormat="1" applyFont="1" applyBorder="1"/>
    <xf numFmtId="0" fontId="142" fillId="0" borderId="1" xfId="3" applyFont="1"/>
    <xf numFmtId="0" fontId="141" fillId="0" borderId="1" xfId="3" applyFont="1" applyAlignment="1">
      <alignment horizontal="center"/>
    </xf>
    <xf numFmtId="0" fontId="4" fillId="0" borderId="214" xfId="62" applyFont="1" applyBorder="1" applyAlignment="1">
      <alignment horizontal="center"/>
    </xf>
    <xf numFmtId="0" fontId="4" fillId="0" borderId="1" xfId="62" applyFont="1" applyAlignment="1">
      <alignment horizontal="center"/>
    </xf>
    <xf numFmtId="0" fontId="3" fillId="0" borderId="208" xfId="22" applyFont="1" applyBorder="1" applyAlignment="1" applyProtection="1">
      <alignment horizontal="center" vertical="center" wrapText="1"/>
      <protection locked="0"/>
    </xf>
    <xf numFmtId="0" fontId="1" fillId="0" borderId="1" xfId="62" applyFont="1" applyAlignment="1">
      <alignment horizontal="center"/>
    </xf>
    <xf numFmtId="0" fontId="101" fillId="0" borderId="55" xfId="2" applyFont="1" applyBorder="1" applyAlignment="1">
      <alignment horizontal="center"/>
    </xf>
    <xf numFmtId="0" fontId="101" fillId="0" borderId="0" xfId="0" applyFont="1" applyAlignment="1">
      <alignment horizontal="center"/>
    </xf>
    <xf numFmtId="0" fontId="119" fillId="18" borderId="199" xfId="22" applyFont="1" applyFill="1" applyBorder="1" applyAlignment="1">
      <alignment horizontal="center" vertical="center" wrapText="1"/>
    </xf>
    <xf numFmtId="0" fontId="119" fillId="18" borderId="203" xfId="22" applyFont="1" applyFill="1" applyBorder="1" applyAlignment="1">
      <alignment horizontal="center" vertical="center" wrapText="1"/>
    </xf>
    <xf numFmtId="0" fontId="120" fillId="11" borderId="204" xfId="22" applyFont="1" applyFill="1" applyBorder="1" applyAlignment="1">
      <alignment horizontal="center" vertical="center" wrapText="1"/>
    </xf>
    <xf numFmtId="0" fontId="120" fillId="11" borderId="205" xfId="22" applyFont="1" applyFill="1" applyBorder="1" applyAlignment="1">
      <alignment horizontal="center" vertical="center" wrapText="1"/>
    </xf>
    <xf numFmtId="0" fontId="135" fillId="0" borderId="224" xfId="62" applyFont="1" applyBorder="1" applyAlignment="1">
      <alignment horizontal="center" wrapText="1"/>
    </xf>
    <xf numFmtId="0" fontId="135" fillId="0" borderId="225" xfId="62" applyFont="1" applyBorder="1" applyAlignment="1">
      <alignment horizontal="center" wrapText="1"/>
    </xf>
    <xf numFmtId="0" fontId="135" fillId="0" borderId="226" xfId="62" applyFont="1" applyBorder="1" applyAlignment="1">
      <alignment horizontal="center" wrapText="1"/>
    </xf>
    <xf numFmtId="0" fontId="119" fillId="0" borderId="129" xfId="55" applyFont="1" applyBorder="1" applyAlignment="1">
      <alignment horizontal="center"/>
    </xf>
    <xf numFmtId="0" fontId="119" fillId="0" borderId="170" xfId="55" applyFont="1" applyBorder="1" applyAlignment="1">
      <alignment horizontal="center"/>
    </xf>
    <xf numFmtId="0" fontId="135" fillId="0" borderId="1" xfId="55" applyFont="1" applyAlignment="1">
      <alignment horizontal="left" vertical="center"/>
    </xf>
    <xf numFmtId="2" fontId="119" fillId="21" borderId="129" xfId="55" applyNumberFormat="1" applyFont="1" applyFill="1" applyBorder="1" applyAlignment="1">
      <alignment horizontal="center"/>
    </xf>
    <xf numFmtId="2" fontId="119" fillId="21" borderId="131" xfId="55" applyNumberFormat="1" applyFont="1" applyFill="1" applyBorder="1" applyAlignment="1">
      <alignment horizontal="center"/>
    </xf>
    <xf numFmtId="2" fontId="119" fillId="21" borderId="170" xfId="55" applyNumberFormat="1" applyFont="1" applyFill="1" applyBorder="1" applyAlignment="1">
      <alignment horizontal="center"/>
    </xf>
    <xf numFmtId="2" fontId="119" fillId="21" borderId="129" xfId="55" applyNumberFormat="1" applyFont="1" applyFill="1" applyBorder="1" applyAlignment="1">
      <alignment horizontal="center" wrapText="1"/>
    </xf>
    <xf numFmtId="2" fontId="119" fillId="21" borderId="131" xfId="55" applyNumberFormat="1" applyFont="1" applyFill="1" applyBorder="1" applyAlignment="1">
      <alignment horizontal="center" wrapText="1"/>
    </xf>
    <xf numFmtId="2" fontId="119" fillId="21" borderId="170" xfId="55" applyNumberFormat="1" applyFont="1" applyFill="1" applyBorder="1" applyAlignment="1">
      <alignment horizontal="center" wrapText="1"/>
    </xf>
    <xf numFmtId="0" fontId="119" fillId="0" borderId="1" xfId="55" applyFont="1" applyAlignment="1">
      <alignment horizontal="center"/>
    </xf>
    <xf numFmtId="0" fontId="66" fillId="0" borderId="68" xfId="0" applyFont="1" applyBorder="1" applyAlignment="1">
      <alignment horizontal="center"/>
    </xf>
    <xf numFmtId="0" fontId="67" fillId="0" borderId="68" xfId="0" applyFont="1" applyBorder="1"/>
    <xf numFmtId="0" fontId="67" fillId="0" borderId="69" xfId="0" applyFont="1" applyBorder="1"/>
    <xf numFmtId="0" fontId="66" fillId="0" borderId="26" xfId="0" applyFont="1" applyBorder="1" applyAlignment="1">
      <alignment horizontal="center"/>
    </xf>
    <xf numFmtId="0" fontId="67" fillId="0" borderId="27" xfId="0" applyFont="1" applyBorder="1"/>
    <xf numFmtId="0" fontId="66" fillId="0" borderId="71" xfId="0" applyFont="1" applyBorder="1" applyAlignment="1">
      <alignment horizontal="center"/>
    </xf>
    <xf numFmtId="0" fontId="66" fillId="0" borderId="92" xfId="0" applyFont="1" applyBorder="1" applyAlignment="1">
      <alignment horizontal="center" vertical="center"/>
    </xf>
    <xf numFmtId="0" fontId="67" fillId="0" borderId="90" xfId="0" applyFont="1" applyBorder="1"/>
    <xf numFmtId="0" fontId="67" fillId="0" borderId="93" xfId="0" applyFont="1" applyBorder="1"/>
    <xf numFmtId="0" fontId="67" fillId="0" borderId="64" xfId="0" applyFont="1" applyBorder="1"/>
    <xf numFmtId="0" fontId="66" fillId="0" borderId="90" xfId="0" applyFont="1" applyBorder="1" applyAlignment="1">
      <alignment horizontal="center" vertical="center"/>
    </xf>
    <xf numFmtId="0" fontId="67" fillId="0" borderId="91" xfId="0" applyFont="1" applyBorder="1"/>
    <xf numFmtId="0" fontId="55" fillId="28" borderId="235" xfId="0" applyFont="1" applyFill="1" applyBorder="1" applyAlignment="1">
      <alignment vertical="center" wrapText="1"/>
    </xf>
    <xf numFmtId="0" fontId="55" fillId="28" borderId="236" xfId="0" applyFont="1" applyFill="1" applyBorder="1" applyAlignment="1">
      <alignment vertical="center" wrapText="1"/>
    </xf>
    <xf numFmtId="0" fontId="55" fillId="28" borderId="237" xfId="0" applyFont="1" applyFill="1" applyBorder="1" applyAlignment="1">
      <alignment vertical="center" wrapText="1"/>
    </xf>
    <xf numFmtId="0" fontId="120" fillId="0" borderId="55" xfId="3" applyFont="1" applyBorder="1" applyAlignment="1">
      <alignment horizontal="center"/>
    </xf>
    <xf numFmtId="0" fontId="55" fillId="28" borderId="173" xfId="0" applyFont="1" applyFill="1" applyBorder="1" applyAlignment="1">
      <alignment vertical="center" wrapText="1"/>
    </xf>
    <xf numFmtId="0" fontId="55" fillId="28" borderId="171" xfId="0" applyFont="1" applyFill="1" applyBorder="1" applyAlignment="1">
      <alignment vertical="center" wrapText="1"/>
    </xf>
    <xf numFmtId="0" fontId="55" fillId="28" borderId="174" xfId="0" applyFont="1" applyFill="1" applyBorder="1" applyAlignment="1">
      <alignment vertical="center" wrapText="1"/>
    </xf>
  </cellXfs>
  <cellStyles count="73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302</v>
      </c>
      <c r="C3" s="155">
        <f>+VLOOKUP(B3,$K$3:$L$14,2,0)</f>
        <v>11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2024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>X</v>
      </c>
      <c r="N13" s="155" t="str">
        <f t="shared" si="1"/>
        <v>X</v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Novembre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499">
        <f>SUMIFS(BV_Data_An_Cour!$P:$P,BV_Data_An_Cour!$U:$U,$A$1,BV_Data_An_Cour!$V:$V,$A5)</f>
        <v>2440862.71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5">
        <f>SUM(B5)</f>
        <v>2440862.71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92">
        <f>SUMIFS(BV_Data_An_Cour!$P:$P,BV_Data_An_Cour!$U:$U,$A$1,BV_Data_An_Cour!$V:$V,$A8)</f>
        <v>888209.78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92">
        <f>SUMIFS(BV_Data_An_Cour!$P:$P,BV_Data_An_Cour!$U:$U,$A$1,BV_Data_An_Cour!$V:$V,$A9)</f>
        <v>379657.91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92">
        <f>SUMIFS(BV_Data_An_Cour!$P:$P,BV_Data_An_Cour!$U:$U,$A$1,BV_Data_An_Cour!$V:$V,$A10)</f>
        <v>186777.23</v>
      </c>
      <c r="C10" s="465"/>
      <c r="D10" s="10" t="s">
        <v>16</v>
      </c>
      <c r="E10" s="492">
        <f>-SUMIFS(BV_Data_An_Cour!$P:$P,BV_Data_An_Cour!$U:$U,$A$1,BV_Data_An_Cour!$V:$V,$D10)</f>
        <v>143819.34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92">
        <f>SUMIFS(BV_Data_An_Cour!$P:$P,BV_Data_An_Cour!$U:$U,$A$1,BV_Data_An_Cour!$V:$V,$A11)</f>
        <v>85322.32</v>
      </c>
      <c r="C11" s="465"/>
      <c r="D11" s="10" t="s">
        <v>18</v>
      </c>
      <c r="E11" s="492">
        <f>-SUMIFS(BV_Data_An_Cour!$P:$P,BV_Data_An_Cour!$U:$U,$A$1,BV_Data_An_Cour!$V:$V,$D11)</f>
        <v>152285.74000000005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92">
        <f>SUMIFS(BV_Data_An_Cour!$P:$P,BV_Data_An_Cour!$U:$U,$A$1,BV_Data_An_Cour!$V:$V,$A12)</f>
        <v>9684.84</v>
      </c>
      <c r="C12" s="465"/>
      <c r="D12" s="10" t="s">
        <v>20</v>
      </c>
      <c r="E12" s="492">
        <f>-SUMIFS(BV_Data_An_Cour!$P:$P,BV_Data_An_Cour!$U:$U,$A$1,BV_Data_An_Cour!$V:$V,$D12)</f>
        <v>815718.83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68353.990000000005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92">
        <f>SUMIFS(BV_Data_An_Cour!$P:$P,BV_Data_An_Cour!$U:$U,$A$1,BV_Data_An_Cour!$V:$V,$A14)</f>
        <v>101148.05</v>
      </c>
      <c r="C14" s="465"/>
      <c r="D14" s="10" t="s">
        <v>24</v>
      </c>
      <c r="E14" s="492">
        <f>-SUMIFS(BV_Data_An_Cour!$P:$P,BV_Data_An_Cour!$U:$U,$A$1,BV_Data_An_Cour!$V:$V,$D14)</f>
        <v>43862.67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92">
        <f>SUMIFS(BV_Data_An_Cour!$P:$P,BV_Data_An_Cour!$U:$U,$A$1,BV_Data_An_Cour!$V:$V,$A15)</f>
        <v>114128.4</v>
      </c>
      <c r="C15" s="465"/>
      <c r="D15" s="10" t="s">
        <v>26</v>
      </c>
      <c r="E15" s="492">
        <f>-SUMIFS(BV_Data_An_Cour!$P:$P,BV_Data_An_Cour!$U:$U,$A$1,BV_Data_An_Cour!$V:$V,$D15)</f>
        <v>238458.25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5">
        <f>+SUM(B8:B15)</f>
        <v>1764928.53</v>
      </c>
      <c r="C16" s="466"/>
      <c r="D16" s="9" t="s">
        <v>28</v>
      </c>
      <c r="E16" s="498">
        <f>+SUM(E10:E15)</f>
        <v>1462498.82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92">
        <f>SUMIFS(BV_Data_An_Cour!$P:$P,BV_Data_An_Cour!$U:$U,$A$1,BV_Data_An_Cour!$V:$V,$A18)</f>
        <v>5652047.2300000004</v>
      </c>
      <c r="C18" s="465"/>
      <c r="D18" s="10" t="s">
        <v>30</v>
      </c>
      <c r="E18" s="492">
        <f>-SUMIFS(BV_Data_An_Cour!$P:$P,BV_Data_An_Cour!$U:$U,$A$1,BV_Data_An_Cour!$V:$V,$D18)</f>
        <v>7960933.6600000001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92">
        <f>SUMIFS(BV_Data_An_Cour!$P:$P,BV_Data_An_Cour!$U:$U,$A$1,BV_Data_An_Cour!$V:$V,$A19)</f>
        <v>1659837.75</v>
      </c>
      <c r="C19" s="465"/>
      <c r="D19" s="10" t="s">
        <v>32</v>
      </c>
      <c r="E19" s="492">
        <f>-SUMIFS(BV_Data_An_Cour!$P:$P,BV_Data_An_Cour!$U:$U,$A$1,BV_Data_An_Cour!$V:$V,$D19)</f>
        <v>969394.43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92">
        <f>SUMIFS(BV_Data_An_Cour!$P:$P,BV_Data_An_Cour!$U:$U,$A$1,BV_Data_An_Cour!$V:$V,$A20)</f>
        <v>485823.51999999996</v>
      </c>
      <c r="C20" s="465"/>
      <c r="D20" s="9" t="s">
        <v>34</v>
      </c>
      <c r="E20" s="498">
        <f>+SUM(E18:E19)</f>
        <v>8930328.0899999999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7797708.5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294882.04000000004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15194.570000000005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1632.81</v>
      </c>
      <c r="C24" s="465"/>
      <c r="D24" s="10" t="s">
        <v>40</v>
      </c>
      <c r="E24" s="492">
        <f>-SUMIFS(BV_Data_An_Cour!$P:$P,BV_Data_An_Cour!$U:$U,$A$1,BV_Data_An_Cour!$V:$V,$D24)</f>
        <v>190984.52999999997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1405.96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17815.899999999998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501061.14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20854.669999999998</v>
      </c>
      <c r="C30" s="466"/>
      <c r="D30" s="12" t="s">
        <v>46</v>
      </c>
      <c r="E30" s="493">
        <f>+E5+E7+E16+E20+E28</f>
        <v>10893888.050000001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12024354.41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654545.40999999992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215251.66999999998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114073.19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14287.410000000003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15453.32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1013610.9999999998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11995619.050000001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2350000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3856622.0699999994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8218572.3099999996</v>
      </c>
      <c r="C53" s="467"/>
      <c r="D53" s="12" t="s">
        <v>72</v>
      </c>
      <c r="E53" s="493">
        <f>SUM(E48:E51)</f>
        <v>8247307.669999999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20242926.719999999</v>
      </c>
      <c r="C56" s="467"/>
      <c r="D56" s="12" t="s">
        <v>74</v>
      </c>
      <c r="E56" s="493">
        <f>+E53+E45</f>
        <v>20242926.719999999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2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>X</v>
      </c>
      <c r="AK2" s="545" t="str">
        <f>+IF(Parametres!$B$3=AJ$6,"O","")</f>
        <v>O</v>
      </c>
      <c r="AL2" s="545" t="str">
        <f>+IF(Parametres!$B$3=AJ$6,"U","")</f>
        <v>U</v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2817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256" t="s">
        <v>393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2817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2818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2817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2817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2817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2817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293</v>
      </c>
      <c r="C361" s="795">
        <v>2024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2817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226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228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231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233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235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237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239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243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2816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2819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245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2.6236125287541361E-2</v>
      </c>
      <c r="E486" s="981">
        <v>1185461.37108439</v>
      </c>
      <c r="F486" s="979" t="s">
        <v>247</v>
      </c>
      <c r="G486" s="980">
        <v>-4.7273600365927412E-2</v>
      </c>
      <c r="H486" s="981">
        <v>-90278.56466336202</v>
      </c>
      <c r="I486" s="979" t="s">
        <v>247</v>
      </c>
      <c r="J486" s="980">
        <v>-2.1287858518511012E-2</v>
      </c>
      <c r="K486" s="981">
        <v>-50605.288265091462</v>
      </c>
      <c r="L486" s="979" t="s">
        <v>247</v>
      </c>
      <c r="M486" s="980">
        <v>3.6216237129881743E-2</v>
      </c>
      <c r="N486" s="981">
        <v>163839.05721731635</v>
      </c>
      <c r="O486" s="979" t="s">
        <v>247</v>
      </c>
      <c r="P486" s="980">
        <v>4.3055713015602778E-2</v>
      </c>
      <c r="Q486" s="981">
        <v>223310.82439715162</v>
      </c>
      <c r="R486" s="979" t="s">
        <v>247</v>
      </c>
      <c r="S486" s="980">
        <v>4.7355587183213657E-2</v>
      </c>
      <c r="T486" s="981">
        <v>250098.63104288428</v>
      </c>
      <c r="U486" s="979" t="s">
        <v>247</v>
      </c>
      <c r="V486" s="980">
        <v>3.2310680056134043E-2</v>
      </c>
      <c r="W486" s="981">
        <v>132289.81558006341</v>
      </c>
      <c r="X486" s="979" t="s">
        <v>247</v>
      </c>
      <c r="Y486" s="980">
        <v>1.761466451841889E-2</v>
      </c>
      <c r="Z486" s="981">
        <v>63810.572331196658</v>
      </c>
      <c r="AA486" s="979" t="s">
        <v>247</v>
      </c>
      <c r="AB486" s="980">
        <v>2.6788911987599983E-2</v>
      </c>
      <c r="AC486" s="981">
        <v>109735.83568112287</v>
      </c>
      <c r="AD486" s="979" t="s">
        <v>247</v>
      </c>
      <c r="AE486" s="980">
        <v>3.4712382838658802E-2</v>
      </c>
      <c r="AF486" s="981">
        <v>154021.0113875253</v>
      </c>
      <c r="AG486" s="979" t="s">
        <v>247</v>
      </c>
      <c r="AH486" s="980">
        <v>2.6669708097368194E-2</v>
      </c>
      <c r="AI486" s="981">
        <v>92659.531415616351</v>
      </c>
      <c r="AJ486" s="979" t="s">
        <v>247</v>
      </c>
      <c r="AK486" s="980">
        <v>4.0479054270744587E-2</v>
      </c>
      <c r="AL486" s="981">
        <v>144670.94378964746</v>
      </c>
      <c r="AM486" s="979" t="s">
        <v>247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2817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2.6236125287541361E-2</v>
      </c>
      <c r="E492" s="985">
        <v>1185461.37108439</v>
      </c>
      <c r="F492" s="983" t="s">
        <v>247</v>
      </c>
      <c r="G492" s="984">
        <v>-4.7273600365927412E-2</v>
      </c>
      <c r="H492" s="985">
        <v>-90278.56466336202</v>
      </c>
      <c r="I492" s="983" t="s">
        <v>247</v>
      </c>
      <c r="J492" s="984">
        <v>-2.1287858518511012E-2</v>
      </c>
      <c r="K492" s="985">
        <v>-50605.288265091462</v>
      </c>
      <c r="L492" s="983" t="s">
        <v>247</v>
      </c>
      <c r="M492" s="984">
        <v>3.6216237129881743E-2</v>
      </c>
      <c r="N492" s="985">
        <v>163839.05721731635</v>
      </c>
      <c r="O492" s="983" t="s">
        <v>247</v>
      </c>
      <c r="P492" s="984">
        <v>4.3055713015602778E-2</v>
      </c>
      <c r="Q492" s="985">
        <v>223310.82439715162</v>
      </c>
      <c r="R492" s="983" t="s">
        <v>247</v>
      </c>
      <c r="S492" s="984">
        <v>4.7355587183213657E-2</v>
      </c>
      <c r="T492" s="985">
        <v>250098.63104288428</v>
      </c>
      <c r="U492" s="983" t="s">
        <v>247</v>
      </c>
      <c r="V492" s="984">
        <v>3.2310680056134043E-2</v>
      </c>
      <c r="W492" s="985">
        <v>132289.81558006341</v>
      </c>
      <c r="X492" s="983" t="s">
        <v>247</v>
      </c>
      <c r="Y492" s="984">
        <v>1.761466451841889E-2</v>
      </c>
      <c r="Z492" s="985">
        <v>63810.572331196658</v>
      </c>
      <c r="AA492" s="983" t="s">
        <v>247</v>
      </c>
      <c r="AB492" s="984">
        <v>2.6788911987599983E-2</v>
      </c>
      <c r="AC492" s="985">
        <v>109735.83568112287</v>
      </c>
      <c r="AD492" s="983" t="s">
        <v>247</v>
      </c>
      <c r="AE492" s="984">
        <v>3.4712382838658802E-2</v>
      </c>
      <c r="AF492" s="985">
        <v>154021.0113875253</v>
      </c>
      <c r="AG492" s="983" t="s">
        <v>247</v>
      </c>
      <c r="AH492" s="984">
        <v>2.6669708097368194E-2</v>
      </c>
      <c r="AI492" s="985">
        <v>92659.531415616351</v>
      </c>
      <c r="AJ492" s="983" t="s">
        <v>247</v>
      </c>
      <c r="AK492" s="984">
        <v>4.0479054270744587E-2</v>
      </c>
      <c r="AL492" s="985">
        <v>144670.94378964746</v>
      </c>
      <c r="AM492" s="983" t="s">
        <v>247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2820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253</v>
      </c>
      <c r="C501" s="992" t="s">
        <v>247</v>
      </c>
      <c r="D501" s="993">
        <v>2.3068211878247039E-2</v>
      </c>
      <c r="E501" s="994">
        <v>1042321.37108439</v>
      </c>
      <c r="F501" s="992" t="s">
        <v>247</v>
      </c>
      <c r="G501" s="993">
        <v>-5.3442154118425532E-2</v>
      </c>
      <c r="H501" s="994">
        <v>-102058.6739529795</v>
      </c>
      <c r="I501" s="992" t="s">
        <v>247</v>
      </c>
      <c r="J501" s="993">
        <v>-2.6492745177724594E-2</v>
      </c>
      <c r="K501" s="994">
        <v>-62978.293729572324</v>
      </c>
      <c r="L501" s="992" t="s">
        <v>247</v>
      </c>
      <c r="M501" s="993">
        <v>3.3612271758652675E-2</v>
      </c>
      <c r="N501" s="994">
        <v>152058.94792769887</v>
      </c>
      <c r="O501" s="992" t="s">
        <v>247</v>
      </c>
      <c r="P501" s="993">
        <v>4.0727277795114106E-2</v>
      </c>
      <c r="Q501" s="994">
        <v>211234.26702010244</v>
      </c>
      <c r="R501" s="992" t="s">
        <v>247</v>
      </c>
      <c r="S501" s="993">
        <v>4.5125051213600088E-2</v>
      </c>
      <c r="T501" s="994">
        <v>238318.5217532668</v>
      </c>
      <c r="U501" s="992" t="s">
        <v>247</v>
      </c>
      <c r="V501" s="993">
        <v>2.936108200976572E-2</v>
      </c>
      <c r="W501" s="994">
        <v>120213.25820301424</v>
      </c>
      <c r="X501" s="992" t="s">
        <v>247</v>
      </c>
      <c r="Y501" s="993">
        <v>1.4362810389138891E-2</v>
      </c>
      <c r="Z501" s="994">
        <v>52030.463041579176</v>
      </c>
      <c r="AA501" s="992" t="s">
        <v>247</v>
      </c>
      <c r="AB501" s="993">
        <v>2.391313026137435E-2</v>
      </c>
      <c r="AC501" s="994">
        <v>97955.726391505392</v>
      </c>
      <c r="AD501" s="992" t="s">
        <v>247</v>
      </c>
      <c r="AE501" s="993">
        <v>3.1990636764738963E-2</v>
      </c>
      <c r="AF501" s="994">
        <v>141944.45401047613</v>
      </c>
      <c r="AG501" s="992" t="s">
        <v>247</v>
      </c>
      <c r="AH501" s="993">
        <v>2.3279100878559781E-2</v>
      </c>
      <c r="AI501" s="994">
        <v>80879.42212599887</v>
      </c>
      <c r="AJ501" s="992" t="s">
        <v>247</v>
      </c>
      <c r="AK501" s="993">
        <v>3.7100023149055618E-2</v>
      </c>
      <c r="AL501" s="994">
        <v>132594.38641259828</v>
      </c>
      <c r="AM501" s="992" t="s">
        <v>247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168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>X</v>
      </c>
      <c r="AK2" s="545" t="str">
        <f>+IF(Parametres!$B$3=AJ$6,"O","")</f>
        <v>O</v>
      </c>
      <c r="AL2" s="545" t="str">
        <f>+IF(Parametres!$B$3=AJ$6,"U","")</f>
        <v>U</v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2822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293</v>
      </c>
      <c r="C6" s="795">
        <v>2023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557" t="s">
        <v>393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2817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293</v>
      </c>
      <c r="C94" s="795">
        <v>2023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2818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2817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293</v>
      </c>
      <c r="C173" s="795">
        <v>2023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2817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293</v>
      </c>
      <c r="C241" s="795">
        <v>2023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2817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293</v>
      </c>
      <c r="C296" s="795">
        <v>2023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2817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2817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293</v>
      </c>
      <c r="C407" s="795">
        <v>2023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226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228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231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233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235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237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239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243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2816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2819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245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2.1932320818889479E-2</v>
      </c>
      <c r="E486" s="981">
        <v>1446998.1999999974</v>
      </c>
      <c r="F486" s="979" t="s">
        <v>247</v>
      </c>
      <c r="G486" s="980">
        <v>-1.2523625103785106E-2</v>
      </c>
      <c r="H486" s="981">
        <v>-35787.990000000289</v>
      </c>
      <c r="I486" s="979" t="s">
        <v>247</v>
      </c>
      <c r="J486" s="980">
        <v>-2.7629362581702573E-2</v>
      </c>
      <c r="K486" s="981">
        <v>-60687.930000000182</v>
      </c>
      <c r="L486" s="979" t="s">
        <v>247</v>
      </c>
      <c r="M486" s="980">
        <v>4.4175515833158395E-2</v>
      </c>
      <c r="N486" s="981">
        <v>188005.2</v>
      </c>
      <c r="O486" s="979" t="s">
        <v>247</v>
      </c>
      <c r="P486" s="980">
        <v>4.6984921668235841E-2</v>
      </c>
      <c r="Q486" s="981">
        <v>212343.45999999967</v>
      </c>
      <c r="R486" s="979" t="s">
        <v>247</v>
      </c>
      <c r="S486" s="980">
        <v>4.9548318256503798E-2</v>
      </c>
      <c r="T486" s="981">
        <v>259055.20999999956</v>
      </c>
      <c r="U486" s="979" t="s">
        <v>247</v>
      </c>
      <c r="V486" s="980">
        <v>4.3181094080976874E-2</v>
      </c>
      <c r="W486" s="981">
        <v>165199.97999999969</v>
      </c>
      <c r="X486" s="979" t="s">
        <v>247</v>
      </c>
      <c r="Y486" s="980">
        <v>3.5319092497152364E-2</v>
      </c>
      <c r="Z486" s="981">
        <v>90263.189999999435</v>
      </c>
      <c r="AA486" s="979" t="s">
        <v>247</v>
      </c>
      <c r="AB486" s="980">
        <v>4.1852035064934227E-2</v>
      </c>
      <c r="AC486" s="981">
        <v>217255.63999999961</v>
      </c>
      <c r="AD486" s="979" t="s">
        <v>247</v>
      </c>
      <c r="AE486" s="980">
        <v>5.0578687607310713E-2</v>
      </c>
      <c r="AF486" s="981">
        <v>200030.31999999992</v>
      </c>
      <c r="AG486" s="979" t="s">
        <v>247</v>
      </c>
      <c r="AH486" s="980">
        <v>1.2358970078096969E-2</v>
      </c>
      <c r="AI486" s="981">
        <v>126310.73999999957</v>
      </c>
      <c r="AJ486" s="979" t="s">
        <v>247</v>
      </c>
      <c r="AK486" s="980">
        <v>9.5630091492843339E-3</v>
      </c>
      <c r="AL486" s="981">
        <v>114742.2900000001</v>
      </c>
      <c r="AM486" s="979" t="s">
        <v>247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2817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2.1932320818889479E-2</v>
      </c>
      <c r="E492" s="985">
        <v>1446998.1999999974</v>
      </c>
      <c r="F492" s="983" t="s">
        <v>247</v>
      </c>
      <c r="G492" s="984">
        <v>-1.2523625103785106E-2</v>
      </c>
      <c r="H492" s="985">
        <v>-35787.990000000289</v>
      </c>
      <c r="I492" s="983" t="s">
        <v>247</v>
      </c>
      <c r="J492" s="984">
        <v>-2.7629362581702573E-2</v>
      </c>
      <c r="K492" s="985">
        <v>-60687.930000000182</v>
      </c>
      <c r="L492" s="983" t="s">
        <v>247</v>
      </c>
      <c r="M492" s="984">
        <v>4.4175515833158395E-2</v>
      </c>
      <c r="N492" s="985">
        <v>188005.2</v>
      </c>
      <c r="O492" s="983" t="s">
        <v>247</v>
      </c>
      <c r="P492" s="984">
        <v>4.6984921668235841E-2</v>
      </c>
      <c r="Q492" s="985">
        <v>212343.45999999967</v>
      </c>
      <c r="R492" s="983" t="s">
        <v>247</v>
      </c>
      <c r="S492" s="984">
        <v>4.9548318256503798E-2</v>
      </c>
      <c r="T492" s="985">
        <v>259055.20999999956</v>
      </c>
      <c r="U492" s="983" t="s">
        <v>247</v>
      </c>
      <c r="V492" s="984">
        <v>4.3181094080976874E-2</v>
      </c>
      <c r="W492" s="985">
        <v>165199.97999999969</v>
      </c>
      <c r="X492" s="983" t="s">
        <v>247</v>
      </c>
      <c r="Y492" s="984">
        <v>3.5319092497152364E-2</v>
      </c>
      <c r="Z492" s="985">
        <v>90263.189999999435</v>
      </c>
      <c r="AA492" s="983" t="s">
        <v>247</v>
      </c>
      <c r="AB492" s="984">
        <v>4.1852035064934227E-2</v>
      </c>
      <c r="AC492" s="985">
        <v>217255.63999999961</v>
      </c>
      <c r="AD492" s="983" t="s">
        <v>247</v>
      </c>
      <c r="AE492" s="984">
        <v>5.0578687607310713E-2</v>
      </c>
      <c r="AF492" s="985">
        <v>200030.31999999992</v>
      </c>
      <c r="AG492" s="983" t="s">
        <v>247</v>
      </c>
      <c r="AH492" s="984">
        <v>1.2358970078096969E-2</v>
      </c>
      <c r="AI492" s="985">
        <v>126310.73999999957</v>
      </c>
      <c r="AJ492" s="983" t="s">
        <v>247</v>
      </c>
      <c r="AK492" s="984">
        <v>9.5630091492843339E-3</v>
      </c>
      <c r="AL492" s="985">
        <v>114742.2900000001</v>
      </c>
      <c r="AM492" s="983" t="s">
        <v>247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2820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253</v>
      </c>
      <c r="C501" s="992" t="s">
        <v>247</v>
      </c>
      <c r="D501" s="993">
        <v>1.8381917764748373E-2</v>
      </c>
      <c r="E501" s="994">
        <v>1212758.1999999974</v>
      </c>
      <c r="F501" s="992" t="s">
        <v>247</v>
      </c>
      <c r="G501" s="993">
        <v>-1.9354440749645162E-2</v>
      </c>
      <c r="H501" s="994">
        <v>-55307.990000000289</v>
      </c>
      <c r="I501" s="992" t="s">
        <v>247</v>
      </c>
      <c r="J501" s="993">
        <v>-3.6516222911175546E-2</v>
      </c>
      <c r="K501" s="994">
        <v>-80207.930000000182</v>
      </c>
      <c r="L501" s="992" t="s">
        <v>247</v>
      </c>
      <c r="M501" s="993">
        <v>3.9588908286860465E-2</v>
      </c>
      <c r="N501" s="994">
        <v>168485.2</v>
      </c>
      <c r="O501" s="992" t="s">
        <v>247</v>
      </c>
      <c r="P501" s="993">
        <v>4.2665760291831945E-2</v>
      </c>
      <c r="Q501" s="994">
        <v>192823.45999999967</v>
      </c>
      <c r="R501" s="992" t="s">
        <v>247</v>
      </c>
      <c r="S501" s="993">
        <v>4.5814816149493648E-2</v>
      </c>
      <c r="T501" s="994">
        <v>239535.20999999956</v>
      </c>
      <c r="U501" s="992" t="s">
        <v>247</v>
      </c>
      <c r="V501" s="993">
        <v>3.8078823751036939E-2</v>
      </c>
      <c r="W501" s="994">
        <v>145679.97999999969</v>
      </c>
      <c r="X501" s="992" t="s">
        <v>247</v>
      </c>
      <c r="Y501" s="993">
        <v>2.7681109776350913E-2</v>
      </c>
      <c r="Z501" s="994">
        <v>70743.189999999435</v>
      </c>
      <c r="AA501" s="992" t="s">
        <v>247</v>
      </c>
      <c r="AB501" s="993">
        <v>3.8091710479264011E-2</v>
      </c>
      <c r="AC501" s="994">
        <v>197735.63999999961</v>
      </c>
      <c r="AD501" s="992" t="s">
        <v>247</v>
      </c>
      <c r="AE501" s="993">
        <v>4.5642955953755865E-2</v>
      </c>
      <c r="AF501" s="994">
        <v>180510.31999999992</v>
      </c>
      <c r="AG501" s="992" t="s">
        <v>247</v>
      </c>
      <c r="AH501" s="993">
        <v>1.0449020885142721E-2</v>
      </c>
      <c r="AI501" s="994">
        <v>106790.73999999957</v>
      </c>
      <c r="AJ501" s="992" t="s">
        <v>247</v>
      </c>
      <c r="AK501" s="993">
        <v>7.936146563623632E-3</v>
      </c>
      <c r="AL501" s="994">
        <v>95222.290000000095</v>
      </c>
      <c r="AM501" s="992" t="s">
        <v>247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topLeftCell="D1" zoomScale="80" zoomScaleNormal="80" workbookViewId="0">
      <selection activeCell="D20" sqref="D20"/>
    </sheetView>
  </sheetViews>
  <sheetFormatPr baseColWidth="10" defaultColWidth="11" defaultRowHeight="14.4"/>
  <cols>
    <col min="1" max="2" width="21.5" style="996" customWidth="1"/>
    <col min="3" max="3" width="27" style="996" customWidth="1"/>
    <col min="4" max="4" width="22.69921875" style="999" customWidth="1"/>
    <col min="5" max="19" width="13.59765625" style="999" customWidth="1"/>
    <col min="20" max="20" width="75.8984375" style="1028" customWidth="1"/>
    <col min="21" max="16384" width="11" style="996"/>
  </cols>
  <sheetData>
    <row r="1" spans="1:24" ht="31.2">
      <c r="A1" s="995" t="s">
        <v>2311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2821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REEL</v>
      </c>
      <c r="R3" s="1000" t="str">
        <f>+IF(VLOOKUP(R2,Parametres!$L$3:$N$14,3,0)="X","REEL","FORECAST")</f>
        <v>REEL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183" t="s">
        <v>2312</v>
      </c>
      <c r="B4" s="1183" t="s">
        <v>2313</v>
      </c>
      <c r="C4" s="1001" t="s">
        <v>2314</v>
      </c>
      <c r="D4" s="1002" t="s">
        <v>2315</v>
      </c>
      <c r="E4" s="1003" t="s">
        <v>2316</v>
      </c>
      <c r="F4" s="1001" t="s">
        <v>2317</v>
      </c>
      <c r="G4" s="1001" t="s">
        <v>2318</v>
      </c>
      <c r="H4" s="1003" t="s">
        <v>2319</v>
      </c>
      <c r="I4" s="1001" t="s">
        <v>2320</v>
      </c>
      <c r="J4" s="1001" t="s">
        <v>2321</v>
      </c>
      <c r="K4" s="1001" t="s">
        <v>2322</v>
      </c>
      <c r="L4" s="1001" t="s">
        <v>2323</v>
      </c>
      <c r="M4" s="1001" t="s">
        <v>2324</v>
      </c>
      <c r="N4" s="1001" t="s">
        <v>2325</v>
      </c>
      <c r="O4" s="1001" t="s">
        <v>2326</v>
      </c>
      <c r="P4" s="1001" t="s">
        <v>2327</v>
      </c>
      <c r="Q4" s="1001" t="s">
        <v>2328</v>
      </c>
      <c r="R4" s="1001" t="s">
        <v>2329</v>
      </c>
      <c r="S4" s="1001" t="s">
        <v>2330</v>
      </c>
      <c r="T4" s="1004" t="s">
        <v>2331</v>
      </c>
    </row>
    <row r="5" spans="1:24" ht="30" customHeight="1" thickBot="1">
      <c r="A5" s="1184"/>
      <c r="B5" s="1184"/>
      <c r="C5" s="1185" t="s">
        <v>1995</v>
      </c>
      <c r="D5" s="1186"/>
      <c r="E5" s="1006">
        <f t="shared" ref="E5:S5" si="0">+SUM(E6:E40)</f>
        <v>209190</v>
      </c>
      <c r="F5" s="1007">
        <f t="shared" si="0"/>
        <v>240000</v>
      </c>
      <c r="G5" s="1008">
        <f t="shared" si="0"/>
        <v>-30810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3323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3933</v>
      </c>
      <c r="R5" s="1010">
        <f t="shared" si="0"/>
        <v>0</v>
      </c>
      <c r="S5" s="1010">
        <f t="shared" si="0"/>
        <v>164806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014" t="s">
        <v>2846</v>
      </c>
      <c r="D6" s="1015" t="s">
        <v>57</v>
      </c>
      <c r="E6" s="1016">
        <f>+SUM(H6:S6)</f>
        <v>126000</v>
      </c>
      <c r="F6" s="1016">
        <v>145000</v>
      </c>
      <c r="G6" s="1016">
        <f>+E6-F6</f>
        <v>-19000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>
        <v>126000</v>
      </c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2155</v>
      </c>
      <c r="C7" s="1020" t="s">
        <v>2847</v>
      </c>
      <c r="D7" s="1015" t="s">
        <v>53</v>
      </c>
      <c r="E7" s="1017">
        <f t="shared" ref="E7:E40" si="1">+SUM(H7:S7)</f>
        <v>40000</v>
      </c>
      <c r="F7" s="1016">
        <v>40000</v>
      </c>
      <c r="G7" s="1016">
        <f t="shared" ref="G7:G40" si="2">+E7-F7</f>
        <v>0</v>
      </c>
      <c r="H7" s="1017"/>
      <c r="I7" s="1016"/>
      <c r="J7" s="1016"/>
      <c r="K7" s="1016">
        <v>1324</v>
      </c>
      <c r="L7" s="1016"/>
      <c r="M7" s="1016"/>
      <c r="N7" s="1016">
        <v>5192</v>
      </c>
      <c r="O7" s="1016"/>
      <c r="P7" s="1016">
        <v>12688</v>
      </c>
      <c r="Q7" s="1016">
        <v>1990</v>
      </c>
      <c r="R7" s="1016"/>
      <c r="S7" s="1016">
        <v>18806</v>
      </c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2155</v>
      </c>
      <c r="C8" s="1020" t="s">
        <v>2848</v>
      </c>
      <c r="D8" s="1015" t="s">
        <v>53</v>
      </c>
      <c r="E8" s="1017">
        <f>+SUM(H8:S8)</f>
        <v>0</v>
      </c>
      <c r="F8" s="1016">
        <v>25000</v>
      </c>
      <c r="G8" s="1016">
        <f t="shared" si="2"/>
        <v>-25000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/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2155</v>
      </c>
      <c r="C9" s="1020" t="s">
        <v>2849</v>
      </c>
      <c r="D9" s="1015" t="s">
        <v>53</v>
      </c>
      <c r="E9" s="1017">
        <f t="shared" si="1"/>
        <v>20000</v>
      </c>
      <c r="F9" s="1016">
        <v>20000</v>
      </c>
      <c r="G9" s="1016">
        <f t="shared" si="2"/>
        <v>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>
        <v>20000</v>
      </c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2332</v>
      </c>
      <c r="C10" s="1040" t="s">
        <v>2850</v>
      </c>
      <c r="D10" s="1015" t="s">
        <v>57</v>
      </c>
      <c r="E10" s="1017">
        <f t="shared" si="1"/>
        <v>16033</v>
      </c>
      <c r="F10" s="1016">
        <v>10000</v>
      </c>
      <c r="G10" s="1016">
        <f t="shared" si="2"/>
        <v>6033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>
        <v>1943</v>
      </c>
      <c r="R10" s="1016"/>
      <c r="S10" s="1016"/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2332</v>
      </c>
      <c r="C11" s="1135" t="s">
        <v>2867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2332</v>
      </c>
      <c r="C12" s="1135" t="s">
        <v>2881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2332</v>
      </c>
      <c r="C13" s="1172" t="s">
        <v>2922</v>
      </c>
      <c r="D13" s="1015"/>
      <c r="E13" s="1017">
        <f t="shared" si="1"/>
        <v>2447</v>
      </c>
      <c r="F13" s="1016"/>
      <c r="G13" s="1016">
        <f t="shared" si="2"/>
        <v>2447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/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2332</v>
      </c>
      <c r="C14" s="1172" t="s">
        <v>2923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2332</v>
      </c>
      <c r="C15" s="1179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2332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2332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2332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2332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2332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2332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2332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2332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2332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2332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2332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2332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2332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2332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2332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2332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2332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2332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2332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2332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2332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2155</v>
      </c>
    </row>
    <row r="37" spans="1:24" ht="30" customHeight="1">
      <c r="A37" s="1018" t="str">
        <f>+Parametres!$B$1</f>
        <v>BMW Sherbrooke</v>
      </c>
      <c r="B37" s="1019" t="s">
        <v>2332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2332</v>
      </c>
    </row>
    <row r="38" spans="1:24" ht="30" customHeight="1">
      <c r="A38" s="1018" t="str">
        <f>+Parametres!$B$1</f>
        <v>BMW Sherbrooke</v>
      </c>
      <c r="B38" s="1019" t="s">
        <v>2332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2332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2332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89"/>
    <col min="4" max="4" width="15.69921875" style="789" bestFit="1" customWidth="1"/>
    <col min="5" max="5" width="11.19921875" style="790" customWidth="1"/>
    <col min="6" max="6" width="12.09765625" style="790" bestFit="1" customWidth="1"/>
    <col min="7" max="7" width="20" style="789" bestFit="1" customWidth="1"/>
    <col min="8" max="8" width="11.59765625" style="789" customWidth="1"/>
    <col min="9" max="11" width="11" style="783"/>
    <col min="12" max="12" width="12.3984375" style="783" bestFit="1" customWidth="1"/>
    <col min="13" max="16384" width="11" style="783"/>
  </cols>
  <sheetData>
    <row r="1" spans="1:13" ht="14.4">
      <c r="A1" s="780" t="s">
        <v>2157</v>
      </c>
      <c r="B1" s="780" t="s">
        <v>5</v>
      </c>
      <c r="C1" s="780" t="s">
        <v>2158</v>
      </c>
      <c r="D1" s="780" t="s">
        <v>2159</v>
      </c>
      <c r="E1" s="781" t="s">
        <v>2160</v>
      </c>
      <c r="F1" s="781" t="s">
        <v>2161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>
      <c r="A2" s="785" t="s">
        <v>2559</v>
      </c>
      <c r="B2" s="785" t="s">
        <v>2560</v>
      </c>
      <c r="C2" s="785" t="s">
        <v>2561</v>
      </c>
      <c r="D2" s="785" t="s">
        <v>625</v>
      </c>
      <c r="E2" s="1041">
        <v>65121.87</v>
      </c>
      <c r="F2" s="1041">
        <v>-60905.25</v>
      </c>
      <c r="G2" s="785" t="s">
        <v>2562</v>
      </c>
      <c r="H2" s="786">
        <v>478</v>
      </c>
      <c r="K2" s="784" t="s">
        <v>2164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2563</v>
      </c>
      <c r="B3" s="785" t="s">
        <v>2560</v>
      </c>
      <c r="C3" s="785" t="s">
        <v>2561</v>
      </c>
      <c r="D3" s="785" t="s">
        <v>625</v>
      </c>
      <c r="E3" s="1041">
        <v>63963.67</v>
      </c>
      <c r="F3" s="1041"/>
      <c r="G3" s="785" t="s">
        <v>2564</v>
      </c>
      <c r="H3" s="786">
        <v>465</v>
      </c>
      <c r="L3" s="787">
        <f>+COUNT(E2:E10000)</f>
        <v>45</v>
      </c>
    </row>
    <row r="4" spans="1:13">
      <c r="A4" s="785" t="s">
        <v>2565</v>
      </c>
      <c r="B4" s="785" t="s">
        <v>2560</v>
      </c>
      <c r="C4" s="785" t="s">
        <v>2561</v>
      </c>
      <c r="D4" s="785" t="s">
        <v>2566</v>
      </c>
      <c r="E4" s="1041">
        <v>75509.5</v>
      </c>
      <c r="F4" s="1041"/>
      <c r="G4" s="785" t="s">
        <v>2567</v>
      </c>
      <c r="H4" s="786">
        <v>411</v>
      </c>
    </row>
    <row r="5" spans="1:13">
      <c r="A5" s="785" t="s">
        <v>2568</v>
      </c>
      <c r="B5" s="785" t="s">
        <v>2560</v>
      </c>
      <c r="C5" s="785" t="s">
        <v>2569</v>
      </c>
      <c r="D5" s="785" t="s">
        <v>2570</v>
      </c>
      <c r="E5" s="1041">
        <v>84833.61</v>
      </c>
      <c r="F5" s="1041">
        <v>-88452</v>
      </c>
      <c r="G5" s="785" t="s">
        <v>2571</v>
      </c>
      <c r="H5" s="786">
        <v>146</v>
      </c>
    </row>
    <row r="6" spans="1:13">
      <c r="A6" s="785" t="s">
        <v>2572</v>
      </c>
      <c r="B6" s="785" t="s">
        <v>2560</v>
      </c>
      <c r="C6" s="785" t="s">
        <v>2561</v>
      </c>
      <c r="D6" s="785" t="s">
        <v>2573</v>
      </c>
      <c r="E6" s="1041">
        <v>66617.36</v>
      </c>
      <c r="F6" s="1041">
        <v>-69326.25</v>
      </c>
      <c r="G6" s="785" t="s">
        <v>2574</v>
      </c>
      <c r="H6" s="786">
        <v>151</v>
      </c>
    </row>
    <row r="7" spans="1:13">
      <c r="A7" s="785" t="s">
        <v>2575</v>
      </c>
      <c r="B7" s="785" t="s">
        <v>2560</v>
      </c>
      <c r="C7" s="785" t="s">
        <v>2569</v>
      </c>
      <c r="D7" s="785" t="s">
        <v>2570</v>
      </c>
      <c r="E7" s="1041">
        <v>73335.37</v>
      </c>
      <c r="F7" s="1041">
        <v>-69809.25</v>
      </c>
      <c r="G7" s="785" t="s">
        <v>2576</v>
      </c>
      <c r="H7" s="786">
        <v>143</v>
      </c>
    </row>
    <row r="8" spans="1:13">
      <c r="A8" s="785" t="s">
        <v>2577</v>
      </c>
      <c r="B8" s="785" t="s">
        <v>2560</v>
      </c>
      <c r="C8" s="785" t="s">
        <v>2569</v>
      </c>
      <c r="D8" s="785" t="s">
        <v>2578</v>
      </c>
      <c r="E8" s="1041">
        <v>50471.49</v>
      </c>
      <c r="F8" s="1041">
        <v>-50473.5</v>
      </c>
      <c r="G8" s="785" t="s">
        <v>2579</v>
      </c>
      <c r="H8" s="786">
        <v>67</v>
      </c>
    </row>
    <row r="9" spans="1:13">
      <c r="A9" s="785" t="s">
        <v>2580</v>
      </c>
      <c r="B9" s="785" t="s">
        <v>2560</v>
      </c>
      <c r="C9" s="785" t="s">
        <v>2569</v>
      </c>
      <c r="D9" s="785" t="s">
        <v>2578</v>
      </c>
      <c r="E9" s="1041">
        <v>50262.11</v>
      </c>
      <c r="F9" s="1041">
        <v>-52143</v>
      </c>
      <c r="G9" s="785" t="s">
        <v>2581</v>
      </c>
      <c r="H9" s="786">
        <v>58</v>
      </c>
    </row>
    <row r="10" spans="1:13">
      <c r="A10" s="785" t="s">
        <v>2582</v>
      </c>
      <c r="B10" s="785" t="s">
        <v>2583</v>
      </c>
      <c r="C10" s="785" t="s">
        <v>2569</v>
      </c>
      <c r="D10" s="785" t="s">
        <v>2584</v>
      </c>
      <c r="E10" s="1041">
        <v>95266.49</v>
      </c>
      <c r="F10" s="1041">
        <v>-95303.25</v>
      </c>
      <c r="G10" s="785" t="s">
        <v>2585</v>
      </c>
      <c r="H10" s="786">
        <v>158</v>
      </c>
    </row>
    <row r="11" spans="1:13">
      <c r="A11" s="785" t="s">
        <v>2586</v>
      </c>
      <c r="B11" s="785" t="s">
        <v>2583</v>
      </c>
      <c r="C11" s="785" t="s">
        <v>2569</v>
      </c>
      <c r="D11" s="785" t="s">
        <v>2587</v>
      </c>
      <c r="E11" s="1041">
        <v>126612.36</v>
      </c>
      <c r="F11" s="1041">
        <v>-131675.25</v>
      </c>
      <c r="G11" s="785" t="s">
        <v>2588</v>
      </c>
      <c r="H11" s="786">
        <v>149</v>
      </c>
    </row>
    <row r="12" spans="1:13">
      <c r="A12" s="785" t="s">
        <v>2589</v>
      </c>
      <c r="B12" s="785" t="s">
        <v>2583</v>
      </c>
      <c r="C12" s="785" t="s">
        <v>2590</v>
      </c>
      <c r="D12" s="785" t="s">
        <v>2591</v>
      </c>
      <c r="E12" s="1041">
        <v>97633.14</v>
      </c>
      <c r="F12" s="1041">
        <v>-97203.75</v>
      </c>
      <c r="G12" s="785" t="s">
        <v>2592</v>
      </c>
      <c r="H12" s="786">
        <v>152</v>
      </c>
    </row>
    <row r="13" spans="1:13">
      <c r="A13" s="785" t="s">
        <v>2593</v>
      </c>
      <c r="B13" s="785" t="s">
        <v>2583</v>
      </c>
      <c r="C13" s="785" t="s">
        <v>2569</v>
      </c>
      <c r="D13" s="785" t="s">
        <v>2594</v>
      </c>
      <c r="E13" s="1041">
        <v>103328.55</v>
      </c>
      <c r="F13" s="1041">
        <v>-107651.25</v>
      </c>
      <c r="G13" s="785" t="s">
        <v>2595</v>
      </c>
      <c r="H13" s="786">
        <v>144</v>
      </c>
    </row>
    <row r="14" spans="1:13">
      <c r="A14" s="785" t="s">
        <v>2596</v>
      </c>
      <c r="B14" s="785" t="s">
        <v>2583</v>
      </c>
      <c r="C14" s="785" t="s">
        <v>2561</v>
      </c>
      <c r="D14" s="785" t="s">
        <v>2597</v>
      </c>
      <c r="E14" s="1041">
        <v>66533.61</v>
      </c>
      <c r="F14" s="1041">
        <v>-69237</v>
      </c>
      <c r="G14" s="785" t="s">
        <v>2598</v>
      </c>
      <c r="H14" s="786">
        <v>144</v>
      </c>
    </row>
    <row r="15" spans="1:13">
      <c r="A15" s="785" t="s">
        <v>2599</v>
      </c>
      <c r="B15" s="785" t="s">
        <v>2583</v>
      </c>
      <c r="C15" s="785" t="s">
        <v>2590</v>
      </c>
      <c r="D15" s="785" t="s">
        <v>2600</v>
      </c>
      <c r="E15" s="1041">
        <v>159476.47</v>
      </c>
      <c r="F15" s="1041">
        <v>-173664.75</v>
      </c>
      <c r="G15" s="785" t="s">
        <v>2601</v>
      </c>
      <c r="H15" s="786">
        <v>142</v>
      </c>
    </row>
    <row r="16" spans="1:13">
      <c r="A16" s="785" t="s">
        <v>2602</v>
      </c>
      <c r="B16" s="785" t="s">
        <v>2583</v>
      </c>
      <c r="C16" s="785" t="s">
        <v>2561</v>
      </c>
      <c r="D16" s="785" t="s">
        <v>2603</v>
      </c>
      <c r="E16" s="1041">
        <v>62907.21</v>
      </c>
      <c r="F16" s="1041">
        <v>-60149.52</v>
      </c>
      <c r="G16" s="785" t="s">
        <v>2604</v>
      </c>
      <c r="H16" s="786">
        <v>117</v>
      </c>
    </row>
    <row r="17" spans="1:8">
      <c r="A17" s="785" t="s">
        <v>2605</v>
      </c>
      <c r="B17" s="785" t="s">
        <v>2583</v>
      </c>
      <c r="C17" s="785" t="s">
        <v>2561</v>
      </c>
      <c r="D17" s="785" t="s">
        <v>2603</v>
      </c>
      <c r="E17" s="1041">
        <v>68631.759999999995</v>
      </c>
      <c r="F17" s="1041">
        <v>-71326.5</v>
      </c>
      <c r="G17" s="785" t="s">
        <v>2606</v>
      </c>
      <c r="H17" s="786">
        <v>117</v>
      </c>
    </row>
    <row r="18" spans="1:8">
      <c r="A18" s="785" t="s">
        <v>2607</v>
      </c>
      <c r="B18" s="785" t="s">
        <v>2583</v>
      </c>
      <c r="C18" s="785" t="s">
        <v>2561</v>
      </c>
      <c r="D18" s="785" t="s">
        <v>2608</v>
      </c>
      <c r="E18" s="1041">
        <v>100033.61</v>
      </c>
      <c r="F18" s="1041">
        <v>-104328</v>
      </c>
      <c r="G18" s="785" t="s">
        <v>2609</v>
      </c>
      <c r="H18" s="786">
        <v>117</v>
      </c>
    </row>
    <row r="19" spans="1:8">
      <c r="A19" s="785" t="s">
        <v>2610</v>
      </c>
      <c r="B19" s="785" t="s">
        <v>2583</v>
      </c>
      <c r="C19" s="785" t="s">
        <v>2590</v>
      </c>
      <c r="D19" s="785" t="s">
        <v>2611</v>
      </c>
      <c r="E19" s="1041">
        <v>102873.63</v>
      </c>
      <c r="F19" s="1041">
        <v>-107409.75</v>
      </c>
      <c r="G19" s="785" t="s">
        <v>2612</v>
      </c>
      <c r="H19" s="786">
        <v>117</v>
      </c>
    </row>
    <row r="20" spans="1:8">
      <c r="A20" s="785" t="s">
        <v>2613</v>
      </c>
      <c r="B20" s="785" t="s">
        <v>2583</v>
      </c>
      <c r="C20" s="785" t="s">
        <v>2561</v>
      </c>
      <c r="D20" s="785" t="s">
        <v>2614</v>
      </c>
      <c r="E20" s="1041">
        <v>79327.11</v>
      </c>
      <c r="F20" s="1041">
        <v>-82661.25</v>
      </c>
      <c r="G20" s="785" t="s">
        <v>2615</v>
      </c>
      <c r="H20" s="786">
        <v>114</v>
      </c>
    </row>
    <row r="21" spans="1:8">
      <c r="A21" s="785" t="s">
        <v>2616</v>
      </c>
      <c r="B21" s="785" t="s">
        <v>2583</v>
      </c>
      <c r="C21" s="785" t="s">
        <v>2569</v>
      </c>
      <c r="D21" s="785" t="s">
        <v>2570</v>
      </c>
      <c r="E21" s="1041">
        <v>73721.05</v>
      </c>
      <c r="F21" s="1041">
        <v>-72786</v>
      </c>
      <c r="G21" s="785" t="s">
        <v>2617</v>
      </c>
      <c r="H21" s="786">
        <v>101</v>
      </c>
    </row>
    <row r="22" spans="1:8">
      <c r="A22" s="785" t="s">
        <v>2618</v>
      </c>
      <c r="B22" s="785" t="s">
        <v>2583</v>
      </c>
      <c r="C22" s="785" t="s">
        <v>2569</v>
      </c>
      <c r="D22" s="785" t="s">
        <v>2570</v>
      </c>
      <c r="E22" s="1041">
        <v>99958.61</v>
      </c>
      <c r="F22" s="1041">
        <v>-104333.25</v>
      </c>
      <c r="G22" s="785" t="s">
        <v>2619</v>
      </c>
      <c r="H22" s="786">
        <v>93</v>
      </c>
    </row>
    <row r="23" spans="1:8">
      <c r="A23" s="785" t="s">
        <v>2620</v>
      </c>
      <c r="B23" s="785" t="s">
        <v>2583</v>
      </c>
      <c r="C23" s="785" t="s">
        <v>2569</v>
      </c>
      <c r="D23" s="785" t="s">
        <v>2570</v>
      </c>
      <c r="E23" s="1041">
        <v>62153.61</v>
      </c>
      <c r="F23" s="1041">
        <v>-61905</v>
      </c>
      <c r="G23" s="785" t="s">
        <v>2621</v>
      </c>
      <c r="H23" s="786">
        <v>102</v>
      </c>
    </row>
    <row r="24" spans="1:8">
      <c r="A24" s="785" t="s">
        <v>2622</v>
      </c>
      <c r="B24" s="785" t="s">
        <v>2583</v>
      </c>
      <c r="C24" s="785" t="s">
        <v>2569</v>
      </c>
      <c r="D24" s="785" t="s">
        <v>2587</v>
      </c>
      <c r="E24" s="1041">
        <v>131769.5</v>
      </c>
      <c r="F24" s="1041">
        <v>-132239.5</v>
      </c>
      <c r="G24" s="785" t="s">
        <v>2623</v>
      </c>
      <c r="H24" s="786">
        <v>100</v>
      </c>
    </row>
    <row r="25" spans="1:8">
      <c r="A25" s="785" t="s">
        <v>2624</v>
      </c>
      <c r="B25" s="785" t="s">
        <v>2583</v>
      </c>
      <c r="C25" s="785" t="s">
        <v>2561</v>
      </c>
      <c r="D25" s="785" t="s">
        <v>2625</v>
      </c>
      <c r="E25" s="1041">
        <v>150512.10999999999</v>
      </c>
      <c r="F25" s="1041">
        <v>-157405.5</v>
      </c>
      <c r="G25" s="785" t="s">
        <v>2626</v>
      </c>
      <c r="H25" s="786">
        <v>81</v>
      </c>
    </row>
    <row r="26" spans="1:8">
      <c r="A26" s="785" t="s">
        <v>2627</v>
      </c>
      <c r="B26" s="785" t="s">
        <v>2583</v>
      </c>
      <c r="C26" s="785" t="s">
        <v>2561</v>
      </c>
      <c r="D26" s="785" t="s">
        <v>2573</v>
      </c>
      <c r="E26" s="1041">
        <v>59033.61</v>
      </c>
      <c r="F26" s="1041">
        <v>-61362</v>
      </c>
      <c r="G26" s="785" t="s">
        <v>2628</v>
      </c>
      <c r="H26" s="786">
        <v>69</v>
      </c>
    </row>
    <row r="27" spans="1:8">
      <c r="A27" s="785" t="s">
        <v>2629</v>
      </c>
      <c r="B27" s="785" t="s">
        <v>2583</v>
      </c>
      <c r="C27" s="785" t="s">
        <v>2561</v>
      </c>
      <c r="D27" s="785" t="s">
        <v>2603</v>
      </c>
      <c r="E27" s="1041">
        <v>68350.41</v>
      </c>
      <c r="F27" s="1041">
        <v>-68491.5</v>
      </c>
      <c r="G27" s="785" t="s">
        <v>2630</v>
      </c>
      <c r="H27" s="786">
        <v>76</v>
      </c>
    </row>
    <row r="28" spans="1:8">
      <c r="A28" s="785" t="s">
        <v>2631</v>
      </c>
      <c r="B28" s="785" t="s">
        <v>2583</v>
      </c>
      <c r="C28" s="785" t="s">
        <v>2561</v>
      </c>
      <c r="D28" s="785" t="s">
        <v>2603</v>
      </c>
      <c r="E28" s="1041">
        <v>64527.11</v>
      </c>
      <c r="F28" s="1041">
        <v>-67121.25</v>
      </c>
      <c r="G28" s="785" t="s">
        <v>2632</v>
      </c>
      <c r="H28" s="786">
        <v>54</v>
      </c>
    </row>
    <row r="29" spans="1:8">
      <c r="A29" s="785" t="s">
        <v>2633</v>
      </c>
      <c r="B29" s="785" t="s">
        <v>2583</v>
      </c>
      <c r="C29" s="785" t="s">
        <v>2569</v>
      </c>
      <c r="D29" s="785" t="s">
        <v>2587</v>
      </c>
      <c r="E29" s="1041">
        <v>124302.9</v>
      </c>
      <c r="F29" s="1041">
        <v>-129884.5</v>
      </c>
      <c r="G29" s="785" t="s">
        <v>2634</v>
      </c>
      <c r="H29" s="786">
        <v>75</v>
      </c>
    </row>
    <row r="30" spans="1:8">
      <c r="A30" s="785" t="s">
        <v>2635</v>
      </c>
      <c r="B30" s="785" t="s">
        <v>2583</v>
      </c>
      <c r="C30" s="785" t="s">
        <v>2561</v>
      </c>
      <c r="D30" s="785" t="s">
        <v>2597</v>
      </c>
      <c r="E30" s="1041">
        <v>88302.11</v>
      </c>
      <c r="F30" s="1041">
        <v>-92085</v>
      </c>
      <c r="G30" s="785" t="s">
        <v>2636</v>
      </c>
      <c r="H30" s="786">
        <v>62</v>
      </c>
    </row>
    <row r="31" spans="1:8">
      <c r="A31" s="785" t="s">
        <v>2637</v>
      </c>
      <c r="B31" s="785" t="s">
        <v>2583</v>
      </c>
      <c r="C31" s="785" t="s">
        <v>2569</v>
      </c>
      <c r="D31" s="785" t="s">
        <v>2570</v>
      </c>
      <c r="E31" s="1041">
        <v>66086.89</v>
      </c>
      <c r="F31" s="1041">
        <v>-65273.25</v>
      </c>
      <c r="G31" s="785" t="s">
        <v>2638</v>
      </c>
      <c r="H31" s="786">
        <v>44</v>
      </c>
    </row>
    <row r="32" spans="1:8">
      <c r="A32" s="785" t="s">
        <v>2639</v>
      </c>
      <c r="B32" s="785" t="s">
        <v>2583</v>
      </c>
      <c r="C32" s="785" t="s">
        <v>2561</v>
      </c>
      <c r="D32" s="785" t="s">
        <v>2625</v>
      </c>
      <c r="E32" s="1041">
        <v>152133.60999999999</v>
      </c>
      <c r="F32" s="1041">
        <v>-159117</v>
      </c>
      <c r="G32" s="785" t="s">
        <v>2640</v>
      </c>
      <c r="H32" s="786">
        <v>47</v>
      </c>
    </row>
    <row r="33" spans="1:8">
      <c r="A33" s="785" t="s">
        <v>2641</v>
      </c>
      <c r="B33" s="785" t="s">
        <v>2583</v>
      </c>
      <c r="C33" s="785" t="s">
        <v>2569</v>
      </c>
      <c r="D33" s="785" t="s">
        <v>2594</v>
      </c>
      <c r="E33" s="1041">
        <v>102062.11</v>
      </c>
      <c r="F33" s="1041">
        <v>-106533</v>
      </c>
      <c r="G33" s="785" t="s">
        <v>2642</v>
      </c>
      <c r="H33" s="786">
        <v>41</v>
      </c>
    </row>
    <row r="34" spans="1:8">
      <c r="A34" s="785" t="s">
        <v>2643</v>
      </c>
      <c r="B34" s="785" t="s">
        <v>2583</v>
      </c>
      <c r="C34" s="785" t="s">
        <v>2569</v>
      </c>
      <c r="D34" s="785" t="s">
        <v>2522</v>
      </c>
      <c r="E34" s="1041">
        <v>256374.68</v>
      </c>
      <c r="F34" s="1041">
        <v>-260331.75</v>
      </c>
      <c r="G34" s="785" t="s">
        <v>2644</v>
      </c>
      <c r="H34" s="786">
        <v>53</v>
      </c>
    </row>
    <row r="35" spans="1:8">
      <c r="A35" s="785" t="s">
        <v>2645</v>
      </c>
      <c r="B35" s="785" t="s">
        <v>2583</v>
      </c>
      <c r="C35" s="785" t="s">
        <v>2561</v>
      </c>
      <c r="D35" s="785" t="s">
        <v>2603</v>
      </c>
      <c r="E35" s="1041">
        <v>62523.61</v>
      </c>
      <c r="F35" s="1041">
        <v>-65026.5</v>
      </c>
      <c r="G35" s="785" t="s">
        <v>2646</v>
      </c>
      <c r="H35" s="786">
        <v>39</v>
      </c>
    </row>
    <row r="36" spans="1:8">
      <c r="A36" s="785" t="s">
        <v>2647</v>
      </c>
      <c r="B36" s="785" t="s">
        <v>2583</v>
      </c>
      <c r="C36" s="785" t="s">
        <v>2561</v>
      </c>
      <c r="D36" s="785" t="s">
        <v>2648</v>
      </c>
      <c r="E36" s="1041">
        <v>65907.61</v>
      </c>
      <c r="F36" s="1041">
        <v>-64921.5</v>
      </c>
      <c r="G36" s="785" t="s">
        <v>2649</v>
      </c>
      <c r="H36" s="786">
        <v>32</v>
      </c>
    </row>
    <row r="37" spans="1:8">
      <c r="A37" s="785" t="s">
        <v>2650</v>
      </c>
      <c r="B37" s="785" t="s">
        <v>2583</v>
      </c>
      <c r="C37" s="785" t="s">
        <v>2590</v>
      </c>
      <c r="D37" s="785" t="s">
        <v>2651</v>
      </c>
      <c r="E37" s="1041">
        <v>105460</v>
      </c>
      <c r="F37" s="1041">
        <v>-110733</v>
      </c>
      <c r="G37" s="785" t="s">
        <v>2652</v>
      </c>
      <c r="H37" s="786">
        <v>27</v>
      </c>
    </row>
    <row r="38" spans="1:8">
      <c r="A38" s="785" t="s">
        <v>2653</v>
      </c>
      <c r="B38" s="785" t="s">
        <v>2583</v>
      </c>
      <c r="C38" s="785" t="s">
        <v>2569</v>
      </c>
      <c r="D38" s="785" t="s">
        <v>2578</v>
      </c>
      <c r="E38" s="1041">
        <v>50652.37</v>
      </c>
      <c r="F38" s="1041">
        <v>-51161.25</v>
      </c>
      <c r="G38" s="785" t="s">
        <v>2654</v>
      </c>
      <c r="H38" s="786">
        <v>23</v>
      </c>
    </row>
    <row r="39" spans="1:8">
      <c r="A39" s="785" t="s">
        <v>2655</v>
      </c>
      <c r="B39" s="785" t="s">
        <v>2583</v>
      </c>
      <c r="C39" s="785" t="s">
        <v>2569</v>
      </c>
      <c r="D39" s="785" t="s">
        <v>2578</v>
      </c>
      <c r="E39" s="1041">
        <v>52861.87</v>
      </c>
      <c r="F39" s="1041">
        <v>-54873</v>
      </c>
      <c r="G39" s="785" t="s">
        <v>2656</v>
      </c>
      <c r="H39" s="786">
        <v>23</v>
      </c>
    </row>
    <row r="40" spans="1:8">
      <c r="A40" s="785" t="s">
        <v>2657</v>
      </c>
      <c r="B40" s="785" t="s">
        <v>2583</v>
      </c>
      <c r="C40" s="785" t="s">
        <v>2569</v>
      </c>
      <c r="D40" s="785" t="s">
        <v>2570</v>
      </c>
      <c r="E40" s="1041">
        <v>62766.87</v>
      </c>
      <c r="F40" s="1041">
        <v>-65273.25</v>
      </c>
      <c r="G40" s="785" t="s">
        <v>2658</v>
      </c>
      <c r="H40" s="786">
        <v>20</v>
      </c>
    </row>
    <row r="41" spans="1:8">
      <c r="A41" s="785" t="s">
        <v>2659</v>
      </c>
      <c r="B41" s="785" t="s">
        <v>2583</v>
      </c>
      <c r="C41" s="785" t="s">
        <v>2569</v>
      </c>
      <c r="D41" s="785" t="s">
        <v>2570</v>
      </c>
      <c r="E41" s="1041">
        <v>84801.87</v>
      </c>
      <c r="F41" s="1041">
        <v>-88410</v>
      </c>
      <c r="G41" s="785" t="s">
        <v>2660</v>
      </c>
      <c r="H41" s="786">
        <v>20</v>
      </c>
    </row>
    <row r="42" spans="1:8">
      <c r="A42" s="785" t="s">
        <v>2661</v>
      </c>
      <c r="B42" s="785" t="s">
        <v>2583</v>
      </c>
      <c r="C42" s="785" t="s">
        <v>2569</v>
      </c>
      <c r="D42" s="785" t="s">
        <v>2578</v>
      </c>
      <c r="E42" s="1041">
        <v>56811.87</v>
      </c>
      <c r="F42" s="1041">
        <v>-59020.5</v>
      </c>
      <c r="G42" s="785" t="s">
        <v>2662</v>
      </c>
      <c r="H42" s="786">
        <v>20</v>
      </c>
    </row>
    <row r="43" spans="1:8">
      <c r="A43" s="785" t="s">
        <v>2663</v>
      </c>
      <c r="B43" s="785" t="s">
        <v>2583</v>
      </c>
      <c r="C43" s="785" t="s">
        <v>2569</v>
      </c>
      <c r="D43" s="785" t="s">
        <v>2570</v>
      </c>
      <c r="E43" s="1041">
        <v>75685</v>
      </c>
      <c r="F43" s="1041">
        <v>-79469.25</v>
      </c>
      <c r="G43" s="785" t="s">
        <v>2664</v>
      </c>
      <c r="H43" s="786">
        <v>20</v>
      </c>
    </row>
    <row r="44" spans="1:8">
      <c r="A44" s="785" t="s">
        <v>2665</v>
      </c>
      <c r="B44" s="785" t="s">
        <v>2583</v>
      </c>
      <c r="C44" s="785" t="s">
        <v>2569</v>
      </c>
      <c r="D44" s="785" t="s">
        <v>2584</v>
      </c>
      <c r="E44" s="1041">
        <v>101600</v>
      </c>
      <c r="F44" s="1041">
        <v>-106680</v>
      </c>
      <c r="G44" s="785" t="s">
        <v>2666</v>
      </c>
      <c r="H44" s="786">
        <v>9</v>
      </c>
    </row>
    <row r="45" spans="1:8">
      <c r="A45" s="785" t="s">
        <v>2667</v>
      </c>
      <c r="B45" s="785" t="s">
        <v>2583</v>
      </c>
      <c r="C45" s="785" t="s">
        <v>2569</v>
      </c>
      <c r="D45" s="785" t="s">
        <v>2570</v>
      </c>
      <c r="E45" s="1041">
        <v>62165</v>
      </c>
      <c r="F45" s="1041">
        <v>-65273.25</v>
      </c>
      <c r="G45" s="785" t="s">
        <v>2668</v>
      </c>
      <c r="H45" s="786">
        <v>9</v>
      </c>
    </row>
    <row r="46" spans="1:8">
      <c r="A46" s="785" t="s">
        <v>2669</v>
      </c>
      <c r="B46" s="785" t="s">
        <v>2583</v>
      </c>
      <c r="C46" s="785" t="s">
        <v>2569</v>
      </c>
      <c r="D46" s="785" t="s">
        <v>2570</v>
      </c>
      <c r="E46" s="1041">
        <v>65370</v>
      </c>
      <c r="F46" s="1041">
        <v>-68638.5</v>
      </c>
      <c r="G46" s="785" t="s">
        <v>2670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89"/>
    <col min="4" max="4" width="23.5" style="789" bestFit="1" customWidth="1"/>
    <col min="5" max="5" width="11.09765625" style="790" bestFit="1" customWidth="1"/>
    <col min="6" max="6" width="8.8984375" style="790" customWidth="1"/>
    <col min="7" max="7" width="22.09765625" style="789" bestFit="1" customWidth="1"/>
    <col min="8" max="8" width="11" style="789"/>
    <col min="9" max="16384" width="11" style="783"/>
  </cols>
  <sheetData>
    <row r="1" spans="1:13" ht="14.4">
      <c r="A1" s="780" t="s">
        <v>2157</v>
      </c>
      <c r="B1" s="780" t="s">
        <v>5</v>
      </c>
      <c r="C1" s="780" t="s">
        <v>2158</v>
      </c>
      <c r="D1" s="780" t="s">
        <v>254</v>
      </c>
      <c r="E1" s="781" t="s">
        <v>2165</v>
      </c>
      <c r="F1" s="781" t="s">
        <v>2166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>
      <c r="A2" s="785" t="s">
        <v>2671</v>
      </c>
      <c r="B2" s="789">
        <v>2004</v>
      </c>
      <c r="C2" s="785" t="s">
        <v>2672</v>
      </c>
      <c r="D2" s="785" t="s">
        <v>2673</v>
      </c>
      <c r="E2" s="1041">
        <v>3856.45</v>
      </c>
      <c r="F2" s="1041"/>
      <c r="G2" s="785" t="s">
        <v>2674</v>
      </c>
      <c r="H2" s="786">
        <v>1482</v>
      </c>
      <c r="K2" s="784" t="s">
        <v>2164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2675</v>
      </c>
      <c r="B3" s="789">
        <v>2022</v>
      </c>
      <c r="C3" s="785" t="s">
        <v>2561</v>
      </c>
      <c r="D3" s="785" t="s">
        <v>2676</v>
      </c>
      <c r="E3" s="1041">
        <v>75917.210000000006</v>
      </c>
      <c r="F3" s="1041">
        <v>-50220</v>
      </c>
      <c r="G3" s="785" t="s">
        <v>2677</v>
      </c>
      <c r="H3" s="786">
        <v>490</v>
      </c>
      <c r="L3" s="787">
        <f>+COUNT(E2:E10000)</f>
        <v>50</v>
      </c>
    </row>
    <row r="4" spans="1:13">
      <c r="A4" s="789" t="s">
        <v>2678</v>
      </c>
      <c r="B4" s="789">
        <v>2021</v>
      </c>
      <c r="C4" s="789" t="s">
        <v>2569</v>
      </c>
      <c r="D4" s="789" t="s">
        <v>2584</v>
      </c>
      <c r="E4" s="790">
        <v>75668.81</v>
      </c>
      <c r="F4" s="790">
        <v>-55025</v>
      </c>
      <c r="G4" s="789" t="s">
        <v>2679</v>
      </c>
      <c r="H4" s="789">
        <v>306</v>
      </c>
    </row>
    <row r="5" spans="1:13">
      <c r="A5" s="785" t="s">
        <v>2680</v>
      </c>
      <c r="B5" s="789">
        <v>2019</v>
      </c>
      <c r="C5" s="785" t="s">
        <v>2561</v>
      </c>
      <c r="D5" s="785" t="s">
        <v>2681</v>
      </c>
      <c r="E5" s="1041">
        <v>61477.55</v>
      </c>
      <c r="F5" s="1041">
        <v>-55037.5</v>
      </c>
      <c r="G5" s="785" t="s">
        <v>2682</v>
      </c>
      <c r="H5" s="786">
        <v>235</v>
      </c>
    </row>
    <row r="6" spans="1:13">
      <c r="A6" s="785" t="s">
        <v>2683</v>
      </c>
      <c r="B6" s="789">
        <v>2021</v>
      </c>
      <c r="C6" s="785" t="s">
        <v>2684</v>
      </c>
      <c r="D6" s="785" t="s">
        <v>2685</v>
      </c>
      <c r="E6" s="1041">
        <v>57247.58</v>
      </c>
      <c r="F6" s="1041">
        <v>-48210.15</v>
      </c>
      <c r="G6" s="785" t="s">
        <v>2686</v>
      </c>
      <c r="H6" s="786">
        <v>144</v>
      </c>
    </row>
    <row r="7" spans="1:13">
      <c r="A7" s="789" t="s">
        <v>2687</v>
      </c>
      <c r="B7" s="789">
        <v>2023</v>
      </c>
      <c r="C7" s="789" t="s">
        <v>2569</v>
      </c>
      <c r="D7" s="789" t="s">
        <v>2578</v>
      </c>
      <c r="E7" s="790">
        <v>51697.81</v>
      </c>
      <c r="F7" s="790">
        <v>-49599.39</v>
      </c>
      <c r="G7" s="789" t="s">
        <v>2688</v>
      </c>
      <c r="H7" s="789">
        <v>137</v>
      </c>
    </row>
    <row r="8" spans="1:13">
      <c r="A8" s="785" t="s">
        <v>2689</v>
      </c>
      <c r="B8" s="789">
        <v>2020</v>
      </c>
      <c r="C8" s="785" t="s">
        <v>2690</v>
      </c>
      <c r="D8" s="785" t="s">
        <v>2691</v>
      </c>
      <c r="E8" s="1041">
        <v>35295.85</v>
      </c>
      <c r="F8" s="1041">
        <v>-20589.759999999998</v>
      </c>
      <c r="G8" s="785" t="s">
        <v>2692</v>
      </c>
      <c r="H8" s="786">
        <v>125</v>
      </c>
    </row>
    <row r="9" spans="1:13">
      <c r="A9" s="785" t="s">
        <v>2693</v>
      </c>
      <c r="B9" s="789">
        <v>2019</v>
      </c>
      <c r="C9" s="785" t="s">
        <v>2561</v>
      </c>
      <c r="D9" s="785" t="s">
        <v>2694</v>
      </c>
      <c r="E9" s="1041">
        <v>31287.41</v>
      </c>
      <c r="F9" s="1041">
        <v>-23537.41</v>
      </c>
      <c r="G9" s="785" t="s">
        <v>2695</v>
      </c>
      <c r="H9" s="786">
        <v>111</v>
      </c>
    </row>
    <row r="10" spans="1:13">
      <c r="A10" s="789" t="s">
        <v>2696</v>
      </c>
      <c r="B10" s="789">
        <v>2022</v>
      </c>
      <c r="C10" s="789" t="s">
        <v>2697</v>
      </c>
      <c r="D10" s="789" t="s">
        <v>2698</v>
      </c>
      <c r="E10" s="790">
        <v>58424.95</v>
      </c>
      <c r="F10" s="790">
        <v>-80500</v>
      </c>
      <c r="G10" s="789" t="s">
        <v>2699</v>
      </c>
      <c r="H10" s="789">
        <v>108</v>
      </c>
    </row>
    <row r="11" spans="1:13">
      <c r="A11" s="785" t="s">
        <v>2700</v>
      </c>
      <c r="B11" s="789">
        <v>2020</v>
      </c>
      <c r="C11" s="785" t="s">
        <v>2569</v>
      </c>
      <c r="D11" s="785" t="s">
        <v>2570</v>
      </c>
      <c r="E11" s="1041">
        <v>30904.85</v>
      </c>
      <c r="F11" s="1041">
        <v>-21000</v>
      </c>
      <c r="G11" s="785" t="s">
        <v>2701</v>
      </c>
      <c r="H11" s="786">
        <v>103</v>
      </c>
    </row>
    <row r="12" spans="1:13">
      <c r="A12" s="789" t="s">
        <v>2702</v>
      </c>
      <c r="B12" s="789">
        <v>2023</v>
      </c>
      <c r="C12" s="789" t="s">
        <v>2703</v>
      </c>
      <c r="D12" s="789" t="s">
        <v>2704</v>
      </c>
      <c r="E12" s="790">
        <v>34707.449999999997</v>
      </c>
      <c r="F12" s="790">
        <v>-32060.23</v>
      </c>
      <c r="G12" s="789" t="s">
        <v>2705</v>
      </c>
      <c r="H12" s="789">
        <v>73</v>
      </c>
    </row>
    <row r="13" spans="1:13">
      <c r="A13" s="785" t="s">
        <v>2706</v>
      </c>
      <c r="B13" s="789">
        <v>2023</v>
      </c>
      <c r="C13" s="785" t="s">
        <v>2561</v>
      </c>
      <c r="D13" s="785" t="s">
        <v>2694</v>
      </c>
      <c r="E13" s="1041">
        <v>54482.17</v>
      </c>
      <c r="F13" s="1041">
        <v>-37837.25</v>
      </c>
      <c r="G13" s="785" t="s">
        <v>2707</v>
      </c>
      <c r="H13" s="786">
        <v>72</v>
      </c>
    </row>
    <row r="14" spans="1:13">
      <c r="A14" s="789" t="s">
        <v>2708</v>
      </c>
      <c r="B14" s="789">
        <v>2023</v>
      </c>
      <c r="C14" s="789" t="s">
        <v>2561</v>
      </c>
      <c r="D14" s="789" t="s">
        <v>2709</v>
      </c>
      <c r="E14" s="790">
        <v>65103.95</v>
      </c>
      <c r="F14" s="790">
        <v>-45150</v>
      </c>
      <c r="G14" s="789" t="s">
        <v>2710</v>
      </c>
      <c r="H14" s="789">
        <v>72</v>
      </c>
    </row>
    <row r="15" spans="1:13">
      <c r="A15" s="785" t="s">
        <v>2711</v>
      </c>
      <c r="B15" s="789">
        <v>2023</v>
      </c>
      <c r="C15" s="785" t="s">
        <v>2712</v>
      </c>
      <c r="D15" s="785" t="s">
        <v>2713</v>
      </c>
      <c r="E15" s="1041">
        <v>39059.949999999997</v>
      </c>
      <c r="F15" s="1041">
        <v>-35100</v>
      </c>
      <c r="G15" s="785" t="s">
        <v>2714</v>
      </c>
      <c r="H15" s="786">
        <v>67</v>
      </c>
    </row>
    <row r="16" spans="1:13">
      <c r="A16" s="785" t="s">
        <v>2715</v>
      </c>
      <c r="B16" s="789">
        <v>2020</v>
      </c>
      <c r="C16" s="785" t="s">
        <v>2561</v>
      </c>
      <c r="D16" s="785" t="s">
        <v>2716</v>
      </c>
      <c r="E16" s="1041">
        <v>31103.95</v>
      </c>
      <c r="F16" s="1041">
        <v>-18670.48</v>
      </c>
      <c r="G16" s="785" t="s">
        <v>2717</v>
      </c>
      <c r="H16" s="786">
        <v>62</v>
      </c>
    </row>
    <row r="17" spans="1:8">
      <c r="A17" s="785" t="s">
        <v>2718</v>
      </c>
      <c r="B17" s="789">
        <v>2021</v>
      </c>
      <c r="C17" s="785" t="s">
        <v>2569</v>
      </c>
      <c r="D17" s="785" t="s">
        <v>2570</v>
      </c>
      <c r="E17" s="1041">
        <v>48103.95</v>
      </c>
      <c r="F17" s="1041">
        <v>-32577.98</v>
      </c>
      <c r="G17" s="785" t="s">
        <v>2719</v>
      </c>
      <c r="H17" s="786">
        <v>62</v>
      </c>
    </row>
    <row r="18" spans="1:8">
      <c r="A18" s="785" t="s">
        <v>2720</v>
      </c>
      <c r="B18" s="789">
        <v>2021</v>
      </c>
      <c r="C18" s="785" t="s">
        <v>2561</v>
      </c>
      <c r="D18" s="785" t="s">
        <v>2721</v>
      </c>
      <c r="E18" s="1041">
        <v>37745.550000000003</v>
      </c>
      <c r="F18" s="1041">
        <v>-23564.68</v>
      </c>
      <c r="G18" s="785" t="s">
        <v>2722</v>
      </c>
      <c r="H18" s="786">
        <v>61</v>
      </c>
    </row>
    <row r="19" spans="1:8">
      <c r="A19" s="785" t="s">
        <v>2723</v>
      </c>
      <c r="B19" s="789">
        <v>2024</v>
      </c>
      <c r="C19" s="785" t="s">
        <v>2561</v>
      </c>
      <c r="D19" s="785" t="s">
        <v>2724</v>
      </c>
      <c r="E19" s="1041">
        <v>70066.3</v>
      </c>
      <c r="F19" s="1041">
        <v>-68000</v>
      </c>
      <c r="G19" s="785" t="s">
        <v>2725</v>
      </c>
      <c r="H19" s="786">
        <v>59</v>
      </c>
    </row>
    <row r="20" spans="1:8">
      <c r="A20" s="785" t="s">
        <v>2726</v>
      </c>
      <c r="B20" s="789">
        <v>2019</v>
      </c>
      <c r="C20" s="785" t="s">
        <v>2561</v>
      </c>
      <c r="D20" s="785" t="s">
        <v>2727</v>
      </c>
      <c r="E20" s="1041">
        <v>38003.4</v>
      </c>
      <c r="F20" s="1041">
        <v>-33300</v>
      </c>
      <c r="G20" s="785" t="s">
        <v>2728</v>
      </c>
      <c r="H20" s="786">
        <v>59</v>
      </c>
    </row>
    <row r="21" spans="1:8">
      <c r="A21" s="785" t="s">
        <v>2729</v>
      </c>
      <c r="B21" s="789">
        <v>2021</v>
      </c>
      <c r="C21" s="785" t="s">
        <v>2561</v>
      </c>
      <c r="D21" s="785" t="s">
        <v>2730</v>
      </c>
      <c r="E21" s="1041">
        <v>41692.78</v>
      </c>
      <c r="F21" s="1041">
        <v>-36900</v>
      </c>
      <c r="G21" s="785" t="s">
        <v>2731</v>
      </c>
      <c r="H21" s="786">
        <v>59</v>
      </c>
    </row>
    <row r="22" spans="1:8">
      <c r="A22" s="789" t="s">
        <v>2732</v>
      </c>
      <c r="B22" s="789">
        <v>2022</v>
      </c>
      <c r="C22" s="789" t="s">
        <v>2733</v>
      </c>
      <c r="D22" s="789" t="s">
        <v>2734</v>
      </c>
      <c r="E22" s="790">
        <v>31627.25</v>
      </c>
      <c r="F22" s="790">
        <v>-30500</v>
      </c>
      <c r="G22" s="789" t="s">
        <v>2735</v>
      </c>
      <c r="H22" s="789">
        <v>52</v>
      </c>
    </row>
    <row r="23" spans="1:8">
      <c r="A23" s="785" t="s">
        <v>2736</v>
      </c>
      <c r="B23" s="789">
        <v>2023</v>
      </c>
      <c r="C23" s="785" t="s">
        <v>2737</v>
      </c>
      <c r="D23" s="785" t="s">
        <v>2738</v>
      </c>
      <c r="E23" s="1041">
        <v>53380.08</v>
      </c>
      <c r="F23" s="1041">
        <v>-51800</v>
      </c>
      <c r="G23" s="785" t="s">
        <v>2739</v>
      </c>
      <c r="H23" s="786">
        <v>52</v>
      </c>
    </row>
    <row r="24" spans="1:8">
      <c r="A24" s="789" t="s">
        <v>2740</v>
      </c>
      <c r="B24" s="789">
        <v>2022</v>
      </c>
      <c r="C24" s="789" t="s">
        <v>2569</v>
      </c>
      <c r="D24" s="789" t="s">
        <v>2570</v>
      </c>
      <c r="E24" s="790">
        <v>62091.35</v>
      </c>
      <c r="F24" s="790">
        <v>-43050</v>
      </c>
      <c r="G24" s="789" t="s">
        <v>2741</v>
      </c>
      <c r="H24" s="789">
        <v>46</v>
      </c>
    </row>
    <row r="25" spans="1:8">
      <c r="A25" s="789" t="s">
        <v>2742</v>
      </c>
      <c r="B25" s="789">
        <v>2020</v>
      </c>
      <c r="C25" s="789" t="s">
        <v>2569</v>
      </c>
      <c r="D25" s="789" t="s">
        <v>2570</v>
      </c>
      <c r="E25" s="790">
        <v>36074.949999999997</v>
      </c>
      <c r="F25" s="790">
        <v>-24850</v>
      </c>
      <c r="G25" s="789" t="s">
        <v>2743</v>
      </c>
      <c r="H25" s="789">
        <v>39</v>
      </c>
    </row>
    <row r="26" spans="1:8">
      <c r="A26" s="785" t="s">
        <v>2744</v>
      </c>
      <c r="B26" s="789">
        <v>2020</v>
      </c>
      <c r="C26" s="785" t="s">
        <v>2561</v>
      </c>
      <c r="D26" s="785" t="s">
        <v>2724</v>
      </c>
      <c r="E26" s="1041">
        <v>32831.39</v>
      </c>
      <c r="F26" s="1041">
        <v>-18652.5</v>
      </c>
      <c r="G26" s="785" t="s">
        <v>2745</v>
      </c>
      <c r="H26" s="786">
        <v>39</v>
      </c>
    </row>
    <row r="27" spans="1:8">
      <c r="A27" s="785" t="s">
        <v>2746</v>
      </c>
      <c r="B27" s="789">
        <v>2018</v>
      </c>
      <c r="C27" s="785" t="s">
        <v>2569</v>
      </c>
      <c r="D27" s="785" t="s">
        <v>2570</v>
      </c>
      <c r="E27" s="1041">
        <v>23195</v>
      </c>
      <c r="F27" s="1041">
        <v>-19530</v>
      </c>
      <c r="G27" s="785" t="s">
        <v>2747</v>
      </c>
      <c r="H27" s="786">
        <v>38</v>
      </c>
    </row>
    <row r="28" spans="1:8">
      <c r="A28" s="785" t="s">
        <v>2748</v>
      </c>
      <c r="B28" s="789">
        <v>2021</v>
      </c>
      <c r="C28" s="785" t="s">
        <v>2712</v>
      </c>
      <c r="D28" s="785" t="s">
        <v>2749</v>
      </c>
      <c r="E28" s="1041">
        <v>39793.949999999997</v>
      </c>
      <c r="F28" s="1041">
        <v>-35550</v>
      </c>
      <c r="G28" s="785" t="s">
        <v>2750</v>
      </c>
      <c r="H28" s="786">
        <v>38</v>
      </c>
    </row>
    <row r="29" spans="1:8">
      <c r="A29" s="785" t="s">
        <v>2751</v>
      </c>
      <c r="B29" s="789">
        <v>2015</v>
      </c>
      <c r="C29" s="785" t="s">
        <v>2690</v>
      </c>
      <c r="D29" s="785" t="s">
        <v>2752</v>
      </c>
      <c r="E29" s="1041">
        <v>8000</v>
      </c>
      <c r="F29" s="1041"/>
      <c r="G29" s="785" t="s">
        <v>2753</v>
      </c>
      <c r="H29" s="786">
        <v>38</v>
      </c>
    </row>
    <row r="30" spans="1:8">
      <c r="A30" s="785" t="s">
        <v>2754</v>
      </c>
      <c r="B30" s="789">
        <v>2021</v>
      </c>
      <c r="C30" s="785" t="s">
        <v>2684</v>
      </c>
      <c r="D30" s="785" t="s">
        <v>2755</v>
      </c>
      <c r="E30" s="1041">
        <v>43899.95</v>
      </c>
      <c r="F30" s="1041">
        <v>-30450</v>
      </c>
      <c r="G30" s="785" t="s">
        <v>2756</v>
      </c>
      <c r="H30" s="786">
        <v>37</v>
      </c>
    </row>
    <row r="31" spans="1:8">
      <c r="A31" s="789" t="s">
        <v>2757</v>
      </c>
      <c r="B31" s="789">
        <v>2023</v>
      </c>
      <c r="C31" s="789" t="s">
        <v>2758</v>
      </c>
      <c r="D31" s="789" t="s">
        <v>2759</v>
      </c>
      <c r="E31" s="790">
        <v>47899.95</v>
      </c>
      <c r="F31" s="790">
        <v>-34300</v>
      </c>
      <c r="G31" s="789" t="s">
        <v>2760</v>
      </c>
      <c r="H31" s="789">
        <v>31</v>
      </c>
    </row>
    <row r="32" spans="1:8">
      <c r="A32" s="785" t="s">
        <v>2761</v>
      </c>
      <c r="B32" s="789">
        <v>2020</v>
      </c>
      <c r="C32" s="785" t="s">
        <v>2561</v>
      </c>
      <c r="D32" s="785" t="s">
        <v>2716</v>
      </c>
      <c r="E32" s="1041">
        <v>29024.85</v>
      </c>
      <c r="F32" s="1041">
        <v>-19599.509999999998</v>
      </c>
      <c r="G32" s="785" t="s">
        <v>2762</v>
      </c>
      <c r="H32" s="786">
        <v>26</v>
      </c>
    </row>
    <row r="33" spans="1:8">
      <c r="A33" s="789" t="s">
        <v>2763</v>
      </c>
      <c r="B33" s="789">
        <v>2014</v>
      </c>
      <c r="C33" s="789" t="s">
        <v>2561</v>
      </c>
      <c r="D33" s="789" t="s">
        <v>2764</v>
      </c>
      <c r="E33" s="790">
        <v>11164.86</v>
      </c>
      <c r="G33" s="789" t="s">
        <v>2765</v>
      </c>
      <c r="H33" s="789">
        <v>22</v>
      </c>
    </row>
    <row r="34" spans="1:8">
      <c r="A34" s="785" t="s">
        <v>2766</v>
      </c>
      <c r="B34" s="789">
        <v>2023</v>
      </c>
      <c r="C34" s="785" t="s">
        <v>2561</v>
      </c>
      <c r="D34" s="785" t="s">
        <v>2767</v>
      </c>
      <c r="E34" s="1041">
        <v>53250.2</v>
      </c>
      <c r="F34" s="1041">
        <v>-52796.25</v>
      </c>
      <c r="G34" s="785" t="s">
        <v>2768</v>
      </c>
      <c r="H34" s="786">
        <v>20</v>
      </c>
    </row>
    <row r="35" spans="1:8">
      <c r="A35" s="785" t="s">
        <v>2769</v>
      </c>
      <c r="B35" s="789">
        <v>2023</v>
      </c>
      <c r="C35" s="785" t="s">
        <v>2561</v>
      </c>
      <c r="D35" s="785" t="s">
        <v>2730</v>
      </c>
      <c r="E35" s="1041">
        <v>42103.5</v>
      </c>
      <c r="F35" s="1041">
        <v>-41658.65</v>
      </c>
      <c r="G35" s="785" t="s">
        <v>2770</v>
      </c>
      <c r="H35" s="786">
        <v>18</v>
      </c>
    </row>
    <row r="36" spans="1:8">
      <c r="A36" s="785" t="s">
        <v>2771</v>
      </c>
      <c r="B36" s="789">
        <v>2017</v>
      </c>
      <c r="C36" s="785" t="s">
        <v>2569</v>
      </c>
      <c r="D36" s="785" t="s">
        <v>2772</v>
      </c>
      <c r="E36" s="1041">
        <v>27407.01</v>
      </c>
      <c r="F36" s="1041">
        <v>-24300</v>
      </c>
      <c r="G36" s="785" t="s">
        <v>2773</v>
      </c>
      <c r="H36" s="786">
        <v>17</v>
      </c>
    </row>
    <row r="37" spans="1:8">
      <c r="A37" s="789" t="s">
        <v>2774</v>
      </c>
      <c r="B37" s="789">
        <v>2023</v>
      </c>
      <c r="C37" s="789" t="s">
        <v>2569</v>
      </c>
      <c r="D37" s="789" t="s">
        <v>2772</v>
      </c>
      <c r="E37" s="790">
        <v>58745</v>
      </c>
      <c r="F37" s="790">
        <v>-45726.94</v>
      </c>
      <c r="G37" s="789" t="s">
        <v>2775</v>
      </c>
      <c r="H37" s="789">
        <v>13</v>
      </c>
    </row>
    <row r="38" spans="1:8">
      <c r="A38" s="789" t="s">
        <v>2776</v>
      </c>
      <c r="B38" s="789">
        <v>2019</v>
      </c>
      <c r="C38" s="789" t="s">
        <v>2777</v>
      </c>
      <c r="D38" s="789" t="s">
        <v>2778</v>
      </c>
      <c r="E38" s="790">
        <v>11000</v>
      </c>
      <c r="F38" s="790">
        <v>-9900</v>
      </c>
      <c r="G38" s="789" t="s">
        <v>2779</v>
      </c>
      <c r="H38" s="789">
        <v>10</v>
      </c>
    </row>
    <row r="39" spans="1:8">
      <c r="A39" s="785" t="s">
        <v>2780</v>
      </c>
      <c r="B39" s="789">
        <v>2019</v>
      </c>
      <c r="C39" s="785" t="s">
        <v>2569</v>
      </c>
      <c r="D39" s="785" t="s">
        <v>2781</v>
      </c>
      <c r="E39" s="1041">
        <v>26995</v>
      </c>
      <c r="F39" s="1041">
        <v>-16020.18</v>
      </c>
      <c r="G39" s="785" t="s">
        <v>2782</v>
      </c>
      <c r="H39" s="786">
        <v>10</v>
      </c>
    </row>
    <row r="40" spans="1:8">
      <c r="A40" s="785" t="s">
        <v>2783</v>
      </c>
      <c r="B40" s="789">
        <v>2021</v>
      </c>
      <c r="C40" s="785" t="s">
        <v>2569</v>
      </c>
      <c r="D40" s="785" t="s">
        <v>2570</v>
      </c>
      <c r="E40" s="1041">
        <v>42500</v>
      </c>
      <c r="F40" s="1041">
        <v>-30072.18</v>
      </c>
      <c r="G40" s="785" t="s">
        <v>2784</v>
      </c>
      <c r="H40" s="786">
        <v>10</v>
      </c>
    </row>
    <row r="41" spans="1:8">
      <c r="A41" s="785" t="s">
        <v>2785</v>
      </c>
      <c r="B41" s="789">
        <v>2023</v>
      </c>
      <c r="C41" s="785" t="s">
        <v>2561</v>
      </c>
      <c r="D41" s="785" t="s">
        <v>2648</v>
      </c>
      <c r="E41" s="1041">
        <v>51776.06</v>
      </c>
      <c r="F41" s="1041">
        <v>-29211.39</v>
      </c>
      <c r="G41" s="785" t="s">
        <v>2786</v>
      </c>
      <c r="H41" s="786">
        <v>10</v>
      </c>
    </row>
    <row r="42" spans="1:8">
      <c r="A42" s="785" t="s">
        <v>2787</v>
      </c>
      <c r="B42" s="789">
        <v>2012</v>
      </c>
      <c r="C42" s="785" t="s">
        <v>2561</v>
      </c>
      <c r="D42" s="785" t="s">
        <v>2608</v>
      </c>
      <c r="E42" s="1041">
        <v>37500</v>
      </c>
      <c r="F42" s="1041"/>
      <c r="G42" s="785" t="s">
        <v>2788</v>
      </c>
      <c r="H42" s="786">
        <v>10</v>
      </c>
    </row>
    <row r="43" spans="1:8">
      <c r="A43" s="785" t="s">
        <v>2789</v>
      </c>
      <c r="B43" s="789">
        <v>2021</v>
      </c>
      <c r="C43" s="785" t="s">
        <v>2790</v>
      </c>
      <c r="D43" s="785" t="s">
        <v>2791</v>
      </c>
      <c r="E43" s="1041">
        <v>32547.15</v>
      </c>
      <c r="F43" s="1041">
        <v>-32547.15</v>
      </c>
      <c r="G43" s="785" t="s">
        <v>2792</v>
      </c>
      <c r="H43" s="786">
        <v>9</v>
      </c>
    </row>
    <row r="44" spans="1:8">
      <c r="A44" s="785" t="s">
        <v>2793</v>
      </c>
      <c r="B44" s="789">
        <v>2017</v>
      </c>
      <c r="C44" s="785" t="s">
        <v>2794</v>
      </c>
      <c r="D44" s="785" t="s">
        <v>2795</v>
      </c>
      <c r="E44" s="1041">
        <v>14000</v>
      </c>
      <c r="F44" s="1041"/>
      <c r="G44" s="785" t="s">
        <v>2796</v>
      </c>
      <c r="H44" s="786">
        <v>9</v>
      </c>
    </row>
    <row r="45" spans="1:8">
      <c r="A45" s="789" t="s">
        <v>2797</v>
      </c>
      <c r="B45" s="789">
        <v>2018</v>
      </c>
      <c r="C45" s="789" t="s">
        <v>2798</v>
      </c>
      <c r="D45" s="789" t="s">
        <v>2799</v>
      </c>
      <c r="E45" s="790">
        <v>18500</v>
      </c>
      <c r="G45" s="789" t="s">
        <v>2800</v>
      </c>
      <c r="H45" s="789">
        <v>3</v>
      </c>
    </row>
    <row r="46" spans="1:8">
      <c r="A46" s="789" t="s">
        <v>2801</v>
      </c>
      <c r="B46" s="789">
        <v>2017</v>
      </c>
      <c r="C46" s="789" t="s">
        <v>2561</v>
      </c>
      <c r="D46" s="789" t="s">
        <v>2716</v>
      </c>
      <c r="E46" s="790">
        <v>28000</v>
      </c>
      <c r="G46" s="789" t="s">
        <v>2802</v>
      </c>
      <c r="H46" s="789">
        <v>3</v>
      </c>
    </row>
    <row r="47" spans="1:8">
      <c r="A47" s="785" t="s">
        <v>2803</v>
      </c>
      <c r="B47" s="789">
        <v>2013</v>
      </c>
      <c r="C47" s="785" t="s">
        <v>2758</v>
      </c>
      <c r="D47" s="785" t="s">
        <v>2804</v>
      </c>
      <c r="E47" s="1041">
        <v>1500</v>
      </c>
      <c r="F47" s="1041"/>
      <c r="G47" s="785" t="s">
        <v>2805</v>
      </c>
      <c r="H47" s="786">
        <v>2</v>
      </c>
    </row>
    <row r="48" spans="1:8">
      <c r="A48" s="785" t="s">
        <v>2806</v>
      </c>
      <c r="B48" s="789">
        <v>2017</v>
      </c>
      <c r="C48" s="785" t="s">
        <v>2561</v>
      </c>
      <c r="D48" s="785" t="s">
        <v>2807</v>
      </c>
      <c r="E48" s="1041">
        <v>37000</v>
      </c>
      <c r="F48" s="1041"/>
      <c r="G48" s="785" t="s">
        <v>2808</v>
      </c>
      <c r="H48" s="786">
        <v>2</v>
      </c>
    </row>
    <row r="49" spans="1:8">
      <c r="A49" s="789" t="s">
        <v>2809</v>
      </c>
      <c r="B49" s="789">
        <v>2022</v>
      </c>
      <c r="C49" s="789" t="s">
        <v>2561</v>
      </c>
      <c r="D49" s="789" t="s">
        <v>2716</v>
      </c>
      <c r="E49" s="790">
        <v>37500</v>
      </c>
      <c r="G49" s="789" t="s">
        <v>2810</v>
      </c>
      <c r="H49" s="789">
        <v>2</v>
      </c>
    </row>
    <row r="50" spans="1:8">
      <c r="A50" s="789" t="s">
        <v>2811</v>
      </c>
      <c r="B50" s="789">
        <v>2021</v>
      </c>
      <c r="C50" s="789" t="s">
        <v>2569</v>
      </c>
      <c r="D50" s="789" t="s">
        <v>2584</v>
      </c>
      <c r="E50" s="790">
        <v>60000</v>
      </c>
      <c r="G50" s="789" t="s">
        <v>2812</v>
      </c>
      <c r="H50" s="789">
        <v>2</v>
      </c>
    </row>
    <row r="51" spans="1:8">
      <c r="A51" s="785" t="s">
        <v>2813</v>
      </c>
      <c r="B51" s="789">
        <v>2019</v>
      </c>
      <c r="C51" s="785" t="s">
        <v>2569</v>
      </c>
      <c r="D51" s="785" t="s">
        <v>2781</v>
      </c>
      <c r="E51" s="1041">
        <v>31000</v>
      </c>
      <c r="F51" s="1041"/>
      <c r="G51" s="785" t="s">
        <v>2814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F16" sqref="F16"/>
    </sheetView>
  </sheetViews>
  <sheetFormatPr baseColWidth="10" defaultColWidth="11" defaultRowHeight="14.4"/>
  <cols>
    <col min="1" max="1" width="2.5" style="1136" customWidth="1"/>
    <col min="2" max="2" width="11" style="1141"/>
    <col min="3" max="3" width="18.19921875" style="1142" bestFit="1" customWidth="1"/>
    <col min="4" max="6" width="11" style="1142"/>
    <col min="7" max="7" width="10.8984375" style="1143" bestFit="1" customWidth="1"/>
    <col min="8" max="8" width="12.09765625" style="1142" customWidth="1"/>
    <col min="9" max="9" width="16.8984375" style="1142" customWidth="1"/>
    <col min="10" max="10" width="25.5" style="1144" customWidth="1"/>
    <col min="11" max="16384" width="11" style="1136"/>
  </cols>
  <sheetData>
    <row r="1" spans="2:10" ht="21">
      <c r="B1" s="1187" t="s">
        <v>2868</v>
      </c>
      <c r="C1" s="1188"/>
      <c r="D1" s="1188"/>
      <c r="E1" s="1188"/>
      <c r="F1" s="1188"/>
      <c r="G1" s="1188"/>
      <c r="H1" s="1188"/>
      <c r="I1" s="1188"/>
      <c r="J1" s="1189"/>
    </row>
    <row r="2" spans="2:10">
      <c r="B2" s="1137" t="s">
        <v>2869</v>
      </c>
      <c r="C2" s="1138" t="s">
        <v>2162</v>
      </c>
      <c r="D2" s="1138" t="s">
        <v>5</v>
      </c>
      <c r="E2" s="1138" t="s">
        <v>2158</v>
      </c>
      <c r="F2" s="1138" t="s">
        <v>2159</v>
      </c>
      <c r="G2" s="1139" t="s">
        <v>2870</v>
      </c>
      <c r="H2" s="1138" t="s">
        <v>2871</v>
      </c>
      <c r="I2" s="1138" t="s">
        <v>2872</v>
      </c>
      <c r="J2" s="1140" t="s">
        <v>2873</v>
      </c>
    </row>
    <row r="3" spans="2:10">
      <c r="E3" s="1157"/>
      <c r="F3" s="1157"/>
      <c r="H3" s="1157"/>
      <c r="I3" s="1157"/>
    </row>
    <row r="4" spans="2:10">
      <c r="B4" s="1141">
        <v>25063</v>
      </c>
      <c r="C4" s="1142" t="s">
        <v>2969</v>
      </c>
      <c r="D4" s="1142">
        <v>2025</v>
      </c>
      <c r="E4" s="1158" t="s">
        <v>2561</v>
      </c>
      <c r="F4" s="1180" t="s">
        <v>2570</v>
      </c>
      <c r="G4" s="1143">
        <v>67775</v>
      </c>
      <c r="H4" s="1158" t="s">
        <v>2882</v>
      </c>
      <c r="I4" s="1158" t="s">
        <v>2883</v>
      </c>
      <c r="J4" s="1159" t="s">
        <v>2884</v>
      </c>
    </row>
    <row r="5" spans="2:10">
      <c r="B5" s="1177" t="s">
        <v>2928</v>
      </c>
      <c r="C5" s="1142" t="s">
        <v>2929</v>
      </c>
      <c r="D5" s="1142">
        <v>2024</v>
      </c>
      <c r="E5" s="1178" t="s">
        <v>2930</v>
      </c>
      <c r="F5" s="1178" t="s">
        <v>2931</v>
      </c>
      <c r="G5" s="1143">
        <v>63335</v>
      </c>
      <c r="H5" s="1158" t="s">
        <v>2885</v>
      </c>
      <c r="I5" s="1158" t="s">
        <v>2886</v>
      </c>
      <c r="J5" s="1159" t="s">
        <v>2887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3" workbookViewId="0">
      <selection activeCell="E48" sqref="E48"/>
    </sheetView>
  </sheetViews>
  <sheetFormatPr baseColWidth="10" defaultColWidth="11" defaultRowHeight="14.4"/>
  <cols>
    <col min="1" max="1" width="4.69921875" style="1067" customWidth="1"/>
    <col min="2" max="2" width="5.5" style="1067" customWidth="1"/>
    <col min="3" max="3" width="20" style="1067" customWidth="1"/>
    <col min="4" max="4" width="1.69921875" style="1067" customWidth="1"/>
    <col min="5" max="7" width="11.09765625" style="1070" customWidth="1"/>
    <col min="8" max="8" width="8" style="1070" customWidth="1"/>
    <col min="9" max="9" width="1.69921875" style="1070" customWidth="1"/>
    <col min="10" max="12" width="11.097656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984375" style="1067" customWidth="1"/>
    <col min="18" max="16384" width="11" style="1067"/>
  </cols>
  <sheetData>
    <row r="1" spans="1:17" ht="30.75" customHeight="1">
      <c r="C1" s="1192" t="str">
        <f>"Analyse Wholesale "&amp;Parametres!B1</f>
        <v>Analyse Wholesale BMW Sherbrooke</v>
      </c>
      <c r="D1" s="1192"/>
      <c r="E1" s="1192"/>
      <c r="F1" s="1192"/>
      <c r="G1" s="1192"/>
      <c r="H1" s="1192"/>
      <c r="I1" s="1192"/>
      <c r="J1" s="1192"/>
      <c r="K1" s="1192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285</v>
      </c>
      <c r="F2" s="1070" t="s">
        <v>270</v>
      </c>
      <c r="G2" s="1070" t="s">
        <v>306</v>
      </c>
      <c r="L2" s="1070" t="s">
        <v>285</v>
      </c>
      <c r="N2" s="1067" t="s">
        <v>270</v>
      </c>
      <c r="O2" s="1067" t="s">
        <v>306</v>
      </c>
    </row>
    <row r="4" spans="1:17" ht="15" customHeight="1">
      <c r="A4" s="1071"/>
      <c r="B4" s="1071"/>
      <c r="E4" s="1193" t="str">
        <f>CONCATENATE("Pièces Wholesale ",Parametres!B3," ",Parametres!B4)</f>
        <v>Pièces Wholesale Novembre 2024</v>
      </c>
      <c r="F4" s="1194"/>
      <c r="G4" s="1194"/>
      <c r="H4" s="1195"/>
      <c r="J4" s="1196" t="str">
        <f>CONCATENATE("Pièces Wholesale AAD ",Parametres!B4)</f>
        <v>Pièces Wholesale AAD 2024</v>
      </c>
      <c r="K4" s="1197"/>
      <c r="L4" s="1197"/>
      <c r="M4" s="1198"/>
    </row>
    <row r="5" spans="1:17">
      <c r="A5" s="1071"/>
      <c r="B5" s="1071"/>
      <c r="C5" s="1074"/>
      <c r="D5" s="1075"/>
      <c r="E5" s="1072" t="s">
        <v>2825</v>
      </c>
      <c r="F5" s="1073" t="s">
        <v>2826</v>
      </c>
      <c r="G5" s="1072" t="s">
        <v>2827</v>
      </c>
      <c r="H5" s="1073" t="s">
        <v>2828</v>
      </c>
      <c r="J5" s="1072" t="s">
        <v>2825</v>
      </c>
      <c r="K5" s="1073" t="s">
        <v>2826</v>
      </c>
      <c r="L5" s="1072" t="s">
        <v>2827</v>
      </c>
      <c r="M5" s="1073" t="s">
        <v>2828</v>
      </c>
    </row>
    <row r="6" spans="1:17">
      <c r="A6" s="1071"/>
      <c r="B6" s="1071"/>
      <c r="C6" s="1076" t="s">
        <v>2829</v>
      </c>
      <c r="D6" s="1077"/>
      <c r="E6" s="1078">
        <f>SUMIF(A37:A48,"X",E37:E48)</f>
        <v>9</v>
      </c>
      <c r="F6" s="1079">
        <f>SUMIF(A37:A48,"X",F37:F48)</f>
        <v>30</v>
      </c>
      <c r="G6" s="1078">
        <f>E6-F6</f>
        <v>-21</v>
      </c>
      <c r="H6" s="1080">
        <f>G6/F6</f>
        <v>-0.7</v>
      </c>
      <c r="J6" s="1078">
        <f>SUMIF($B$37:$B$48,"X",$E$37:$E$48)</f>
        <v>219</v>
      </c>
      <c r="K6" s="1079">
        <f>SUMIF($B$37:$B$48,"X",$F$37:$F$48)</f>
        <v>330</v>
      </c>
      <c r="L6" s="1078">
        <f>J6-K6</f>
        <v>-111</v>
      </c>
      <c r="M6" s="1080">
        <f>L6/K6</f>
        <v>-0.33636363636363636</v>
      </c>
    </row>
    <row r="7" spans="1:17">
      <c r="A7" s="1081" t="str">
        <f>B7&amp;C7</f>
        <v>piècesVentes de Gros</v>
      </c>
      <c r="B7" s="1081" t="s">
        <v>1894</v>
      </c>
      <c r="C7" s="1082" t="s">
        <v>174</v>
      </c>
      <c r="D7" s="1083"/>
      <c r="E7" s="1084">
        <f>-SUMIFS(BV_Data_An_Cour!$O:$O,BV_Data_An_Cour!$X:$X,"Oui",BV_Data_An_Cour!$U:$U,$B7,BV_Data_An_Cour!$V:$V,$C7)</f>
        <v>54580.51</v>
      </c>
      <c r="F7" s="1085">
        <f>+INDEX('Budget original'!$A$2:$AO$501,MATCH($A7,'Budget original'!$A$2:$A$501,0),MATCH(F$2,'Budget original'!$A$2:$AO$2,0))</f>
        <v>66469.273336407292</v>
      </c>
      <c r="G7" s="1086">
        <f>E7-F7</f>
        <v>-11888.76333640729</v>
      </c>
      <c r="H7" s="1087">
        <f>G7/F7</f>
        <v>-0.17886103969028114</v>
      </c>
      <c r="J7" s="1084">
        <f>-SUMIFS(BV_Data_An_Cour!$P:$P,BV_Data_An_Cour!$X:$X,"Oui",BV_Data_An_Cour!$U:$U,$B7,BV_Data_An_Cour!$V:$V,$C7)</f>
        <v>498337.62</v>
      </c>
      <c r="K7" s="1085" cm="1">
        <f t="array" ref="K7">+SUMPRODUCT(('Budget original'!$A$8:$A$501=$A7)*('Budget original'!$C$3:$AO$3=N$2),'Budget original'!$C$8:$AO$501)</f>
        <v>718112.28204047354</v>
      </c>
      <c r="L7" s="1088">
        <f t="shared" ref="L7:L10" si="0">J7-K7</f>
        <v>-219774.66204047354</v>
      </c>
      <c r="M7" s="1087">
        <f>L7/K7</f>
        <v>-0.3060449842411786</v>
      </c>
    </row>
    <row r="8" spans="1:17">
      <c r="A8" s="1081"/>
      <c r="B8" s="1081"/>
      <c r="C8" s="1089" t="s">
        <v>2830</v>
      </c>
      <c r="D8" s="1083"/>
      <c r="E8" s="1090">
        <f>E7-E9</f>
        <v>41910.39</v>
      </c>
      <c r="F8" s="1091">
        <f>F7-F9</f>
        <v>49386.668115752538</v>
      </c>
      <c r="G8" s="1084">
        <f t="shared" ref="G8:G15" si="1">E8-F8</f>
        <v>-7476.2781157525387</v>
      </c>
      <c r="H8" s="1092">
        <f t="shared" ref="H8:H9" si="2">G8/F8</f>
        <v>-0.15138251680047798</v>
      </c>
      <c r="J8" s="1090">
        <f>J7-J9</f>
        <v>378453.97</v>
      </c>
      <c r="K8" s="1091">
        <f>K7-K9</f>
        <v>533557.4359658527</v>
      </c>
      <c r="L8" s="1084">
        <f t="shared" si="0"/>
        <v>-155103.46596585272</v>
      </c>
      <c r="M8" s="1092">
        <f t="shared" ref="M8:M9" si="3">L8/K8</f>
        <v>-0.29069685006841373</v>
      </c>
    </row>
    <row r="9" spans="1:17">
      <c r="C9" s="1093" t="s">
        <v>195</v>
      </c>
      <c r="D9" s="1083"/>
      <c r="E9" s="1094">
        <f>E12+E11</f>
        <v>12670.119999999999</v>
      </c>
      <c r="F9" s="1095">
        <f>F12+F11</f>
        <v>17082.605220654754</v>
      </c>
      <c r="G9" s="1094">
        <f t="shared" si="1"/>
        <v>-4412.4852206547548</v>
      </c>
      <c r="H9" s="1092">
        <f t="shared" si="2"/>
        <v>-0.25830282697861412</v>
      </c>
      <c r="J9" s="1094">
        <f>J12+J11</f>
        <v>119883.65000000002</v>
      </c>
      <c r="K9" s="1095">
        <f>K12+K11</f>
        <v>184554.84607462087</v>
      </c>
      <c r="L9" s="1094">
        <f t="shared" si="0"/>
        <v>-64671.19607462085</v>
      </c>
      <c r="M9" s="1092">
        <f t="shared" si="3"/>
        <v>-0.35041721986792163</v>
      </c>
    </row>
    <row r="10" spans="1:17">
      <c r="A10" s="1081"/>
      <c r="B10" s="1081"/>
      <c r="C10" s="1089" t="s">
        <v>2831</v>
      </c>
      <c r="D10" s="1083"/>
      <c r="E10" s="1096">
        <f>E9/E7</f>
        <v>0.23213634317451409</v>
      </c>
      <c r="F10" s="1097">
        <f>F9/F7</f>
        <v>0.2570000296858681</v>
      </c>
      <c r="G10" s="1096">
        <f t="shared" si="1"/>
        <v>-2.4863686511354011E-2</v>
      </c>
      <c r="H10" s="1092"/>
      <c r="J10" s="1096">
        <f>J9/J7</f>
        <v>0.24056712796437088</v>
      </c>
      <c r="K10" s="1097">
        <f>K9/K7</f>
        <v>0.25699998550396491</v>
      </c>
      <c r="L10" s="1096">
        <f t="shared" si="0"/>
        <v>-1.6432857539594031E-2</v>
      </c>
      <c r="M10" s="1092"/>
    </row>
    <row r="11" spans="1:17">
      <c r="A11" s="1081"/>
      <c r="B11" s="1081"/>
      <c r="C11" s="1098" t="s">
        <v>2832</v>
      </c>
      <c r="D11" s="1083"/>
      <c r="E11" s="1088">
        <f>SUMIFS(BV_Data_An_Cour!$O:$O,BV_Data_An_Cour!$W:$W,$D$2,BV_Data_An_Cour!L:L,C31)</f>
        <v>956.16</v>
      </c>
      <c r="F11" s="1099">
        <f>SUMIF($A$37:$A$48,"X",$G$37:$G$48)</f>
        <v>2924.65</v>
      </c>
      <c r="G11" s="1088">
        <f t="shared" si="1"/>
        <v>-1968.4900000000002</v>
      </c>
      <c r="H11" s="1087">
        <f t="shared" ref="H11:H12" si="4">G11/F11</f>
        <v>-0.6730685723077976</v>
      </c>
      <c r="J11" s="1088">
        <f>SUMIFS(BV_Data_An_Cour!$P:$P,BV_Data_An_Cour!$W:$W,$L$2,BV_Data_An_Cour!T:T,C31)</f>
        <v>16710.25</v>
      </c>
      <c r="K11" s="1099">
        <f>SUMIF($B$37:$B$48,"X",$G$37:$G$48)</f>
        <v>31596.93</v>
      </c>
      <c r="L11" s="1088">
        <f>J11-K11</f>
        <v>-14886.68</v>
      </c>
      <c r="M11" s="1087">
        <f t="shared" ref="M11:M12" si="5">L11/K11</f>
        <v>-0.47114324081485132</v>
      </c>
    </row>
    <row r="12" spans="1:17">
      <c r="A12" s="1100" t="s">
        <v>174</v>
      </c>
      <c r="B12" s="1081" t="s">
        <v>1894</v>
      </c>
      <c r="C12" s="1093" t="s">
        <v>2401</v>
      </c>
      <c r="D12" s="1083"/>
      <c r="E12" s="1094">
        <f>-SUMIFS(BV_Data_An_Cour!$O:$O,BV_Data_An_Cour!$U:$U,$B12,BV_Data_An_Cour!$V:$V,$A12,BV_Data_An_Cour!$W:$W,$D$2)</f>
        <v>11713.96</v>
      </c>
      <c r="F12" s="1095">
        <f>+INDEX('Budget original'!$A$2:$AO$501,MATCH(B12&amp;$A12,'Budget original'!$A$2:$A$501,0),MATCH(G$2,'Budget original'!$A$2:$AO$2,0))</f>
        <v>14157.955220654752</v>
      </c>
      <c r="G12" s="1094">
        <f t="shared" si="1"/>
        <v>-2443.9952206547532</v>
      </c>
      <c r="H12" s="1092">
        <f t="shared" si="4"/>
        <v>-0.17262346027830758</v>
      </c>
      <c r="J12" s="1094">
        <f>-SUMIFS(BV_Data_An_Cour!$P:$P,BV_Data_An_Cour!$U:$U,$B12,BV_Data_An_Cour!$V:$V,$A12,BV_Data_An_Cour!$W:$W,$D$2)</f>
        <v>103173.40000000002</v>
      </c>
      <c r="K12" s="1095" cm="1">
        <f t="array" ref="K12">+SUMPRODUCT(('Budget original'!$A$8:$A$501=B12&amp;$A12)*('Budget original'!$C$3:$AO$3=O$2),'Budget original'!$C$8:$AO$501)</f>
        <v>152957.91607462088</v>
      </c>
      <c r="L12" s="1094">
        <f t="shared" ref="L12:L16" si="6">J12-K12</f>
        <v>-49784.516074620857</v>
      </c>
      <c r="M12" s="1092">
        <f t="shared" si="5"/>
        <v>-0.32547851953169499</v>
      </c>
    </row>
    <row r="13" spans="1:17">
      <c r="A13" s="1071"/>
      <c r="B13" s="1071"/>
      <c r="C13" s="1089" t="s">
        <v>108</v>
      </c>
      <c r="D13" s="1083"/>
      <c r="E13" s="1096">
        <f>(E12)/E7</f>
        <v>0.21461800192046573</v>
      </c>
      <c r="F13" s="1097">
        <f>(F12)/F7</f>
        <v>0.21299999999999999</v>
      </c>
      <c r="G13" s="1101">
        <f t="shared" si="1"/>
        <v>1.6180019204657392E-3</v>
      </c>
      <c r="H13" s="1102"/>
      <c r="J13" s="1096">
        <f>(J12)/J7</f>
        <v>0.20703514215924543</v>
      </c>
      <c r="K13" s="1097">
        <f>(K12)/K7</f>
        <v>0.21300000000000002</v>
      </c>
      <c r="L13" s="1101">
        <f t="shared" si="6"/>
        <v>-5.9648578407545949E-3</v>
      </c>
      <c r="M13" s="1102"/>
    </row>
    <row r="14" spans="1:17">
      <c r="A14" s="1071"/>
      <c r="B14" s="1071"/>
      <c r="C14" s="1098" t="s">
        <v>2833</v>
      </c>
      <c r="D14" s="1083"/>
      <c r="E14" s="1088">
        <f>SUMIFS(BV_Data_An_Cour!$O:$O,BV_Data_An_Cour!$W:$W,$D$2,BV_Data_An_Cour!L:L,C33)</f>
        <v>225</v>
      </c>
      <c r="F14" s="1103">
        <f>SUMIF(A37:A48,"X",F37:F48)*$G$33</f>
        <v>750</v>
      </c>
      <c r="G14" s="1084">
        <f>E14-F14</f>
        <v>-525</v>
      </c>
      <c r="H14" s="1092">
        <f t="shared" ref="H14:H15" si="7">G14/F14</f>
        <v>-0.7</v>
      </c>
      <c r="J14" s="1088">
        <f>SUMIFS(BV_Data_An_Cour!$P:$P,BV_Data_An_Cour!$W:$W,$L$2,BV_Data_An_Cour!T:T,C33)</f>
        <v>5475</v>
      </c>
      <c r="K14" s="1103">
        <f>SUMIF(B37:B48,"X",F37:F48)*$G$33</f>
        <v>8250</v>
      </c>
      <c r="L14" s="1084">
        <f t="shared" si="6"/>
        <v>-2775</v>
      </c>
      <c r="M14" s="1092">
        <f t="shared" ref="M14:M15" si="8">L14/K14</f>
        <v>-0.33636363636363636</v>
      </c>
    </row>
    <row r="15" spans="1:17">
      <c r="C15" s="1093" t="s">
        <v>2834</v>
      </c>
      <c r="D15" s="1083"/>
      <c r="E15" s="1094">
        <f>E12-E14</f>
        <v>11488.96</v>
      </c>
      <c r="F15" s="1095">
        <f t="shared" ref="F15" si="9">F12-F14</f>
        <v>13407.955220654752</v>
      </c>
      <c r="G15" s="1094">
        <f t="shared" si="1"/>
        <v>-1918.9952206547532</v>
      </c>
      <c r="H15" s="1092">
        <f t="shared" si="7"/>
        <v>-0.14312362989537511</v>
      </c>
      <c r="J15" s="1094">
        <f t="shared" ref="J15:K15" si="10">J12-J14</f>
        <v>97698.400000000023</v>
      </c>
      <c r="K15" s="1095">
        <f t="shared" si="10"/>
        <v>144707.91607462088</v>
      </c>
      <c r="L15" s="1094">
        <f t="shared" si="6"/>
        <v>-47009.516074620857</v>
      </c>
      <c r="M15" s="1092">
        <f t="shared" si="8"/>
        <v>-0.32485794384862587</v>
      </c>
    </row>
    <row r="16" spans="1:17">
      <c r="C16" s="1104" t="s">
        <v>2835</v>
      </c>
      <c r="D16" s="1105"/>
      <c r="E16" s="1101">
        <f>E15/E7</f>
        <v>0.21049565128651232</v>
      </c>
      <c r="F16" s="1106">
        <f>F15/F7</f>
        <v>0.20171659095467798</v>
      </c>
      <c r="G16" s="1101">
        <f>E16-F16</f>
        <v>8.779060331834343E-3</v>
      </c>
      <c r="H16" s="1106"/>
      <c r="J16" s="1101">
        <f>J15/J7</f>
        <v>0.19604861459185044</v>
      </c>
      <c r="K16" s="1106">
        <f>K15/K7</f>
        <v>0.20151154588728368</v>
      </c>
      <c r="L16" s="1101">
        <f t="shared" si="6"/>
        <v>-5.4629312954332376E-3</v>
      </c>
      <c r="M16" s="1107"/>
    </row>
    <row r="17" spans="3:13">
      <c r="C17" s="1108"/>
      <c r="G17" s="1109"/>
      <c r="K17" s="1109"/>
    </row>
    <row r="18" spans="3:13">
      <c r="E18" s="1193" t="str">
        <f>CONCATENATE("Pièces Wholesale $ / livraison ",Parametres!B3," ",Parametres!B4)</f>
        <v>Pièces Wholesale $ / livraison Novembre 2024</v>
      </c>
      <c r="F18" s="1194"/>
      <c r="G18" s="1194"/>
      <c r="H18" s="1195"/>
      <c r="J18" s="1196" t="str">
        <f>CONCATENATE("Pièces Wholesale AAD $ / livraison ",Parametres!B4)</f>
        <v>Pièces Wholesale AAD $ / livraison 2024</v>
      </c>
      <c r="K18" s="1197"/>
      <c r="L18" s="1197"/>
      <c r="M18" s="1198"/>
    </row>
    <row r="19" spans="3:13">
      <c r="C19" s="1074"/>
      <c r="D19" s="1075"/>
      <c r="E19" s="1072" t="s">
        <v>2825</v>
      </c>
      <c r="F19" s="1073" t="s">
        <v>2826</v>
      </c>
      <c r="G19" s="1072" t="s">
        <v>2827</v>
      </c>
      <c r="H19" s="1073" t="s">
        <v>2828</v>
      </c>
      <c r="J19" s="1072" t="s">
        <v>2825</v>
      </c>
      <c r="K19" s="1073" t="s">
        <v>2826</v>
      </c>
      <c r="L19" s="1072" t="s">
        <v>2827</v>
      </c>
      <c r="M19" s="1073" t="s">
        <v>2828</v>
      </c>
    </row>
    <row r="20" spans="3:13">
      <c r="C20" s="1082" t="s">
        <v>174</v>
      </c>
      <c r="D20" s="1083"/>
      <c r="E20" s="1084">
        <f>E7/E$6</f>
        <v>6064.5011111111116</v>
      </c>
      <c r="F20" s="1085">
        <f>F7/F$6</f>
        <v>2215.6424445469097</v>
      </c>
      <c r="G20" s="1088">
        <f t="shared" ref="G20:G25" si="11">E20-F20</f>
        <v>3848.8586665642019</v>
      </c>
      <c r="H20" s="1087">
        <f t="shared" ref="H20:H26" si="12">G20/F20</f>
        <v>1.737129867699063</v>
      </c>
      <c r="J20" s="1084">
        <f>J7/J$6</f>
        <v>2275.5142465753424</v>
      </c>
      <c r="K20" s="1085">
        <f>K7/K$6</f>
        <v>2176.0978243650711</v>
      </c>
      <c r="L20" s="1088">
        <f t="shared" ref="L20:L25" si="13">J20-K20</f>
        <v>99.416422210271321</v>
      </c>
      <c r="M20" s="1087">
        <f t="shared" ref="M20:M26" si="14">L20/K20</f>
        <v>4.5685640184525464E-2</v>
      </c>
    </row>
    <row r="21" spans="3:13">
      <c r="C21" s="1089" t="s">
        <v>2830</v>
      </c>
      <c r="D21" s="1083"/>
      <c r="E21" s="1090">
        <f t="shared" ref="E21:F22" si="15">E8/E$6</f>
        <v>4656.71</v>
      </c>
      <c r="F21" s="1091">
        <f>F8/F$6</f>
        <v>1646.2222705250847</v>
      </c>
      <c r="G21" s="1084">
        <f t="shared" si="11"/>
        <v>3010.4877294749153</v>
      </c>
      <c r="H21" s="1092">
        <f t="shared" si="12"/>
        <v>1.8287249439984066</v>
      </c>
      <c r="J21" s="1090">
        <f t="shared" ref="J21:K22" si="16">J8/J$6</f>
        <v>1728.1003196347031</v>
      </c>
      <c r="K21" s="1091">
        <f t="shared" si="16"/>
        <v>1616.8407150480384</v>
      </c>
      <c r="L21" s="1084">
        <f t="shared" si="13"/>
        <v>111.25960458666464</v>
      </c>
      <c r="M21" s="1092">
        <f t="shared" si="14"/>
        <v>6.8812965650335553E-2</v>
      </c>
    </row>
    <row r="22" spans="3:13">
      <c r="C22" s="1093" t="s">
        <v>195</v>
      </c>
      <c r="D22" s="1083"/>
      <c r="E22" s="1094">
        <f>E9/E$6</f>
        <v>1407.7911111111109</v>
      </c>
      <c r="F22" s="1095">
        <f t="shared" si="15"/>
        <v>569.42017402182512</v>
      </c>
      <c r="G22" s="1094">
        <f t="shared" si="11"/>
        <v>838.3709370892858</v>
      </c>
      <c r="H22" s="1092">
        <f t="shared" si="12"/>
        <v>1.4723239100712862</v>
      </c>
      <c r="J22" s="1094">
        <f t="shared" si="16"/>
        <v>547.41392694063939</v>
      </c>
      <c r="K22" s="1095">
        <f t="shared" si="16"/>
        <v>559.25710931703293</v>
      </c>
      <c r="L22" s="1094">
        <f t="shared" si="13"/>
        <v>-11.843182376393543</v>
      </c>
      <c r="M22" s="1092">
        <f t="shared" si="14"/>
        <v>-2.1176632677690026E-2</v>
      </c>
    </row>
    <row r="23" spans="3:13">
      <c r="C23" s="1098" t="s">
        <v>2832</v>
      </c>
      <c r="D23" s="1083"/>
      <c r="E23" s="1088">
        <f>E11/E$6</f>
        <v>106.24</v>
      </c>
      <c r="F23" s="1099">
        <f>F11/F$6</f>
        <v>97.48833333333333</v>
      </c>
      <c r="G23" s="1088">
        <f t="shared" si="11"/>
        <v>8.7516666666666652</v>
      </c>
      <c r="H23" s="1087">
        <f t="shared" si="12"/>
        <v>8.9771425640674946E-2</v>
      </c>
      <c r="J23" s="1088">
        <f t="shared" ref="J23:K23" si="17">J11/J$6</f>
        <v>76.302511415525117</v>
      </c>
      <c r="K23" s="1099">
        <f t="shared" si="17"/>
        <v>95.748272727272735</v>
      </c>
      <c r="L23" s="1088">
        <f t="shared" si="13"/>
        <v>-19.445761311747617</v>
      </c>
      <c r="M23" s="1087">
        <f t="shared" si="14"/>
        <v>-0.20309255465251572</v>
      </c>
    </row>
    <row r="24" spans="3:13">
      <c r="C24" s="1093" t="s">
        <v>2401</v>
      </c>
      <c r="D24" s="1083"/>
      <c r="E24" s="1094">
        <f>E12/E$6</f>
        <v>1301.5511111111109</v>
      </c>
      <c r="F24" s="1095">
        <f>F12/F$6</f>
        <v>471.93184068849172</v>
      </c>
      <c r="G24" s="1110">
        <f t="shared" si="11"/>
        <v>829.61927042261914</v>
      </c>
      <c r="H24" s="1102">
        <f t="shared" si="12"/>
        <v>1.7579217990723079</v>
      </c>
      <c r="J24" s="1094">
        <f>J12/J$6</f>
        <v>471.11141552511424</v>
      </c>
      <c r="K24" s="1095">
        <f>K12/K$6</f>
        <v>463.50883658976022</v>
      </c>
      <c r="L24" s="1110">
        <f t="shared" si="13"/>
        <v>7.6025789353540176</v>
      </c>
      <c r="M24" s="1102">
        <f t="shared" si="14"/>
        <v>1.6402230842651366E-2</v>
      </c>
    </row>
    <row r="25" spans="3:13">
      <c r="C25" s="1098" t="s">
        <v>2833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2834</v>
      </c>
      <c r="D26" s="1083"/>
      <c r="E26" s="1110">
        <f>E15/E$6</f>
        <v>1276.5511111111109</v>
      </c>
      <c r="F26" s="1113">
        <f>F15/F$6</f>
        <v>446.93184068849172</v>
      </c>
      <c r="G26" s="1110">
        <f>E26-F26</f>
        <v>829.61927042261914</v>
      </c>
      <c r="H26" s="1102">
        <f t="shared" si="12"/>
        <v>1.8562545670154162</v>
      </c>
      <c r="J26" s="1110">
        <f>J15/J$6</f>
        <v>446.11141552511424</v>
      </c>
      <c r="K26" s="1113">
        <f>K15/K$6</f>
        <v>438.50883658976022</v>
      </c>
      <c r="L26" s="1110">
        <f>J26-K26</f>
        <v>7.6025789353540176</v>
      </c>
      <c r="M26" s="1102">
        <f t="shared" si="14"/>
        <v>1.7337344885632228E-2</v>
      </c>
    </row>
    <row r="27" spans="3:13">
      <c r="C27" s="1108"/>
      <c r="G27" s="1109"/>
      <c r="K27" s="1109"/>
    </row>
    <row r="29" spans="3:13">
      <c r="C29" s="1114" t="s">
        <v>2836</v>
      </c>
    </row>
    <row r="30" spans="3:13">
      <c r="C30" s="1115" t="s">
        <v>2837</v>
      </c>
      <c r="E30" s="1116" t="s">
        <v>2838</v>
      </c>
      <c r="F30" s="1117"/>
      <c r="G30" s="1118">
        <f>SUMIF(A37:A48,"X",E37:E48)*$G$33-E14</f>
        <v>0</v>
      </c>
      <c r="H30" s="1119" t="s">
        <v>2839</v>
      </c>
    </row>
    <row r="31" spans="3:13">
      <c r="C31" s="1120" t="s">
        <v>2851</v>
      </c>
      <c r="E31" s="1116" t="s">
        <v>2840</v>
      </c>
      <c r="F31" s="1117"/>
      <c r="G31" s="1118">
        <f>SUMIF(B37:B48,"X",E37:E48)*$G$33-J14</f>
        <v>0</v>
      </c>
      <c r="H31" s="1119" t="s">
        <v>2839</v>
      </c>
    </row>
    <row r="32" spans="3:13">
      <c r="C32" s="1115" t="s">
        <v>2841</v>
      </c>
    </row>
    <row r="33" spans="1:41">
      <c r="C33" s="1120" t="s">
        <v>2852</v>
      </c>
      <c r="E33" s="1199" t="s">
        <v>2842</v>
      </c>
      <c r="F33" s="1199"/>
      <c r="G33" s="1121">
        <v>25</v>
      </c>
    </row>
    <row r="35" spans="1:41">
      <c r="E35" s="1190" t="s">
        <v>2843</v>
      </c>
      <c r="F35" s="1191"/>
    </row>
    <row r="36" spans="1:41" ht="46.5" customHeight="1">
      <c r="A36" s="1122" t="s">
        <v>293</v>
      </c>
      <c r="B36" s="1122" t="s">
        <v>304</v>
      </c>
      <c r="C36" s="1123" t="s">
        <v>293</v>
      </c>
      <c r="D36" s="1117"/>
      <c r="E36" s="1124" t="s">
        <v>2825</v>
      </c>
      <c r="F36" s="1124" t="s">
        <v>2844</v>
      </c>
      <c r="G36" s="1125" t="s">
        <v>2845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294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295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296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297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298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284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299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300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/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/>
      </c>
      <c r="B46" s="1067" t="str">
        <f>+IF(VLOOKUP($C46,Parametres!$K$3:$N$14,4,0)="X","X","")</f>
        <v>X</v>
      </c>
      <c r="C46" s="1129" t="s">
        <v>301</v>
      </c>
      <c r="E46" s="1128">
        <v>15</v>
      </c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>X</v>
      </c>
      <c r="B47" s="1067" t="str">
        <f>+IF(VLOOKUP($C47,Parametres!$K$3:$N$14,4,0)="X","X","")</f>
        <v>X</v>
      </c>
      <c r="C47" s="1130" t="s">
        <v>302</v>
      </c>
      <c r="E47" s="1128">
        <v>9</v>
      </c>
      <c r="F47" s="1128">
        <v>30</v>
      </c>
      <c r="G47" s="1128">
        <v>2924.65</v>
      </c>
    </row>
    <row r="48" spans="1:41">
      <c r="A48" s="1067" t="str">
        <f>+IF(Parametres!$B$3=$C48,"X","")</f>
        <v/>
      </c>
      <c r="B48" s="1067" t="str">
        <f>+IF(VLOOKUP($C48,Parametres!$K$3:$N$14,4,0)="X","X","")</f>
        <v/>
      </c>
      <c r="C48" s="1131" t="s">
        <v>303</v>
      </c>
      <c r="E48" s="1132"/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AD480" zoomScale="70" zoomScaleNormal="70" workbookViewId="0">
      <selection activeCell="AL505" sqref="AL504:AL505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Novembre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.6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2444</v>
      </c>
      <c r="N3" s="1202"/>
      <c r="O3" s="1200" t="s">
        <v>79</v>
      </c>
      <c r="P3" s="1201"/>
      <c r="Q3" s="1202"/>
      <c r="R3" s="1203" t="s">
        <v>2448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1856596.9875368576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3424220.96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10151414.289999999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6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30869.629629629631</v>
      </c>
      <c r="G6" s="187"/>
      <c r="H6" s="184"/>
      <c r="I6" s="184"/>
      <c r="J6" s="187">
        <f>-SUMIFS(BV_Data_An_Cour!$O:$O,BV_Data_An_Cour!$U:$U,$B6,BV_Data_An_Cour!$V:$V,$C6,BV_Data_An_Cour!$W:$W,J$2)</f>
        <v>9</v>
      </c>
      <c r="K6" s="184">
        <f>IF(J6=0,0,L6/J6)</f>
        <v>5377.2044444444509</v>
      </c>
      <c r="L6" s="478">
        <f>-SUMIFS(BV_Data_An_Cour!$O:$O,BV_Data_An_Cour!$U:$U,$B6,BV_Data_An_Cour!$V:$V,$C6,BV_Data_An_Cour!$W:$W,L$2)</f>
        <v>48394.840000000055</v>
      </c>
      <c r="M6" s="187">
        <f t="shared" ref="M6:M12" si="2">J6-D6</f>
        <v>3</v>
      </c>
      <c r="N6" s="185">
        <f t="shared" ref="N6:N12" si="3">L6-F6</f>
        <v>17525.210370370423</v>
      </c>
      <c r="O6" s="187">
        <f>+INDEX('Réel 2023'!$A$2:$AO$501,MATCH($A6,'Réel 2023'!$A$2:$A$501,0),MATCH(O$2,'Réel 2023'!$A$2:$AO$2,0))</f>
        <v>14</v>
      </c>
      <c r="P6" s="184">
        <f t="shared" ref="P6:P12" si="4">IF(O6=0,0,Q6/O6)</f>
        <v>5054.9321428571502</v>
      </c>
      <c r="Q6" s="478">
        <f t="array" ref="Q6">+INDEX('Réel 2023'!$A$2:$AO$501,MATCH($A6,'Réel 2023'!$A$2:$A$501,0),MATCH(Q$2,'Réel 2023'!$A$2:$AO$2,0))</f>
        <v>70769.050000000105</v>
      </c>
      <c r="R6" s="187">
        <f>J6-O6</f>
        <v>-5</v>
      </c>
      <c r="S6" s="350">
        <f>L6-Q6</f>
        <v>-22374.21000000005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12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64637.086092715232</v>
      </c>
      <c r="G7" s="187"/>
      <c r="H7" s="184"/>
      <c r="I7" s="184"/>
      <c r="J7" s="187">
        <f>-SUMIFS(BV_Data_An_Cour!$O:$O,BV_Data_An_Cour!$U:$U,$B7,BV_Data_An_Cour!$V:$V,$C7,BV_Data_An_Cour!$W:$W,J$2)</f>
        <v>23</v>
      </c>
      <c r="K7" s="184">
        <f t="shared" ref="K7:K12" si="6">IF(J7=0,0,L7/J7)</f>
        <v>3739.0256521739093</v>
      </c>
      <c r="L7" s="478">
        <f>-SUMIFS(BV_Data_An_Cour!$O:$O,BV_Data_An_Cour!$U:$U,$B7,BV_Data_An_Cour!$V:$V,$C7,BV_Data_An_Cour!$W:$W,L$2)</f>
        <v>85997.589999999909</v>
      </c>
      <c r="M7" s="187">
        <f t="shared" si="2"/>
        <v>11</v>
      </c>
      <c r="N7" s="185">
        <f t="shared" si="3"/>
        <v>21360.503907284678</v>
      </c>
      <c r="O7" s="187">
        <f t="array" ref="O7">+INDEX('Réel 2023'!$A$2:$AO$501,MATCH($A7,'Réel 2023'!$A$2:$A$501,0),MATCH(O$2,'Réel 2023'!$A$2:$AO$2,0))</f>
        <v>8</v>
      </c>
      <c r="P7" s="184">
        <f t="shared" si="4"/>
        <v>4481.7612499999996</v>
      </c>
      <c r="Q7" s="478">
        <f t="array" ref="Q7">+INDEX('Réel 2023'!$A$2:$AO$501,MATCH($A7,'Réel 2023'!$A$2:$A$501,0),MATCH(Q$2,'Réel 2023'!$A$2:$AO$2,0))</f>
        <v>35854.089999999997</v>
      </c>
      <c r="R7" s="187">
        <f t="shared" ref="R7:R12" si="7">J7-O7</f>
        <v>15</v>
      </c>
      <c r="S7" s="350">
        <f t="shared" ref="S7:S12" si="8">L7-Q7</f>
        <v>50143.499999999913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18</v>
      </c>
      <c r="E13" s="351">
        <f>IF(D13&lt;=0,0,F13/D13)</f>
        <v>5305.928651241381</v>
      </c>
      <c r="F13" s="352">
        <f>+SUM(F6:F12)</f>
        <v>95506.715722344859</v>
      </c>
      <c r="G13" s="353"/>
      <c r="H13" s="351"/>
      <c r="I13" s="352"/>
      <c r="J13" s="353">
        <f>+SUM(J6:J12)</f>
        <v>32</v>
      </c>
      <c r="K13" s="351">
        <f>IF(J13&lt;=0,0,L13/J13)</f>
        <v>4199.7634374999989</v>
      </c>
      <c r="L13" s="352">
        <f>+SUM(L6:L12)</f>
        <v>134392.42999999996</v>
      </c>
      <c r="M13" s="353">
        <f>+SUM(M6:M12)</f>
        <v>14</v>
      </c>
      <c r="N13" s="352">
        <f t="shared" ref="N13" si="9">+SUM(N6:N12)</f>
        <v>38885.714277655105</v>
      </c>
      <c r="O13" s="353">
        <f>+SUM(O6:O12)</f>
        <v>22</v>
      </c>
      <c r="P13" s="351">
        <f>IF(O13&lt;=0,0,Q13/O13)</f>
        <v>4846.5063636363684</v>
      </c>
      <c r="Q13" s="352">
        <f t="shared" ref="Q13" si="10">+SUM(Q6:Q12)</f>
        <v>106623.1400000001</v>
      </c>
      <c r="R13" s="353">
        <f>+SUM(R6:R12)</f>
        <v>10</v>
      </c>
      <c r="S13" s="354">
        <f>+SUM(S6:S12)</f>
        <v>27769.289999999863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0.77777777777777779</v>
      </c>
      <c r="N14" s="239">
        <f>IF(F13=0,0,N13/F13)</f>
        <v>0.40715162262204518</v>
      </c>
      <c r="O14" s="228"/>
      <c r="P14" s="184"/>
      <c r="Q14" s="270"/>
      <c r="R14" s="240">
        <f>R13/O13</f>
        <v>0.45454545454545453</v>
      </c>
      <c r="S14" s="267">
        <f>IF(Q13=0,0,(S13/Q13))</f>
        <v>0.26044337092304576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5000</v>
      </c>
      <c r="G15" s="188"/>
      <c r="H15" s="357"/>
      <c r="I15" s="355"/>
      <c r="J15" s="471">
        <f>-SUMIFS(BV_Data_An_Cour!$O:$O,BV_Data_An_Cour!$U:$U,$B15,BV_Data_An_Cour!$V:$V,$C15,BV_Data_An_Cour!$W:$W,J$2)</f>
        <v>3</v>
      </c>
      <c r="K15" s="472">
        <f>IF(J15=0,0,L15/J15)</f>
        <v>-5578.1033333333326</v>
      </c>
      <c r="L15" s="472">
        <f>-SUMIFS(BV_Data_An_Cour!$O:$O,BV_Data_An_Cour!$U:$U,$B15,BV_Data_An_Cour!$V:$V,$C15,BV_Data_An_Cour!$W:$W,L$2)</f>
        <v>-16734.309999999998</v>
      </c>
      <c r="M15" s="356">
        <f>J15-D15</f>
        <v>1</v>
      </c>
      <c r="N15" s="355">
        <f>L15-F15</f>
        <v>-21734.309999999998</v>
      </c>
      <c r="O15" s="471">
        <f t="array" ref="O15">+INDEX('Réel 2023'!$A$2:$AO$501,MATCH($A15,'Réel 2023'!$A$2:$A$501,0),MATCH(O$2,'Réel 2023'!$A$2:$AO$2,0))</f>
        <v>0</v>
      </c>
      <c r="P15" s="472">
        <f>IF(O15=0,0,Q15/O15)</f>
        <v>0</v>
      </c>
      <c r="Q15" s="472">
        <f t="array" ref="Q15">+INDEX('Réel 2023'!$A$2:$AO$501,MATCH($A15,'Réel 2023'!$A$2:$A$501,0),MATCH(Q$2,'Réel 2023'!$A$2:$AO$2,0))</f>
        <v>-150</v>
      </c>
      <c r="R15" s="356">
        <f>J15-O15</f>
        <v>3</v>
      </c>
      <c r="S15" s="377">
        <f>L15-Q15</f>
        <v>-16584.309999999998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2</v>
      </c>
      <c r="K17" s="184">
        <f>IF(J17=0,0,L17/J17)</f>
        <v>26.790000000000873</v>
      </c>
      <c r="L17" s="185">
        <f>-SUMIFS(BV_Data_An_Cour!$O:$O,BV_Data_An_Cour!$U:$U,$B17,BV_Data_An_Cour!$V:$V,$C17,BV_Data_An_Cour!$W:$W,L$2)</f>
        <v>53.580000000001746</v>
      </c>
      <c r="M17" s="356">
        <f>J17-D17</f>
        <v>2</v>
      </c>
      <c r="N17" s="185">
        <f>L17-F17</f>
        <v>53.580000000001746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2</v>
      </c>
      <c r="S17" s="350">
        <f>L17-Q17</f>
        <v>53.580000000001746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3970.9903329214162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999</v>
      </c>
      <c r="M19" s="187"/>
      <c r="N19" s="185">
        <f>L19-F19</f>
        <v>-2971.9903329214162</v>
      </c>
      <c r="O19" s="188"/>
      <c r="P19" s="184"/>
      <c r="Q19" s="185">
        <f t="array" ref="Q19">+INDEX('Réel 2023'!$A$2:$AO$501,MATCH($A19,'Réel 2023'!$A$2:$A$501,0),MATCH(Q$2,'Réel 2023'!$A$2:$AO$2,0))</f>
        <v>6029</v>
      </c>
      <c r="R19" s="187">
        <f>O19-K19</f>
        <v>0</v>
      </c>
      <c r="S19" s="350">
        <f>L19-Q19</f>
        <v>-5030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1700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-1700</v>
      </c>
      <c r="O21" s="187"/>
      <c r="P21" s="184"/>
      <c r="Q21" s="185">
        <f t="array" ref="Q21">+INDEX('Réel 2023'!$A$2:$AO$501,MATCH($A21,'Réel 2023'!$A$2:$A$501,0),MATCH(Q$2,'Réel 2023'!$A$2:$AO$2,0))</f>
        <v>394.15</v>
      </c>
      <c r="R21" s="187">
        <f>O21-K21</f>
        <v>0</v>
      </c>
      <c r="S21" s="350">
        <f>L21-Q21</f>
        <v>-394.15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20400</v>
      </c>
      <c r="G22" s="228"/>
      <c r="H22" s="184"/>
      <c r="I22" s="184"/>
      <c r="J22" s="187"/>
      <c r="K22" s="184">
        <f>IF(J13=0,0,L22/(J13+J15))</f>
        <v>1455.2968571428571</v>
      </c>
      <c r="L22" s="185">
        <f>-SUMIFS(BV_Data_An_Cour!$O:$O,BV_Data_An_Cour!$U:$U,$B22,BV_Data_An_Cour!$V:$V,$C22,BV_Data_An_Cour!$W:$W,L$2)</f>
        <v>50935.39</v>
      </c>
      <c r="M22" s="187"/>
      <c r="N22" s="185">
        <f>L22-F22</f>
        <v>30535.39</v>
      </c>
      <c r="O22" s="187"/>
      <c r="P22" s="184"/>
      <c r="Q22" s="185">
        <f t="array" ref="Q22">+INDEX('Réel 2023'!$A$2:$AO$501,MATCH($A22,'Réel 2023'!$A$2:$A$501,0),MATCH(Q$2,'Réel 2023'!$A$2:$AO$2,0))</f>
        <v>23529</v>
      </c>
      <c r="R22" s="187">
        <f>O22-K22</f>
        <v>-1455.2968571428571</v>
      </c>
      <c r="S22" s="350">
        <f>L22-Q22</f>
        <v>27406.39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9900</v>
      </c>
      <c r="G23" s="228"/>
      <c r="H23" s="184"/>
      <c r="I23" s="184"/>
      <c r="J23" s="187"/>
      <c r="K23" s="184">
        <f>IF(J13=0,0,L23/(J13+J15))</f>
        <v>446.45571428571429</v>
      </c>
      <c r="L23" s="185">
        <f>-SUMIFS(BV_Data_An_Cour!$O:$O,BV_Data_An_Cour!$U:$U,$B23,BV_Data_An_Cour!$V:$V,$C23,BV_Data_An_Cour!$W:$W,L$2)</f>
        <v>15625.95</v>
      </c>
      <c r="M23" s="356"/>
      <c r="N23" s="185">
        <f>L23-F23</f>
        <v>5725.9500000000007</v>
      </c>
      <c r="O23" s="187"/>
      <c r="P23" s="184"/>
      <c r="Q23" s="185">
        <f t="array" ref="Q23">+INDEX('Réel 2023'!$A$2:$AO$501,MATCH($A23,'Réel 2023'!$A$2:$A$501,0),MATCH(Q$2,'Réel 2023'!$A$2:$AO$2,0))</f>
        <v>9054</v>
      </c>
      <c r="R23" s="187">
        <f>O23-K23</f>
        <v>-446.45571428571429</v>
      </c>
      <c r="S23" s="350">
        <f>L23-Q23</f>
        <v>6571.9500000000007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20</v>
      </c>
      <c r="E24" s="351">
        <f>IF(D24&lt;=0,0,F24/D24)</f>
        <v>1600</v>
      </c>
      <c r="F24" s="352">
        <f>F21+F22+F23</f>
        <v>32000</v>
      </c>
      <c r="G24" s="353"/>
      <c r="H24" s="351"/>
      <c r="I24" s="352"/>
      <c r="J24" s="353">
        <f>+J15+J13</f>
        <v>35</v>
      </c>
      <c r="K24" s="351">
        <f>IF(J24&lt;=0,0,L24/J24)</f>
        <v>1901.7525714285714</v>
      </c>
      <c r="L24" s="352">
        <f>L21+L22+L23</f>
        <v>66561.34</v>
      </c>
      <c r="M24" s="381">
        <f>J24-D24</f>
        <v>15</v>
      </c>
      <c r="N24" s="352">
        <f>L24-F24</f>
        <v>34561.339999999997</v>
      </c>
      <c r="O24" s="353">
        <f>+O15+O13</f>
        <v>22</v>
      </c>
      <c r="P24" s="351">
        <f>IF(O24&lt;=0,0,Q24/O24)</f>
        <v>1498.9613636363638</v>
      </c>
      <c r="Q24" s="352">
        <f>Q21+Q22+Q23</f>
        <v>32977.15</v>
      </c>
      <c r="R24" s="361"/>
      <c r="S24" s="354">
        <f>L24-Q24</f>
        <v>33584.189999999995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1.0800418749999998</v>
      </c>
      <c r="O25" s="228"/>
      <c r="P25" s="183"/>
      <c r="Q25" s="230"/>
      <c r="R25" s="229"/>
      <c r="S25" s="267">
        <f>IF(Q24=0,0,(S24/Q24))</f>
        <v>1.0184078975896944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20</v>
      </c>
      <c r="E27" s="27">
        <f>IF(D27&lt;=0,0,F27/D27)</f>
        <v>6823.885302763314</v>
      </c>
      <c r="F27" s="28">
        <f>F13+F17+F24+F19+F15</f>
        <v>136477.70605526629</v>
      </c>
      <c r="G27" s="29"/>
      <c r="H27" s="30"/>
      <c r="I27" s="28"/>
      <c r="J27" s="29">
        <f>+J13+J15+J17</f>
        <v>37</v>
      </c>
      <c r="K27" s="30">
        <f>IF(J27&lt;=0,0,L27/J27)</f>
        <v>5007.3524324324308</v>
      </c>
      <c r="L27" s="28">
        <f>L13+L17+L24+L19+L15</f>
        <v>185272.03999999995</v>
      </c>
      <c r="M27" s="29">
        <f>J27-D27</f>
        <v>17</v>
      </c>
      <c r="N27" s="28">
        <f>L27-F27</f>
        <v>48794.333944733662</v>
      </c>
      <c r="O27" s="29">
        <f>+O13+O15+O17</f>
        <v>22</v>
      </c>
      <c r="P27" s="30">
        <f>IF(O27&lt;=0,0,Q27/O27)</f>
        <v>6612.6950000000043</v>
      </c>
      <c r="Q27" s="28">
        <f>Q13+Q17+Q24+Q19+Q15</f>
        <v>145479.2900000001</v>
      </c>
      <c r="R27" s="29">
        <f>J27-O27</f>
        <v>15</v>
      </c>
      <c r="S27" s="326">
        <f>L27-Q27</f>
        <v>39792.749999999854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0.85</v>
      </c>
      <c r="N28" s="34">
        <f>N27/F27</f>
        <v>0.35752604110281955</v>
      </c>
      <c r="O28" s="31"/>
      <c r="P28" s="328"/>
      <c r="Q28" s="32"/>
      <c r="R28" s="33">
        <f>R27/O27</f>
        <v>0.68181818181818177</v>
      </c>
      <c r="S28" s="264">
        <f>IF(Q27=0,0,S27/Q27)</f>
        <v>0.27352862390241134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0.29683244310559892</v>
      </c>
      <c r="E31" s="200">
        <f t="shared" ref="E31:E36" si="11">F31/D$24</f>
        <v>1491.6826988191767</v>
      </c>
      <c r="F31" s="184">
        <f>+INDEX('Budget original'!$A$2:$AO$501,MATCH($A31,'Budget original'!$A$2:$A$501,0),MATCH(F$2,'Budget original'!$A$2:$AO$2,0))</f>
        <v>29833.653976383535</v>
      </c>
      <c r="G31" s="298"/>
      <c r="H31" s="200"/>
      <c r="I31" s="184"/>
      <c r="J31" s="298">
        <f>L31/(L13+L15)</f>
        <v>0.39274263433751971</v>
      </c>
      <c r="K31" s="200">
        <f t="shared" ref="K31:K36" si="12">IF(L31=0,0,L31/J$24)</f>
        <v>1320.2674285714286</v>
      </c>
      <c r="L31" s="184">
        <f>SUMIFS(BV_Data_An_Cour!$O:$O,BV_Data_An_Cour!$U:$U,$B31,BV_Data_An_Cour!$V:$V,$C31,BV_Data_An_Cour!$W:$W,L$2)</f>
        <v>46209.36</v>
      </c>
      <c r="M31" s="228"/>
      <c r="N31" s="230">
        <f t="shared" ref="N31:N53" si="13">L31-F31</f>
        <v>16375.706023616465</v>
      </c>
      <c r="O31" s="298">
        <f>Q31/(Q13+Q15+Q17)</f>
        <v>0.30887113876795569</v>
      </c>
      <c r="P31" s="200">
        <f t="shared" ref="P31:P40" si="14">Q31/O$24</f>
        <v>1494.8400000000001</v>
      </c>
      <c r="Q31" s="185">
        <f t="array" ref="Q31">+INDEX('Réel 2023'!$A$2:$AO$501,MATCH($A31,'Réel 2023'!$A$2:$A$501,0),MATCH(Q$2,'Réel 2023'!$A$2:$AO$2,0))</f>
        <v>32886.480000000003</v>
      </c>
      <c r="R31" s="228"/>
      <c r="S31" s="202">
        <f t="shared" ref="S31:S41" si="15">L31-Q31</f>
        <v>13322.879999999997</v>
      </c>
      <c r="T31" s="25"/>
      <c r="U31" s="25"/>
      <c r="V31" s="24" t="s">
        <v>2958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8000</v>
      </c>
      <c r="G32" s="325"/>
      <c r="H32" s="193"/>
      <c r="I32" s="182"/>
      <c r="J32" s="325">
        <f>L32/L24</f>
        <v>0.421297407774543</v>
      </c>
      <c r="K32" s="363">
        <f t="shared" si="12"/>
        <v>801.2034285714285</v>
      </c>
      <c r="L32" s="182">
        <f>SUMIFS(BV_Data_An_Cour!$O:$O,BV_Data_An_Cour!$U:$U,$B32,BV_Data_An_Cour!$V:$V,$C32,BV_Data_An_Cour!$W:$W,L$2)</f>
        <v>28042.12</v>
      </c>
      <c r="M32" s="283"/>
      <c r="N32" s="284">
        <f t="shared" si="13"/>
        <v>20042.12</v>
      </c>
      <c r="O32" s="325">
        <f>Q32/Q24</f>
        <v>0.25379057923440929</v>
      </c>
      <c r="P32" s="363">
        <f t="shared" si="14"/>
        <v>380.42227272727274</v>
      </c>
      <c r="Q32" s="182">
        <f t="array" ref="Q32">+INDEX('Réel 2023'!$A$2:$AO$501,MATCH($A32,'Réel 2023'!$A$2:$A$501,0),MATCH(Q$2,'Réel 2023'!$A$2:$AO$2,0))</f>
        <v>8369.2900000000009</v>
      </c>
      <c r="R32" s="283"/>
      <c r="S32" s="205">
        <f t="shared" si="15"/>
        <v>19672.829999999998</v>
      </c>
      <c r="T32" s="25"/>
      <c r="U32" s="25"/>
      <c r="V32" s="24" t="s">
        <v>2957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2000</v>
      </c>
      <c r="G33" s="274"/>
      <c r="H33" s="200"/>
      <c r="I33" s="184"/>
      <c r="J33" s="228"/>
      <c r="K33" s="200">
        <f t="shared" si="12"/>
        <v>67.887428571428572</v>
      </c>
      <c r="L33" s="184">
        <f>SUMIFS(BV_Data_An_Cour!$O:$O,BV_Data_An_Cour!$U:$U,$B33,BV_Data_An_Cour!$V:$V,$C33,BV_Data_An_Cour!$W:$W,L$2)</f>
        <v>2376.06</v>
      </c>
      <c r="M33" s="228"/>
      <c r="N33" s="230">
        <f t="shared" si="13"/>
        <v>376.05999999999995</v>
      </c>
      <c r="O33" s="228"/>
      <c r="P33" s="200">
        <f t="shared" si="14"/>
        <v>74.969545454545454</v>
      </c>
      <c r="Q33" s="185">
        <f t="array" ref="Q33">+INDEX('Réel 2023'!$A$2:$AO$501,MATCH($A33,'Réel 2023'!$A$2:$A$501,0),MATCH(Q$2,'Réel 2023'!$A$2:$AO$2,0))</f>
        <v>1649.33</v>
      </c>
      <c r="R33" s="228"/>
      <c r="S33" s="202">
        <f t="shared" si="15"/>
        <v>726.73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900</v>
      </c>
      <c r="G34" s="274"/>
      <c r="H34" s="200"/>
      <c r="I34" s="184"/>
      <c r="J34" s="228"/>
      <c r="K34" s="200">
        <f t="shared" si="12"/>
        <v>50.454571428571434</v>
      </c>
      <c r="L34" s="184">
        <f>SUMIFS(BV_Data_An_Cour!$O:$O,BV_Data_An_Cour!$U:$U,$B34,BV_Data_An_Cour!$V:$V,$C34,BV_Data_An_Cour!$W:$W,L$2)</f>
        <v>1765.91</v>
      </c>
      <c r="M34" s="228"/>
      <c r="N34" s="230">
        <f t="shared" si="13"/>
        <v>865.91000000000008</v>
      </c>
      <c r="O34" s="228"/>
      <c r="P34" s="200">
        <f t="shared" si="14"/>
        <v>53.870000000000005</v>
      </c>
      <c r="Q34" s="185">
        <f t="array" ref="Q34">+INDEX('Réel 2023'!$A$2:$AO$501,MATCH($A34,'Réel 2023'!$A$2:$A$501,0),MATCH(Q$2,'Réel 2023'!$A$2:$AO$2,0))</f>
        <v>1185.1400000000001</v>
      </c>
      <c r="R34" s="228"/>
      <c r="S34" s="202">
        <f t="shared" si="15"/>
        <v>580.77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47.5</v>
      </c>
      <c r="F35" s="182">
        <f>+INDEX('Budget original'!$A$2:$AO$501,MATCH($A35,'Budget original'!$A$2:$A$501,0),MATCH(F$2,'Budget original'!$A$2:$AO$2,0))</f>
        <v>950</v>
      </c>
      <c r="G35" s="282"/>
      <c r="H35" s="193"/>
      <c r="I35" s="182"/>
      <c r="J35" s="283"/>
      <c r="K35" s="363">
        <f t="shared" si="12"/>
        <v>70.689428571428579</v>
      </c>
      <c r="L35" s="182">
        <f>SUMIFS(BV_Data_An_Cour!$O:$O,BV_Data_An_Cour!$U:$U,$B35,BV_Data_An_Cour!$V:$V,$C35,BV_Data_An_Cour!$W:$W,L$2)</f>
        <v>2474.13</v>
      </c>
      <c r="M35" s="283"/>
      <c r="N35" s="284">
        <f t="shared" si="13"/>
        <v>1524.13</v>
      </c>
      <c r="O35" s="283"/>
      <c r="P35" s="363">
        <f t="shared" si="14"/>
        <v>55.704545454545453</v>
      </c>
      <c r="Q35" s="185">
        <f t="array" ref="Q35">+INDEX('Réel 2023'!$A$2:$AO$501,MATCH($A35,'Réel 2023'!$A$2:$A$501,0),MATCH(Q$2,'Réel 2023'!$A$2:$AO$2,0))</f>
        <v>1225.5</v>
      </c>
      <c r="R35" s="283"/>
      <c r="S35" s="205">
        <f t="shared" si="15"/>
        <v>1248.6300000000001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9932.1875</v>
      </c>
      <c r="G36" s="274"/>
      <c r="H36" s="200"/>
      <c r="I36" s="184"/>
      <c r="J36" s="228"/>
      <c r="K36" s="200">
        <f t="shared" si="12"/>
        <v>338.08399999999995</v>
      </c>
      <c r="L36" s="553">
        <f>SUMIFS(BV_Data_An_Cour!$O:$O,BV_Data_An_Cour!$U:$U,$B36,BV_Data_An_Cour!$V:$V,$C36,BV_Data_An_Cour!$W:$W,L$2)</f>
        <v>11832.939999999999</v>
      </c>
      <c r="M36" s="183"/>
      <c r="N36" s="230">
        <f t="shared" si="13"/>
        <v>1900.7524999999987</v>
      </c>
      <c r="O36" s="228"/>
      <c r="P36" s="200">
        <f t="shared" si="14"/>
        <v>667.48727272727274</v>
      </c>
      <c r="Q36" s="379">
        <f t="array" ref="Q36">+INDEX('Réel 2023'!$A$2:$AO$501,MATCH($A36,'Réel 2023'!$A$2:$A$501,0),MATCH(Q$2,'Réel 2023'!$A$2:$AO$2,0))</f>
        <v>14684.72</v>
      </c>
      <c r="R36" s="228"/>
      <c r="S36" s="202">
        <f t="shared" si="15"/>
        <v>-2851.7800000000007</v>
      </c>
      <c r="T36" s="25"/>
      <c r="U36" s="25"/>
      <c r="V36" s="24">
        <v>16040</v>
      </c>
      <c r="W36" s="1045" t="s">
        <v>2968</v>
      </c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1233.9277916141241</v>
      </c>
      <c r="F37" s="184">
        <f>+INDEX('Budget original'!$A$2:$AO$501,MATCH($A37,'Budget original'!$A$2:$A$501,0),MATCH(F$2,'Budget original'!$A$2:$AO$2,0))</f>
        <v>24678.555832282484</v>
      </c>
      <c r="G37" s="274"/>
      <c r="H37" s="200"/>
      <c r="I37" s="184"/>
      <c r="J37" s="228"/>
      <c r="K37" s="200">
        <f>IF(L37=0,0,L37/J$24)</f>
        <v>986.47199999999987</v>
      </c>
      <c r="L37" s="554">
        <f>SUMIFS(BV_Data_An_Cour!$O:$O,BV_Data_An_Cour!$U:$U,$B37,BV_Data_An_Cour!$V:$V,$C37,BV_Data_An_Cour!$W:$W,L$2)</f>
        <v>34526.519999999997</v>
      </c>
      <c r="M37" s="183"/>
      <c r="N37" s="230">
        <f t="shared" si="13"/>
        <v>9847.9641677175132</v>
      </c>
      <c r="O37" s="228"/>
      <c r="P37" s="200">
        <f t="shared" si="14"/>
        <v>645.76590909090908</v>
      </c>
      <c r="Q37" s="185">
        <f t="array" ref="Q37">+INDEX('Réel 2023'!$A$2:$AO$501,MATCH($A37,'Réel 2023'!$A$2:$A$501,0),MATCH(Q$2,'Réel 2023'!$A$2:$AO$2,0))</f>
        <v>14206.85</v>
      </c>
      <c r="R37" s="228"/>
      <c r="S37" s="202">
        <f>L37-Q37</f>
        <v>20319.669999999998</v>
      </c>
      <c r="T37" s="25"/>
      <c r="U37" s="25"/>
      <c r="V37" s="1045">
        <v>34527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0.55902461664889647</v>
      </c>
      <c r="F41" s="41">
        <f>SUM(F31:F40)</f>
        <v>76294.397308666012</v>
      </c>
      <c r="G41" s="42"/>
      <c r="H41" s="40"/>
      <c r="I41" s="41"/>
      <c r="J41" s="42" t="s">
        <v>108</v>
      </c>
      <c r="K41" s="40">
        <f>L41/L$27</f>
        <v>0.68670394086447173</v>
      </c>
      <c r="L41" s="41">
        <f>SUM(L31:L40)</f>
        <v>127227.04000000001</v>
      </c>
      <c r="M41" s="512"/>
      <c r="N41" s="41">
        <f t="shared" si="13"/>
        <v>50932.642691333996</v>
      </c>
      <c r="O41" s="42" t="s">
        <v>108</v>
      </c>
      <c r="P41" s="40">
        <f>Q41/Q$27</f>
        <v>0.51008848063528467</v>
      </c>
      <c r="Q41" s="511">
        <f>SUM(Q31:Q40)</f>
        <v>74207.310000000012</v>
      </c>
      <c r="R41" s="44"/>
      <c r="S41" s="290">
        <f t="shared" si="15"/>
        <v>53019.729999999996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12353.222264631044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13561.95</v>
      </c>
      <c r="M42" s="228"/>
      <c r="N42" s="230">
        <f t="shared" si="13"/>
        <v>1208.7277353689569</v>
      </c>
      <c r="O42" s="228"/>
      <c r="P42" s="183"/>
      <c r="Q42" s="185">
        <f t="array" ref="Q42">+INDEX('Réel 2023'!$A$2:$AO$501,MATCH($A42,'Réel 2023'!$A$2:$A$501,0),MATCH(Q$2,'Réel 2023'!$A$2:$AO$2,0))</f>
        <v>15588.82</v>
      </c>
      <c r="R42" s="228"/>
      <c r="S42" s="202">
        <f t="shared" ref="S42:S53" si="16">L42-Q42</f>
        <v>-2026.869999999999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8436.5301526717558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10795.04</v>
      </c>
      <c r="M43" s="228"/>
      <c r="N43" s="230">
        <f t="shared" si="13"/>
        <v>2358.5098473282451</v>
      </c>
      <c r="O43" s="228"/>
      <c r="P43" s="183"/>
      <c r="Q43" s="185">
        <f t="array" ref="Q43">+INDEX('Réel 2023'!$A$2:$AO$501,MATCH($A43,'Réel 2023'!$A$2:$A$501,0),MATCH(Q$2,'Réel 2023'!$A$2:$AO$2,0))</f>
        <v>6694.98</v>
      </c>
      <c r="R43" s="228"/>
      <c r="S43" s="202">
        <f t="shared" si="16"/>
        <v>4100.0600000000013</v>
      </c>
      <c r="T43" s="25"/>
      <c r="U43" s="25"/>
      <c r="V43" s="24" t="s">
        <v>2962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6190.2803193551681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6518.5</v>
      </c>
      <c r="M49" s="228"/>
      <c r="N49" s="230">
        <f t="shared" si="13"/>
        <v>328.2196806448319</v>
      </c>
      <c r="O49" s="228"/>
      <c r="P49" s="183"/>
      <c r="Q49" s="182">
        <f t="array" ref="Q49">+INDEX('Réel 2023'!$A$2:$AO$501,MATCH($A49,'Réel 2023'!$A$2:$A$501,0),MATCH(Q$2,'Réel 2023'!$A$2:$AO$2,0))</f>
        <v>5043.63</v>
      </c>
      <c r="R49" s="228"/>
      <c r="S49" s="202">
        <f t="shared" si="16"/>
        <v>1474.87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8584.8835000729105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6563.34</v>
      </c>
      <c r="M50" s="278"/>
      <c r="N50" s="279">
        <f t="shared" si="13"/>
        <v>-2021.5435000729103</v>
      </c>
      <c r="O50" s="278"/>
      <c r="P50" s="276"/>
      <c r="Q50" s="185">
        <f t="array" ref="Q50">+INDEX('Réel 2023'!$A$2:$AO$501,MATCH($A50,'Réel 2023'!$A$2:$A$501,0),MATCH(Q$2,'Réel 2023'!$A$2:$AO$2,0))</f>
        <v>6230.97</v>
      </c>
      <c r="R50" s="278"/>
      <c r="S50" s="204">
        <f t="shared" si="16"/>
        <v>332.36999999999989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4063.0746336222928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2314.0700000000002</v>
      </c>
      <c r="M51" s="228"/>
      <c r="N51" s="230">
        <f t="shared" si="13"/>
        <v>-1749.0046336222927</v>
      </c>
      <c r="O51" s="228"/>
      <c r="P51" s="183"/>
      <c r="Q51" s="185">
        <f t="array" ref="Q51">+INDEX('Réel 2023'!$A$2:$AO$501,MATCH($A51,'Réel 2023'!$A$2:$A$501,0),MATCH(Q$2,'Réel 2023'!$A$2:$AO$2,0))</f>
        <v>3801.06</v>
      </c>
      <c r="R51" s="228"/>
      <c r="S51" s="202">
        <f t="shared" si="16"/>
        <v>-1486.9899999999998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917.4684656566468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157.28</v>
      </c>
      <c r="M52" s="228"/>
      <c r="N52" s="230">
        <f t="shared" si="13"/>
        <v>-760.18846565664683</v>
      </c>
      <c r="O52" s="228"/>
      <c r="P52" s="183"/>
      <c r="Q52" s="185">
        <f t="array" ref="Q52">+INDEX('Réel 2023'!$A$2:$AO$501,MATCH($A52,'Réel 2023'!$A$2:$A$501,0),MATCH(Q$2,'Réel 2023'!$A$2:$AO$2,0))</f>
        <v>80.34</v>
      </c>
      <c r="R52" s="228"/>
      <c r="S52" s="202">
        <f t="shared" si="16"/>
        <v>76.94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0.29959075747838659</v>
      </c>
      <c r="F54" s="41">
        <f>+SUM(F42:F53)</f>
        <v>40887.459336009815</v>
      </c>
      <c r="G54" s="42"/>
      <c r="H54" s="40"/>
      <c r="I54" s="41"/>
      <c r="J54" s="42" t="s">
        <v>108</v>
      </c>
      <c r="K54" s="40">
        <f>L54/L$27</f>
        <v>0.21725987364310348</v>
      </c>
      <c r="L54" s="41">
        <f>+SUM(L42:L53)</f>
        <v>40252.18</v>
      </c>
      <c r="M54" s="44"/>
      <c r="N54" s="41">
        <f>+SUM(N42:N53)</f>
        <v>-635.27933600981589</v>
      </c>
      <c r="O54" s="42" t="s">
        <v>108</v>
      </c>
      <c r="P54" s="40">
        <f>Q54/Q$27</f>
        <v>0.25970569419193601</v>
      </c>
      <c r="Q54" s="41">
        <f>+SUM(Q42:Q53)</f>
        <v>37781.799999999996</v>
      </c>
      <c r="R54" s="44"/>
      <c r="S54" s="290">
        <f>+SUM(S42:S53)</f>
        <v>2470.3800000000024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9735.27</v>
      </c>
      <c r="M57" s="283"/>
      <c r="N57" s="284">
        <f t="shared" si="17"/>
        <v>4655.1866666666665</v>
      </c>
      <c r="O57" s="283"/>
      <c r="P57" s="281"/>
      <c r="Q57" s="182">
        <f t="array" ref="Q57">+INDEX('Réel 2023'!$A$2:$AO$501,MATCH($A57,'Réel 2023'!$A$2:$A$501,0),MATCH(Q$2,'Réel 2023'!$A$2:$AO$2,0))</f>
        <v>5151.59</v>
      </c>
      <c r="R57" s="283"/>
      <c r="S57" s="205">
        <f t="shared" si="18"/>
        <v>4583.68</v>
      </c>
      <c r="T57" s="45"/>
      <c r="U57" s="25"/>
      <c r="V57" s="24" t="s">
        <v>2953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4394.9399999999996</v>
      </c>
      <c r="M58" s="228"/>
      <c r="N58" s="230">
        <f t="shared" si="17"/>
        <v>-598.11000000000058</v>
      </c>
      <c r="O58" s="228"/>
      <c r="P58" s="183"/>
      <c r="Q58" s="185">
        <f t="array" ref="Q58">+INDEX('Réel 2023'!$A$2:$AO$501,MATCH($A58,'Réel 2023'!$A$2:$A$501,0),MATCH(Q$2,'Réel 2023'!$A$2:$AO$2,0))</f>
        <v>4757.24</v>
      </c>
      <c r="R58" s="228"/>
      <c r="S58" s="202">
        <f t="shared" si="18"/>
        <v>-362.30000000000018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1199.4000000000001</v>
      </c>
      <c r="M59" s="228"/>
      <c r="N59" s="230">
        <f t="shared" si="17"/>
        <v>376.80000000000007</v>
      </c>
      <c r="O59" s="228"/>
      <c r="P59" s="183"/>
      <c r="Q59" s="185">
        <f t="array" ref="Q59">+INDEX('Réel 2023'!$A$2:$AO$501,MATCH($A59,'Réel 2023'!$A$2:$A$501,0),MATCH(Q$2,'Réel 2023'!$A$2:$AO$2,0))</f>
        <v>2422.62</v>
      </c>
      <c r="R59" s="228"/>
      <c r="S59" s="202">
        <f t="shared" si="18"/>
        <v>-1223.2199999999998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3731.16</v>
      </c>
      <c r="M60" s="283"/>
      <c r="N60" s="284">
        <f t="shared" si="17"/>
        <v>976.70999999999958</v>
      </c>
      <c r="O60" s="283"/>
      <c r="P60" s="281"/>
      <c r="Q60" s="182">
        <f t="array" ref="Q60">+INDEX('Réel 2023'!$A$2:$AO$501,MATCH($A60,'Réel 2023'!$A$2:$A$501,0),MATCH(Q$2,'Réel 2023'!$A$2:$AO$2,0))</f>
        <v>3183.03</v>
      </c>
      <c r="R60" s="283"/>
      <c r="S60" s="205">
        <f t="shared" si="18"/>
        <v>548.12999999999965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62.5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10.79</v>
      </c>
      <c r="M61" s="228"/>
      <c r="N61" s="230">
        <f t="shared" si="17"/>
        <v>-51.71</v>
      </c>
      <c r="O61" s="228"/>
      <c r="P61" s="183"/>
      <c r="Q61" s="185">
        <f t="array" ref="Q61">+INDEX('Réel 2023'!$A$2:$AO$501,MATCH($A61,'Réel 2023'!$A$2:$A$501,0),MATCH(Q$2,'Réel 2023'!$A$2:$AO$2,0))</f>
        <v>30.2</v>
      </c>
      <c r="R61" s="228"/>
      <c r="S61" s="202">
        <f t="shared" si="18"/>
        <v>-19.41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802.33</v>
      </c>
      <c r="M63" s="228"/>
      <c r="N63" s="230">
        <f t="shared" si="17"/>
        <v>14.830000000000041</v>
      </c>
      <c r="O63" s="228"/>
      <c r="P63" s="183"/>
      <c r="Q63" s="478">
        <f t="array" ref="Q63">+INDEX('Réel 2023'!$A$2:$AO$501,MATCH($A63,'Réel 2023'!$A$2:$A$501,0),MATCH(Q$2,'Réel 2023'!$A$2:$AO$2,0))</f>
        <v>746.08</v>
      </c>
      <c r="R63" s="228"/>
      <c r="S63" s="202">
        <f t="shared" si="18"/>
        <v>56.25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387.42</v>
      </c>
      <c r="M64" s="228"/>
      <c r="N64" s="230">
        <f t="shared" si="17"/>
        <v>177.02</v>
      </c>
      <c r="O64" s="228"/>
      <c r="P64" s="183"/>
      <c r="Q64" s="185">
        <f t="array" ref="Q64">+INDEX('Réel 2023'!$A$2:$AO$501,MATCH($A64,'Réel 2023'!$A$2:$A$501,0),MATCH(Q$2,'Réel 2023'!$A$2:$AO$2,0))</f>
        <v>206.76</v>
      </c>
      <c r="R64" s="228"/>
      <c r="S64" s="202">
        <f t="shared" si="18"/>
        <v>180.66000000000003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55.24</v>
      </c>
      <c r="M65" s="228"/>
      <c r="N65" s="230">
        <f t="shared" si="17"/>
        <v>-169.76</v>
      </c>
      <c r="O65" s="228"/>
      <c r="P65" s="183"/>
      <c r="Q65" s="185">
        <f t="array" ref="Q65">+INDEX('Réel 2023'!$A$2:$AO$501,MATCH($A65,'Réel 2023'!$A$2:$A$501,0),MATCH(Q$2,'Réel 2023'!$A$2:$AO$2,0))</f>
        <v>319.88</v>
      </c>
      <c r="R65" s="228"/>
      <c r="S65" s="202">
        <f t="shared" si="18"/>
        <v>-264.64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739.8</v>
      </c>
      <c r="M66" s="228"/>
      <c r="N66" s="230">
        <f t="shared" si="17"/>
        <v>-96.300000000000068</v>
      </c>
      <c r="O66" s="228"/>
      <c r="P66" s="183"/>
      <c r="Q66" s="185">
        <f t="array" ref="Q66">+INDEX('Réel 2023'!$A$2:$AO$501,MATCH($A66,'Réel 2023'!$A$2:$A$501,0),MATCH(Q$2,'Réel 2023'!$A$2:$AO$2,0))</f>
        <v>751.95</v>
      </c>
      <c r="R66" s="228"/>
      <c r="S66" s="202">
        <f t="shared" si="18"/>
        <v>-12.150000000000091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1301.5899999999999</v>
      </c>
      <c r="M67" s="228"/>
      <c r="N67" s="230">
        <f t="shared" si="17"/>
        <v>819.42618666666681</v>
      </c>
      <c r="O67" s="228"/>
      <c r="P67" s="183"/>
      <c r="Q67" s="185">
        <f t="array" ref="Q67">+INDEX('Réel 2023'!$A$2:$AO$501,MATCH($A67,'Réel 2023'!$A$2:$A$501,0),MATCH(Q$2,'Réel 2023'!$A$2:$AO$2,0))</f>
        <v>740.68</v>
      </c>
      <c r="R67" s="228"/>
      <c r="S67" s="202">
        <f>L67-Q67</f>
        <v>560.91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2428.512920473851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4789.05</v>
      </c>
      <c r="M68" s="228"/>
      <c r="N68" s="230">
        <f t="shared" si="17"/>
        <v>2360.5370795261492</v>
      </c>
      <c r="O68" s="228"/>
      <c r="P68" s="183"/>
      <c r="Q68" s="185">
        <f t="array" ref="Q68">+INDEX('Réel 2023'!$A$2:$AO$501,MATCH($A68,'Réel 2023'!$A$2:$A$501,0),MATCH(Q$2,'Réel 2023'!$A$2:$AO$2,0))</f>
        <v>3509.48</v>
      </c>
      <c r="R68" s="228"/>
      <c r="S68" s="202">
        <f>L68-Q68</f>
        <v>1279.5700000000002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0.13699937233388926</v>
      </c>
      <c r="F72" s="41">
        <f>+SUM(F55:F71)</f>
        <v>18697.360067140518</v>
      </c>
      <c r="G72" s="42"/>
      <c r="H72" s="40"/>
      <c r="I72" s="41"/>
      <c r="J72" s="42" t="s">
        <v>108</v>
      </c>
      <c r="K72" s="40">
        <f>L72/L$27</f>
        <v>0.14652502341961585</v>
      </c>
      <c r="L72" s="41">
        <f>+SUM(L55:L71)</f>
        <v>27146.989999999998</v>
      </c>
      <c r="M72" s="44"/>
      <c r="N72" s="41">
        <f>+SUM(N55:N71)</f>
        <v>8449.6299328594814</v>
      </c>
      <c r="O72" s="42" t="s">
        <v>108</v>
      </c>
      <c r="P72" s="40">
        <f>Q72/Q$27</f>
        <v>0.14998361622468728</v>
      </c>
      <c r="Q72" s="41">
        <f>+SUM(Q55:Q71)</f>
        <v>21819.510000000002</v>
      </c>
      <c r="R72" s="44"/>
      <c r="S72" s="290">
        <f>+SUM(S55:S71)</f>
        <v>5327.48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0.99561474646117232</v>
      </c>
      <c r="F74" s="41">
        <f>F41+F54+F72</f>
        <v>135879.21671181635</v>
      </c>
      <c r="G74" s="42"/>
      <c r="H74" s="40"/>
      <c r="I74" s="41"/>
      <c r="J74" s="42" t="s">
        <v>108</v>
      </c>
      <c r="K74" s="40">
        <f>L74/L$27</f>
        <v>1.0504888379271911</v>
      </c>
      <c r="L74" s="41">
        <f>L41+L54+L72</f>
        <v>194626.21</v>
      </c>
      <c r="M74" s="44"/>
      <c r="N74" s="46">
        <f t="shared" ref="N74:N82" si="19">L74-F74</f>
        <v>58746.993288183643</v>
      </c>
      <c r="O74" s="42" t="s">
        <v>108</v>
      </c>
      <c r="P74" s="40">
        <f>Q74/Q$27</f>
        <v>0.91977779105190804</v>
      </c>
      <c r="Q74" s="41">
        <f>Q41+Q54+Q72</f>
        <v>133808.62000000002</v>
      </c>
      <c r="R74" s="44"/>
      <c r="S74" s="286">
        <f>L74-Q74</f>
        <v>60817.589999999967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29120.883076923088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53053.83</v>
      </c>
      <c r="M75" s="228"/>
      <c r="N75" s="230">
        <f t="shared" si="19"/>
        <v>23932.946923076914</v>
      </c>
      <c r="O75" s="228"/>
      <c r="P75" s="183"/>
      <c r="Q75" s="478">
        <f>+INDEX('Réel 2023'!$A$2:$AO$501,MATCH($A75,'Réel 2023'!$A$2:$A$501,0),MATCH(Q$2,'Réel 2023'!$A$2:$AO$2,0))</f>
        <v>36663.839999999997</v>
      </c>
      <c r="R75" s="228"/>
      <c r="S75" s="202">
        <f>L75-Q75</f>
        <v>16389.990000000005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33281.009230769239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76456</v>
      </c>
      <c r="M78" s="228"/>
      <c r="N78" s="230">
        <f t="shared" si="19"/>
        <v>43174.990769230761</v>
      </c>
      <c r="O78" s="228"/>
      <c r="P78" s="183"/>
      <c r="Q78" s="478">
        <f t="array" ref="Q78">+INDEX('Réel 2023'!$A$2:$AO$501,MATCH($A78,'Réel 2023'!$A$2:$A$501,0),MATCH(Q$2,'Réel 2023'!$A$2:$AO$2,0))</f>
        <v>28951</v>
      </c>
      <c r="R78" s="228"/>
      <c r="S78" s="202">
        <f t="shared" si="20"/>
        <v>47505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11781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20825</v>
      </c>
      <c r="M82" s="228"/>
      <c r="N82" s="230">
        <f t="shared" si="19"/>
        <v>9044</v>
      </c>
      <c r="O82" s="228"/>
      <c r="P82" s="183"/>
      <c r="Q82" s="478">
        <f t="array" ref="Q82">+INDEX('Réel 2023'!$A$2:$AO$501,MATCH($A82,'Réel 2023'!$A$2:$A$501,0),MATCH(Q$2,'Réel 2023'!$A$2:$AO$2,0))</f>
        <v>13090</v>
      </c>
      <c r="R82" s="228"/>
      <c r="S82" s="202">
        <f t="shared" si="20"/>
        <v>7735</v>
      </c>
      <c r="T82" s="25"/>
      <c r="U82" s="25"/>
      <c r="V82" s="24">
        <f>L82/595</f>
        <v>35</v>
      </c>
      <c r="W82" s="1171">
        <f>V82/J27</f>
        <v>0.94594594594594594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74182.892307692324</v>
      </c>
      <c r="G83" s="42"/>
      <c r="H83" s="40"/>
      <c r="I83" s="41"/>
      <c r="J83" s="42"/>
      <c r="K83" s="40"/>
      <c r="L83" s="41">
        <f>+SUM(L75:L82)</f>
        <v>150334.83000000002</v>
      </c>
      <c r="M83" s="44"/>
      <c r="N83" s="41">
        <f>+SUM(N75:N82)</f>
        <v>76151.937692307678</v>
      </c>
      <c r="O83" s="42"/>
      <c r="P83" s="40"/>
      <c r="Q83" s="41">
        <f>+SUM(Q75:Q82)</f>
        <v>78704.84</v>
      </c>
      <c r="R83" s="44"/>
      <c r="S83" s="290">
        <f>+SUM(S75:S82)</f>
        <v>71629.990000000005</v>
      </c>
      <c r="T83" s="25"/>
      <c r="U83" s="25"/>
      <c r="V83" s="24"/>
      <c r="W83" s="24" t="s">
        <v>2880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74781.381651142263</v>
      </c>
      <c r="G85" s="384"/>
      <c r="H85" s="314"/>
      <c r="I85" s="311"/>
      <c r="J85" s="384"/>
      <c r="K85" s="310"/>
      <c r="L85" s="311">
        <f>L27-L74+L83</f>
        <v>140980.65999999997</v>
      </c>
      <c r="M85" s="384"/>
      <c r="N85" s="311">
        <f>N27-N41-N54-N72+N83</f>
        <v>66199.278348857682</v>
      </c>
      <c r="O85" s="384"/>
      <c r="P85" s="310"/>
      <c r="Q85" s="311">
        <f>Q27-Q74+Q83</f>
        <v>90375.510000000068</v>
      </c>
      <c r="R85" s="384"/>
      <c r="S85" s="315">
        <f>S27-S41-S54-S72+S83</f>
        <v>50605.149999999863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2444</v>
      </c>
      <c r="N91" s="1202"/>
      <c r="O91" s="1200" t="s">
        <v>79</v>
      </c>
      <c r="P91" s="1201"/>
      <c r="Q91" s="1202"/>
      <c r="R91" s="1203" t="s">
        <v>2448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1103827.5862068965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842711.86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1257294.74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5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15000</v>
      </c>
      <c r="G94" s="187"/>
      <c r="H94" s="184"/>
      <c r="I94" s="184"/>
      <c r="J94" s="187">
        <f>-SUMIFS(BV_Data_An_Cour!$O:$O,BV_Data_An_Cour!$U:$U,$B94,BV_Data_An_Cour!$V:$V,$C94,BV_Data_An_Cour!$W:$W,J$2)</f>
        <v>2</v>
      </c>
      <c r="K94" s="184">
        <f>IF(J94=0,0,L94/J94)</f>
        <v>1366.4749999999985</v>
      </c>
      <c r="L94" s="185">
        <f>-SUMIFS(BV_Data_An_Cour!$O:$O,BV_Data_An_Cour!$U:$U,$B94,BV_Data_An_Cour!$V:$V,$C94,BV_Data_An_Cour!$W:$W,$L2)</f>
        <v>2732.9499999999971</v>
      </c>
      <c r="M94" s="187">
        <f>J94-D94</f>
        <v>-3</v>
      </c>
      <c r="N94" s="185">
        <f>L94-F94</f>
        <v>-12267.050000000003</v>
      </c>
      <c r="O94" s="187">
        <f t="array" ref="O94">+INDEX('Réel 2023'!$A$2:$AO$501,MATCH($A94,'Réel 2023'!$A$2:$A$501,0),MATCH(O$2,'Réel 2023'!$A$2:$AO$2,0))</f>
        <v>4</v>
      </c>
      <c r="P94" s="184">
        <f t="shared" ref="P94:P96" si="22">IF(O94=0,0,Q94/O94)</f>
        <v>2058.2749999999974</v>
      </c>
      <c r="Q94" s="185">
        <f t="array" ref="Q94">+INDEX('Réel 2023'!$A$2:$AO$501,MATCH($A94,'Réel 2023'!$A$2:$A$501,0),MATCH(Q$2,'Réel 2023'!$A$2:$AO$2,0))</f>
        <v>8233.0999999999894</v>
      </c>
      <c r="R94" s="187">
        <f>J94-O94</f>
        <v>-2</v>
      </c>
      <c r="S94" s="350">
        <f>L94-Q94</f>
        <v>-5500.1499999999924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3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6600</v>
      </c>
      <c r="G95" s="187"/>
      <c r="H95" s="184"/>
      <c r="I95" s="184"/>
      <c r="J95" s="187">
        <f>-SUMIFS(BV_Data_An_Cour!$O:$O,BV_Data_An_Cour!$U:$U,$B95,BV_Data_An_Cour!$V:$V,$C95,BV_Data_An_Cour!$W:$W,J$2)</f>
        <v>2</v>
      </c>
      <c r="K95" s="184">
        <f>IF(J95=0,0,L95/J95)</f>
        <v>1534.6400000000012</v>
      </c>
      <c r="L95" s="478">
        <f>-SUMIFS(BV_Data_An_Cour!$O:$O,BV_Data_An_Cour!$U:$U,$B95,BV_Data_An_Cour!$V:$V,$C95,BV_Data_An_Cour!$W:$W,$L2)</f>
        <v>3069.2800000000025</v>
      </c>
      <c r="M95" s="187">
        <f>J95-D95</f>
        <v>-1</v>
      </c>
      <c r="N95" s="185">
        <f>L95-F95</f>
        <v>-3530.7199999999975</v>
      </c>
      <c r="O95" s="187">
        <f t="array" ref="O95">+INDEX('Réel 2023'!$A$2:$AO$501,MATCH($A95,'Réel 2023'!$A$2:$A$501,0),MATCH(O$2,'Réel 2023'!$A$2:$AO$2,0))</f>
        <v>12</v>
      </c>
      <c r="P95" s="184">
        <f t="shared" si="22"/>
        <v>1574.45</v>
      </c>
      <c r="Q95" s="478">
        <f t="array" ref="Q95">+INDEX('Réel 2023'!$A$2:$AO$501,MATCH($A95,'Réel 2023'!$A$2:$A$501,0),MATCH(Q$2,'Réel 2023'!$A$2:$AO$2,0))</f>
        <v>18893.400000000001</v>
      </c>
      <c r="R95" s="187">
        <f>J95-O95</f>
        <v>-10</v>
      </c>
      <c r="S95" s="350">
        <f>L95-Q95</f>
        <v>-15824.119999999999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6" t="s">
        <v>2815</v>
      </c>
      <c r="D96" s="184">
        <f>+INDEX('Budget original'!$A$2:$AO$501,MATCH($A96,'Budget original'!$A$2:$A$501,0),MATCH(D$2,'Budget original'!$A$2:$AO$2,0))</f>
        <v>6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11100</v>
      </c>
      <c r="G96" s="187"/>
      <c r="H96" s="184"/>
      <c r="I96" s="184"/>
      <c r="J96" s="187">
        <f>-SUMIFS(BV_Data_An_Cour!$O:$O,BV_Data_An_Cour!$U:$U,$B96,BV_Data_An_Cour!$V:$V,$C96,BV_Data_An_Cour!$W:$W,J$2)</f>
        <v>3</v>
      </c>
      <c r="K96" s="184">
        <f>IF(J96=0,0,L96/J96)</f>
        <v>419.06999999999726</v>
      </c>
      <c r="L96" s="478">
        <f>-SUMIFS(BV_Data_An_Cour!$O:$O,BV_Data_An_Cour!$U:$U,$B96,BV_Data_An_Cour!$V:$V,$C96,BV_Data_An_Cour!$W:$W,$L2)</f>
        <v>1257.2099999999919</v>
      </c>
      <c r="M96" s="187">
        <f>J96-D96</f>
        <v>-3</v>
      </c>
      <c r="N96" s="185">
        <f>L96-F96</f>
        <v>-9842.7900000000081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3</v>
      </c>
      <c r="S96" s="350">
        <f>L96-Q96</f>
        <v>1257.2099999999919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14</v>
      </c>
      <c r="E97" s="184">
        <f t="shared" si="23"/>
        <v>2335.7142857142858</v>
      </c>
      <c r="F97" s="352">
        <f>+F94+F95+F96</f>
        <v>32700</v>
      </c>
      <c r="G97" s="353"/>
      <c r="H97" s="351"/>
      <c r="I97" s="352"/>
      <c r="J97" s="353">
        <f>+J94+J95+J96</f>
        <v>7</v>
      </c>
      <c r="K97" s="351">
        <f>IF(J97&lt;=0,0,L97/J97)</f>
        <v>1008.4914285714274</v>
      </c>
      <c r="L97" s="352">
        <f>+L94+L95+L96</f>
        <v>7059.4399999999914</v>
      </c>
      <c r="M97" s="353">
        <f>J97-D97</f>
        <v>-7</v>
      </c>
      <c r="N97" s="352">
        <f>L97-F97</f>
        <v>-25640.560000000009</v>
      </c>
      <c r="O97" s="353">
        <f>+O95+O94+O96</f>
        <v>16</v>
      </c>
      <c r="P97" s="351">
        <f>IF(O97=0,0,Q97/O97)</f>
        <v>1695.4062499999995</v>
      </c>
      <c r="Q97" s="352">
        <f>+Q94+Q95+Q96</f>
        <v>27126.499999999993</v>
      </c>
      <c r="R97" s="353">
        <f>R94+R95</f>
        <v>-12</v>
      </c>
      <c r="S97" s="354">
        <f>S94+S95</f>
        <v>-21324.26999999999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-0.5</v>
      </c>
      <c r="N98" s="239">
        <f>N97/F97</f>
        <v>-0.78411498470948038</v>
      </c>
      <c r="O98" s="228"/>
      <c r="P98" s="183"/>
      <c r="Q98" s="270"/>
      <c r="R98" s="240">
        <f>R97/O97</f>
        <v>-0.75</v>
      </c>
      <c r="S98" s="267">
        <f>IF(Q97=0,0,(S97/Q97))</f>
        <v>-0.78610473153558313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15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5625</v>
      </c>
      <c r="G100" s="187"/>
      <c r="H100" s="184"/>
      <c r="I100" s="184"/>
      <c r="J100" s="187">
        <f>-SUMIFS(BV_Data_An_Cour!$O:$O,BV_Data_An_Cour!$U:$U,$B100,BV_Data_An_Cour!$V:$V,$C100,BV_Data_An_Cour!$W:$W,J$2)</f>
        <v>20</v>
      </c>
      <c r="K100" s="184">
        <f>IF(J100=0,0,L100/J100)</f>
        <v>1233.664</v>
      </c>
      <c r="L100" s="185">
        <f>-SUMIFS(BV_Data_An_Cour!$O:$O,BV_Data_An_Cour!$U:$U,$B100,BV_Data_An_Cour!$V:$V,$C100,BV_Data_An_Cour!$W:$W,L$2)</f>
        <v>24673.279999999999</v>
      </c>
      <c r="M100" s="187">
        <f>J100-D100</f>
        <v>5</v>
      </c>
      <c r="N100" s="185">
        <f>L100-F100</f>
        <v>19048.28</v>
      </c>
      <c r="O100" s="187">
        <f t="array" ref="O100">+INDEX('Réel 2023'!$A$2:$AO$501,MATCH($A100,'Réel 2023'!$A$2:$A$501,0),MATCH(O$2,'Réel 2023'!$A$2:$AO$2,0))</f>
        <v>17</v>
      </c>
      <c r="P100" s="184">
        <f>IF(O100=0,0,Q100/O100)</f>
        <v>-234.15823529411236</v>
      </c>
      <c r="Q100" s="185">
        <f t="array" ref="Q100">+INDEX('Réel 2023'!$A$2:$AO$501,MATCH($A100,'Réel 2023'!$A$2:$A$501,0),MATCH(Q$2,'Réel 2023'!$A$2:$AO$2,0))</f>
        <v>-3980.68999999991</v>
      </c>
      <c r="R100" s="187">
        <f>J100-O100</f>
        <v>3</v>
      </c>
      <c r="S100" s="350">
        <f>L100-Q100</f>
        <v>28653.96999999991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8400</v>
      </c>
      <c r="G102" s="187"/>
      <c r="H102" s="184"/>
      <c r="I102" s="184"/>
      <c r="J102" s="187"/>
      <c r="K102" s="184">
        <f>IF(J97=0,0,L102/J97)</f>
        <v>203.58714285714288</v>
      </c>
      <c r="L102" s="185">
        <f>-SUMIFS(BV_Data_An_Cour!$O:$O,BV_Data_An_Cour!$U:$U,$B102,BV_Data_An_Cour!$V:$V,$C102,BV_Data_An_Cour!$W:$W,$L2)</f>
        <v>1425.1100000000001</v>
      </c>
      <c r="M102" s="187"/>
      <c r="N102" s="185">
        <f>L102-F102</f>
        <v>-6974.8899999999994</v>
      </c>
      <c r="O102" s="187"/>
      <c r="P102" s="184"/>
      <c r="Q102" s="185">
        <f t="array" ref="Q102">+INDEX('Réel 2023'!$A$2:$AO$501,MATCH($A102,'Réel 2023'!$A$2:$A$501,0),MATCH(Q$2,'Réel 2023'!$A$2:$AO$2,0))</f>
        <v>6694.6299999999901</v>
      </c>
      <c r="R102" s="187">
        <f>O102-K102</f>
        <v>-203.58714285714288</v>
      </c>
      <c r="S102" s="350">
        <f>L102-Q102</f>
        <v>-5269.5199999999895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12320</v>
      </c>
      <c r="G103" s="187"/>
      <c r="H103" s="184"/>
      <c r="I103" s="184"/>
      <c r="J103" s="187"/>
      <c r="K103" s="184">
        <f>IF(J97=0,0,L103/J97)</f>
        <v>1359.7142857142858</v>
      </c>
      <c r="L103" s="185">
        <f>-SUMIFS(BV_Data_An_Cour!$O:$O,BV_Data_An_Cour!$U:$U,$B103,BV_Data_An_Cour!$V:$V,$C103,BV_Data_An_Cour!$W:$W,$L2)</f>
        <v>9518</v>
      </c>
      <c r="M103" s="187"/>
      <c r="N103" s="185">
        <f>L103-F103</f>
        <v>-2802</v>
      </c>
      <c r="O103" s="187"/>
      <c r="P103" s="184"/>
      <c r="Q103" s="185">
        <f t="array" ref="Q103">+INDEX('Réel 2023'!$A$2:$AO$501,MATCH($A103,'Réel 2023'!$A$2:$A$501,0),MATCH(Q$2,'Réel 2023'!$A$2:$AO$2,0))</f>
        <v>7220</v>
      </c>
      <c r="R103" s="187">
        <f>O103-K103</f>
        <v>-1359.7142857142858</v>
      </c>
      <c r="S103" s="350">
        <f>L103-Q103</f>
        <v>2298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2380</v>
      </c>
      <c r="G104" s="187"/>
      <c r="H104" s="357"/>
      <c r="I104" s="184"/>
      <c r="J104" s="187"/>
      <c r="K104" s="357">
        <f>IF(J97=0,0,L104/J97)</f>
        <v>235</v>
      </c>
      <c r="L104" s="185">
        <f>-SUMIFS(BV_Data_An_Cour!$O:$O,BV_Data_An_Cour!$U:$U,$B104,BV_Data_An_Cour!$V:$V,$C104,BV_Data_An_Cour!$W:$W,$L$2)</f>
        <v>1645</v>
      </c>
      <c r="M104" s="356"/>
      <c r="N104" s="185">
        <f>L104-F104</f>
        <v>-735</v>
      </c>
      <c r="O104" s="187"/>
      <c r="P104" s="357"/>
      <c r="Q104" s="185">
        <f t="array" ref="Q104">+INDEX('Réel 2023'!$A$2:$AO$501,MATCH($A104,'Réel 2023'!$A$2:$A$501,0),MATCH(Q$2,'Réel 2023'!$A$2:$AO$2,0))</f>
        <v>1645</v>
      </c>
      <c r="R104" s="187">
        <f>O104-K104</f>
        <v>-235</v>
      </c>
      <c r="S104" s="350">
        <f>L104-Q104</f>
        <v>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14</v>
      </c>
      <c r="E105" s="184">
        <f t="shared" si="23"/>
        <v>1650</v>
      </c>
      <c r="F105" s="352">
        <f>F102+F103+F104</f>
        <v>23100</v>
      </c>
      <c r="G105" s="353"/>
      <c r="H105" s="351"/>
      <c r="I105" s="352"/>
      <c r="J105" s="353">
        <f>J97</f>
        <v>7</v>
      </c>
      <c r="K105" s="351">
        <f>IF(J105&lt;=0,0,L105/J105)</f>
        <v>1798.3014285714287</v>
      </c>
      <c r="L105" s="352">
        <f>L102+L103+L104</f>
        <v>12588.11</v>
      </c>
      <c r="M105" s="187">
        <f>J105-D105</f>
        <v>-7</v>
      </c>
      <c r="N105" s="352">
        <f>L105-F105</f>
        <v>-10511.89</v>
      </c>
      <c r="O105" s="353">
        <f>O97</f>
        <v>16</v>
      </c>
      <c r="P105" s="351">
        <f t="shared" ref="P105" si="25">IF(O105=0,0,Q105/O105)</f>
        <v>972.47687499999938</v>
      </c>
      <c r="Q105" s="352">
        <f>Q102+Q103+Q104</f>
        <v>15559.62999999999</v>
      </c>
      <c r="R105" s="361"/>
      <c r="S105" s="354">
        <f>L105-Q105</f>
        <v>-2971.5199999999895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-0.45506017316017311</v>
      </c>
      <c r="O106" s="228"/>
      <c r="P106" s="183"/>
      <c r="Q106" s="230"/>
      <c r="R106" s="229"/>
      <c r="S106" s="267">
        <f>IF(Q105=0,0,(S105/Q105))</f>
        <v>-0.19097626357439035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29</v>
      </c>
      <c r="E108" s="30">
        <f>IF(D108&lt;=0,0,F108/D108)</f>
        <v>2118.1034482758619</v>
      </c>
      <c r="F108" s="28">
        <f>F97+F105+F100</f>
        <v>61425</v>
      </c>
      <c r="G108" s="29"/>
      <c r="H108" s="30"/>
      <c r="I108" s="28"/>
      <c r="J108" s="29">
        <f>J97+J100</f>
        <v>27</v>
      </c>
      <c r="K108" s="30">
        <f>IF(J108&lt;=0,0,L108/J108)</f>
        <v>1641.5122222222217</v>
      </c>
      <c r="L108" s="28">
        <f>L97+L105+L100</f>
        <v>44320.829999999987</v>
      </c>
      <c r="M108" s="29">
        <f>J108-D108</f>
        <v>-2</v>
      </c>
      <c r="N108" s="28">
        <f>L108-F108</f>
        <v>-17104.170000000013</v>
      </c>
      <c r="O108" s="29">
        <f>O97+O100</f>
        <v>33</v>
      </c>
      <c r="P108" s="30">
        <f>IF(O108&lt;=0,0,Q108/O108)</f>
        <v>1172.8921212121236</v>
      </c>
      <c r="Q108" s="28">
        <f>Q97+Q105+Q100</f>
        <v>38705.440000000075</v>
      </c>
      <c r="R108" s="29">
        <f>J108-O108</f>
        <v>-6</v>
      </c>
      <c r="S108" s="326">
        <f>L108-Q108</f>
        <v>5615.3899999999121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-6.8965517241379309E-2</v>
      </c>
      <c r="N109" s="34">
        <f>N108/F108</f>
        <v>-0.27845616605616624</v>
      </c>
      <c r="O109" s="31"/>
      <c r="P109" s="328"/>
      <c r="Q109" s="32"/>
      <c r="R109" s="33">
        <f>O108/R108</f>
        <v>-5.5</v>
      </c>
      <c r="S109" s="362">
        <f>IF(Q108=0,0,(S108/Q108))</f>
        <v>0.14508012310413992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0.20194943774111468</v>
      </c>
      <c r="E112" s="200">
        <f t="shared" ref="E112:E121" si="26">F112/D$97</f>
        <v>804.91275899672848</v>
      </c>
      <c r="F112" s="184">
        <f>+INDEX('Budget original'!$A$2:$AO$501,MATCH($A112,'Budget original'!$A$2:$A$501,0),MATCH(F$2,'Budget original'!$A$2:$AO$2,0))</f>
        <v>11268.778625954199</v>
      </c>
      <c r="G112" s="298"/>
      <c r="H112" s="200"/>
      <c r="I112" s="184"/>
      <c r="J112" s="298">
        <f>L112/L97</f>
        <v>0.82817333952834882</v>
      </c>
      <c r="K112" s="200">
        <f>IF($J$97=0,0,L112/(J$94+J$95+J96))</f>
        <v>835.20571428571418</v>
      </c>
      <c r="L112" s="185">
        <f>SUMIFS(BV_Data_An_Cour!$O:$O,BV_Data_An_Cour!$U:$U,$B112,BV_Data_An_Cour!$V:$V,$C112,BV_Data_An_Cour!$W:$W,$L$2)</f>
        <v>5846.44</v>
      </c>
      <c r="M112" s="228"/>
      <c r="N112" s="230">
        <f t="shared" ref="N112:N153" si="27">L112-F112</f>
        <v>-5422.3386259541994</v>
      </c>
      <c r="O112" s="298">
        <f>Q112/Q97</f>
        <v>0.39248557683446089</v>
      </c>
      <c r="P112" s="200">
        <f t="shared" ref="P112:P121" si="28">Q112/O$97</f>
        <v>665.42250000000001</v>
      </c>
      <c r="Q112" s="185">
        <f t="array" ref="Q112">+INDEX('Réel 2023'!$A$2:$AO$501,MATCH($A112,'Réel 2023'!$A$2:$A$501,0),MATCH(Q$2,'Réel 2023'!$A$2:$AO$2,0))</f>
        <v>10646.76</v>
      </c>
      <c r="R112" s="228"/>
      <c r="S112" s="202">
        <f t="shared" ref="S112:S122" si="29">L112-Q112</f>
        <v>-4800.3200000000006</v>
      </c>
      <c r="T112" s="25"/>
      <c r="U112" s="25"/>
      <c r="V112" s="24" t="s">
        <v>2959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0.21332799166113034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5775</v>
      </c>
      <c r="G113" s="325"/>
      <c r="H113" s="363"/>
      <c r="I113" s="182"/>
      <c r="J113" s="325">
        <f>L113/L105</f>
        <v>0.35196308262320553</v>
      </c>
      <c r="K113" s="363">
        <f>IF($J$97=0,0,L113/(J$94+J$95+J96))</f>
        <v>632.93571428571431</v>
      </c>
      <c r="L113" s="185">
        <f>SUMIFS(BV_Data_An_Cour!$O:$O,BV_Data_An_Cour!$U:$U,$B113,BV_Data_An_Cour!$V:$V,$C113,BV_Data_An_Cour!$W:$W,$L$2)</f>
        <v>4430.55</v>
      </c>
      <c r="M113" s="283"/>
      <c r="N113" s="284">
        <f t="shared" si="27"/>
        <v>-1344.4499999999998</v>
      </c>
      <c r="O113" s="325">
        <f>Q113/(Q105+Q19)</f>
        <v>0.16588222596802121</v>
      </c>
      <c r="P113" s="363">
        <f t="shared" si="28"/>
        <v>223.823125</v>
      </c>
      <c r="Q113" s="185">
        <f t="array" ref="Q113">+INDEX('Réel 2023'!$A$2:$AO$501,MATCH($A113,'Réel 2023'!$A$2:$A$501,0),MATCH(Q$2,'Réel 2023'!$A$2:$AO$2,0))</f>
        <v>3581.17</v>
      </c>
      <c r="R113" s="283"/>
      <c r="S113" s="205">
        <f t="shared" si="29"/>
        <v>849.38000000000011</v>
      </c>
      <c r="T113" s="25"/>
      <c r="U113" s="25"/>
      <c r="V113" s="24" t="s">
        <v>2960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1540</v>
      </c>
      <c r="G114" s="274"/>
      <c r="H114" s="200"/>
      <c r="I114" s="184"/>
      <c r="J114" s="228"/>
      <c r="K114" s="200">
        <f>IF($J$97=0,0,L114/(J$94+J$95+J96))</f>
        <v>218.22285714285712</v>
      </c>
      <c r="L114" s="186">
        <f>SUMIFS(BV_Data_An_Cour!$O:$O,BV_Data_An_Cour!$U:$U,$B114,BV_Data_An_Cour!$V:$V,$C114,BV_Data_An_Cour!$W:$W,$L$2)</f>
        <v>1527.56</v>
      </c>
      <c r="M114" s="228"/>
      <c r="N114" s="230">
        <f t="shared" si="27"/>
        <v>-12.440000000000055</v>
      </c>
      <c r="O114" s="228"/>
      <c r="P114" s="200">
        <f t="shared" si="28"/>
        <v>132.31125</v>
      </c>
      <c r="Q114" s="186">
        <f t="array" ref="Q114">+INDEX('Réel 2023'!$A$2:$AO$501,MATCH($A114,'Réel 2023'!$A$2:$A$501,0),MATCH(Q$2,'Réel 2023'!$A$2:$AO$2,0))</f>
        <v>2116.98</v>
      </c>
      <c r="R114" s="228"/>
      <c r="S114" s="202">
        <f t="shared" si="29"/>
        <v>-589.42000000000007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1260</v>
      </c>
      <c r="G115" s="274"/>
      <c r="H115" s="200"/>
      <c r="I115" s="184"/>
      <c r="J115" s="228"/>
      <c r="K115" s="200">
        <f>IF($J$97=0,0,L115/(J$94+J$95+J96))</f>
        <v>305.24714285714288</v>
      </c>
      <c r="L115" s="185">
        <f>SUMIFS(BV_Data_An_Cour!$O:$O,BV_Data_An_Cour!$U:$U,$B115,BV_Data_An_Cour!$V:$V,$C115,BV_Data_An_Cour!$W:$W,$L$2)</f>
        <v>2136.73</v>
      </c>
      <c r="M115" s="228"/>
      <c r="N115" s="230">
        <f t="shared" si="27"/>
        <v>876.73</v>
      </c>
      <c r="O115" s="228"/>
      <c r="P115" s="200">
        <f t="shared" si="28"/>
        <v>28.936875000000001</v>
      </c>
      <c r="Q115" s="185">
        <f t="array" ref="Q115">+INDEX('Réel 2023'!$A$2:$AO$501,MATCH($A115,'Réel 2023'!$A$2:$A$501,0),MATCH(Q$2,'Réel 2023'!$A$2:$AO$2,0))</f>
        <v>462.99</v>
      </c>
      <c r="R115" s="228"/>
      <c r="S115" s="202">
        <f t="shared" si="29"/>
        <v>1673.74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139.28571428571428</v>
      </c>
      <c r="F116" s="182">
        <f>+INDEX('Budget original'!$A$2:$AO$501,MATCH($A116,'Budget original'!$A$2:$A$501,0),MATCH(F$2,'Budget original'!$A$2:$AO$2,0))</f>
        <v>1950</v>
      </c>
      <c r="G116" s="282"/>
      <c r="H116" s="363"/>
      <c r="I116" s="182"/>
      <c r="J116" s="283"/>
      <c r="K116" s="363">
        <f>IF($J$97=0,0,L116/(J$94+J$95+J96))</f>
        <v>259.76714285714286</v>
      </c>
      <c r="L116" s="355">
        <f>SUMIFS(BV_Data_An_Cour!$O:$O,BV_Data_An_Cour!$U:$U,$B116,BV_Data_An_Cour!$V:$V,$C116,BV_Data_An_Cour!$W:$W,$L$2)</f>
        <v>1818.37</v>
      </c>
      <c r="M116" s="283"/>
      <c r="N116" s="284">
        <f t="shared" si="27"/>
        <v>-131.63000000000011</v>
      </c>
      <c r="O116" s="283"/>
      <c r="P116" s="363">
        <f t="shared" si="28"/>
        <v>113.72375</v>
      </c>
      <c r="Q116" s="355">
        <f t="array" ref="Q116">+INDEX('Réel 2023'!$A$2:$AO$501,MATCH($A116,'Réel 2023'!$A$2:$A$501,0),MATCH(Q$2,'Réel 2023'!$A$2:$AO$2,0))</f>
        <v>1819.58</v>
      </c>
      <c r="R116" s="283"/>
      <c r="S116" s="205">
        <f t="shared" si="29"/>
        <v>-1.2100000000000364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502.57738095238102</v>
      </c>
      <c r="F117" s="184">
        <f>+INDEX('Budget original'!$A$2:$AO$501,MATCH($A117,'Budget original'!$A$2:$A$501,0),MATCH(F$2,'Budget original'!$A$2:$AO$2,0))</f>
        <v>7036.0833333333339</v>
      </c>
      <c r="G117" s="274"/>
      <c r="H117" s="200"/>
      <c r="I117" s="184"/>
      <c r="J117" s="228"/>
      <c r="K117" s="200">
        <f>IF($J$97=0,0,L117/(J$94+J$95+J96))</f>
        <v>1101.4585714285713</v>
      </c>
      <c r="L117" s="185">
        <f>SUMIFS(BV_Data_An_Cour!$O:$O,BV_Data_An_Cour!$U:$U,$B117,BV_Data_An_Cour!$V:$V,$C117,BV_Data_An_Cour!$W:$W,$L$2)</f>
        <v>7710.2099999999991</v>
      </c>
      <c r="M117" s="228"/>
      <c r="N117" s="230">
        <f t="shared" si="27"/>
        <v>674.12666666666519</v>
      </c>
      <c r="O117" s="228"/>
      <c r="P117" s="200">
        <f t="shared" si="28"/>
        <v>397.65125</v>
      </c>
      <c r="Q117" s="185">
        <f t="array" ref="Q117">+INDEX('Réel 2023'!$A$2:$AO$501,MATCH($A117,'Réel 2023'!$A$2:$A$501,0),MATCH(Q$2,'Réel 2023'!$A$2:$AO$2,0))</f>
        <v>6362.42</v>
      </c>
      <c r="R117" s="228"/>
      <c r="S117" s="202">
        <f t="shared" si="29"/>
        <v>1347.7899999999991</v>
      </c>
      <c r="T117" s="25"/>
      <c r="U117" s="25"/>
      <c r="V117" s="25">
        <v>7710</v>
      </c>
      <c r="W117" s="25" t="s">
        <v>2932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507.08767277402774</v>
      </c>
      <c r="F118" s="184">
        <f>+INDEX('Budget original'!$A$2:$AO$501,MATCH($A118,'Budget original'!$A$2:$A$501,0),MATCH(F$2,'Budget original'!$A$2:$AO$2,0))</f>
        <v>7099.2274188363881</v>
      </c>
      <c r="G118" s="274"/>
      <c r="H118" s="200"/>
      <c r="I118" s="184"/>
      <c r="J118" s="228"/>
      <c r="K118" s="200">
        <f>IF($J$97=0,0,L118/(J$94+J$95+J96))</f>
        <v>558.21857142857141</v>
      </c>
      <c r="L118" s="185">
        <f>SUMIFS(BV_Data_An_Cour!$O:$O,BV_Data_An_Cour!$U:$U,$B118,BV_Data_An_Cour!$V:$V,$C118,BV_Data_An_Cour!$W:$W,$L$2)</f>
        <v>3907.53</v>
      </c>
      <c r="M118" s="228"/>
      <c r="N118" s="230">
        <f t="shared" si="27"/>
        <v>-3191.6974188363879</v>
      </c>
      <c r="O118" s="228"/>
      <c r="P118" s="200">
        <f t="shared" si="28"/>
        <v>450.88875000000002</v>
      </c>
      <c r="Q118" s="185">
        <f t="array" ref="Q118">+INDEX('Réel 2023'!$A$2:$AO$501,MATCH($A118,'Réel 2023'!$A$2:$A$501,0),MATCH(Q$2,'Réel 2023'!$A$2:$AO$2,0))</f>
        <v>7214.22</v>
      </c>
      <c r="R118" s="228"/>
      <c r="S118" s="202">
        <f>L118-Q118</f>
        <v>-3306.69</v>
      </c>
      <c r="T118" s="25"/>
      <c r="U118" s="25"/>
      <c r="V118" s="25">
        <v>3908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0.58492616000201747</v>
      </c>
      <c r="F122" s="41">
        <f>SUM(F112:F121)</f>
        <v>35929.089378123921</v>
      </c>
      <c r="G122" s="42"/>
      <c r="H122" s="40"/>
      <c r="I122" s="41"/>
      <c r="J122" s="42" t="s">
        <v>108</v>
      </c>
      <c r="K122" s="40">
        <f>L122/L$108</f>
        <v>0.6177093253894389</v>
      </c>
      <c r="L122" s="41">
        <f>SUM(L112:L121)</f>
        <v>27377.389999999996</v>
      </c>
      <c r="M122" s="44"/>
      <c r="N122" s="41">
        <f t="shared" si="27"/>
        <v>-8551.6993781239253</v>
      </c>
      <c r="O122" s="42" t="s">
        <v>108</v>
      </c>
      <c r="P122" s="40">
        <f>Q122/Q$108</f>
        <v>0.83203084630997448</v>
      </c>
      <c r="Q122" s="41">
        <f>SUM(Q112:Q121)</f>
        <v>32204.120000000003</v>
      </c>
      <c r="R122" s="44"/>
      <c r="S122" s="290">
        <f t="shared" si="29"/>
        <v>-4826.7300000000068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4919.7081424936387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4843.63</v>
      </c>
      <c r="M123" s="228"/>
      <c r="N123" s="230">
        <f t="shared" si="27"/>
        <v>-76.078142493638552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3426.53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2625.1595419847326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3812.17</v>
      </c>
      <c r="M124" s="228"/>
      <c r="N124" s="230">
        <f t="shared" si="27"/>
        <v>1187.0104580152674</v>
      </c>
      <c r="O124" s="228"/>
      <c r="P124" s="183"/>
      <c r="Q124" s="182">
        <f t="array" ref="Q124">+INDEX('Réel 2023'!$A$2:$AO$501,MATCH($A124,'Réel 2023'!$A$2:$A$501,0),MATCH(Q$2,'Réel 2023'!$A$2:$AO$2,0))</f>
        <v>4217.0600000000004</v>
      </c>
      <c r="R124" s="228"/>
      <c r="S124" s="202">
        <f t="shared" si="31"/>
        <v>-404.89000000000033</v>
      </c>
      <c r="T124" s="183"/>
      <c r="U124" s="183"/>
      <c r="V124" s="183" t="s">
        <v>2962</v>
      </c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2725.8478348317349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2451.91</v>
      </c>
      <c r="M130" s="228"/>
      <c r="N130" s="230">
        <f t="shared" si="27"/>
        <v>-273.93783483173502</v>
      </c>
      <c r="O130" s="228"/>
      <c r="P130" s="183"/>
      <c r="Q130" s="185">
        <f t="array" ref="Q130">+INDEX('Réel 2023'!$A$2:$AO$501,MATCH($A130,'Réel 2023'!$A$2:$A$501,0),MATCH(Q$2,'Réel 2023'!$A$2:$AO$2,0))</f>
        <v>3347.69</v>
      </c>
      <c r="R130" s="228"/>
      <c r="S130" s="202">
        <f>L130-Q130</f>
        <v>-895.7800000000002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3780.2950583333331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2303.4</v>
      </c>
      <c r="M131" s="278"/>
      <c r="N131" s="279">
        <f t="shared" si="27"/>
        <v>-1476.8950583333331</v>
      </c>
      <c r="O131" s="278"/>
      <c r="P131" s="276"/>
      <c r="Q131" s="379">
        <f t="array" ref="Q131">+INDEX('Réel 2023'!$A$2:$AO$501,MATCH($A131,'Réel 2023'!$A$2:$A$501,0),MATCH(Q$2,'Réel 2023'!$A$2:$AO$2,0))</f>
        <v>3008.47</v>
      </c>
      <c r="R131" s="278"/>
      <c r="S131" s="204">
        <f t="shared" si="31"/>
        <v>-705.06999999999971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1789.1472795165391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1663.16</v>
      </c>
      <c r="M132" s="228"/>
      <c r="N132" s="230">
        <f t="shared" si="27"/>
        <v>-125.98727951653905</v>
      </c>
      <c r="O132" s="228"/>
      <c r="P132" s="183"/>
      <c r="Q132" s="185">
        <f t="array" ref="Q132">+INDEX('Réel 2023'!$A$2:$AO$501,MATCH($A132,'Réel 2023'!$A$2:$A$501,0),MATCH(Q$2,'Réel 2023'!$A$2:$AO$2,0))</f>
        <v>2169.0300000000002</v>
      </c>
      <c r="R132" s="228"/>
      <c r="S132" s="202">
        <f t="shared" si="31"/>
        <v>-505.87000000000012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404.00099860050886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66.73</v>
      </c>
      <c r="M133" s="228"/>
      <c r="N133" s="230">
        <f t="shared" si="27"/>
        <v>-337.27099860050885</v>
      </c>
      <c r="O133" s="228"/>
      <c r="P133" s="183"/>
      <c r="Q133" s="185">
        <f t="array" ref="Q133">+INDEX('Réel 2023'!$A$2:$AO$501,MATCH($A133,'Réel 2023'!$A$2:$A$501,0),MATCH(Q$2,'Réel 2023'!$A$2:$AO$2,0))</f>
        <v>69.27</v>
      </c>
      <c r="R133" s="228"/>
      <c r="S133" s="202">
        <f t="shared" si="31"/>
        <v>-2.539999999999992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0.31018573635751712</v>
      </c>
      <c r="F135" s="41">
        <f>+SUM(F123:F134)</f>
        <v>19053.158855760488</v>
      </c>
      <c r="G135" s="42"/>
      <c r="H135" s="40"/>
      <c r="I135" s="41"/>
      <c r="J135" s="42" t="s">
        <v>108</v>
      </c>
      <c r="K135" s="40">
        <f>L135/L$108</f>
        <v>0.40500144063186555</v>
      </c>
      <c r="L135" s="41">
        <f>SUM(L123:L134)</f>
        <v>17950</v>
      </c>
      <c r="M135" s="1048"/>
      <c r="N135" s="1049">
        <f t="shared" si="27"/>
        <v>-1103.1588557604882</v>
      </c>
      <c r="O135" s="42" t="s">
        <v>108</v>
      </c>
      <c r="P135" s="40">
        <f>Q135/Q$108</f>
        <v>0.44018670243769265</v>
      </c>
      <c r="Q135" s="41">
        <f>+SUM(Q123:Q134)</f>
        <v>17037.62</v>
      </c>
      <c r="R135" s="43"/>
      <c r="S135" s="286">
        <f t="shared" ref="S135:S148" si="32">L135-Q135</f>
        <v>912.38000000000102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1118.01</v>
      </c>
      <c r="M138" s="283"/>
      <c r="N138" s="284">
        <f t="shared" si="27"/>
        <v>260.17666666666673</v>
      </c>
      <c r="O138" s="283"/>
      <c r="P138" s="281"/>
      <c r="Q138" s="182">
        <f t="array" ref="Q138">+INDEX('Réel 2023'!$A$2:$AO$501,MATCH($A138,'Réel 2023'!$A$2:$A$501,0),MATCH(Q$2,'Réel 2023'!$A$2:$AO$2,0))</f>
        <v>580.11</v>
      </c>
      <c r="R138" s="283"/>
      <c r="S138" s="205">
        <f t="shared" si="32"/>
        <v>537.9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1497.55</v>
      </c>
      <c r="M139" s="228"/>
      <c r="N139" s="230">
        <f t="shared" si="27"/>
        <v>77.649999999999864</v>
      </c>
      <c r="O139" s="228"/>
      <c r="P139" s="183"/>
      <c r="Q139" s="185">
        <f t="array" ref="Q139">+INDEX('Réel 2023'!$A$2:$AO$501,MATCH($A139,'Réel 2023'!$A$2:$A$501,0),MATCH(Q$2,'Réel 2023'!$A$2:$AO$2,0))</f>
        <v>1324.95</v>
      </c>
      <c r="R139" s="228"/>
      <c r="S139" s="202">
        <f t="shared" si="32"/>
        <v>172.59999999999991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70.63</v>
      </c>
      <c r="M140" s="228"/>
      <c r="N140" s="230">
        <f t="shared" si="27"/>
        <v>-112.17000000000002</v>
      </c>
      <c r="O140" s="228"/>
      <c r="P140" s="183"/>
      <c r="Q140" s="185">
        <f t="array" ref="Q140">+INDEX('Réel 2023'!$A$2:$AO$501,MATCH($A140,'Réel 2023'!$A$2:$A$501,0),MATCH(Q$2,'Réel 2023'!$A$2:$AO$2,0))</f>
        <v>-76.5</v>
      </c>
      <c r="R140" s="228"/>
      <c r="S140" s="202">
        <f t="shared" si="32"/>
        <v>147.13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848.97</v>
      </c>
      <c r="M141" s="283"/>
      <c r="N141" s="284">
        <f t="shared" si="27"/>
        <v>236.87</v>
      </c>
      <c r="O141" s="283"/>
      <c r="P141" s="281"/>
      <c r="Q141" s="182">
        <f t="array" ref="Q141">+INDEX('Réel 2023'!$A$2:$AO$501,MATCH($A141,'Réel 2023'!$A$2:$A$501,0),MATCH(Q$2,'Réel 2023'!$A$2:$AO$2,0))</f>
        <v>736.7</v>
      </c>
      <c r="R141" s="283"/>
      <c r="S141" s="205">
        <f t="shared" si="32"/>
        <v>112.26999999999998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30.882352941176471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2.4</v>
      </c>
      <c r="M142" s="228"/>
      <c r="N142" s="230">
        <f t="shared" si="27"/>
        <v>-28.482352941176472</v>
      </c>
      <c r="O142" s="228"/>
      <c r="P142" s="183"/>
      <c r="Q142" s="185">
        <f t="array" ref="Q142">+INDEX('Réel 2023'!$A$2:$AO$501,MATCH($A142,'Réel 2023'!$A$2:$A$501,0),MATCH(Q$2,'Réel 2023'!$A$2:$AO$2,0))</f>
        <v>20.13</v>
      </c>
      <c r="R142" s="228"/>
      <c r="S142" s="202">
        <f t="shared" si="32"/>
        <v>-17.73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306.95999999999998</v>
      </c>
      <c r="M144" s="228"/>
      <c r="N144" s="230">
        <f t="shared" si="27"/>
        <v>131.95999999999998</v>
      </c>
      <c r="O144" s="228"/>
      <c r="P144" s="183"/>
      <c r="Q144" s="478">
        <f t="array" ref="Q144">+INDEX('Réel 2023'!$A$2:$AO$501,MATCH($A144,'Réel 2023'!$A$2:$A$501,0),MATCH(Q$2,'Réel 2023'!$A$2:$AO$2,0))</f>
        <v>160.91999999999999</v>
      </c>
      <c r="R144" s="228"/>
      <c r="S144" s="202">
        <f t="shared" si="32"/>
        <v>146.04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118.1</v>
      </c>
      <c r="M145" s="228"/>
      <c r="N145" s="230">
        <f t="shared" si="27"/>
        <v>54.899999999999991</v>
      </c>
      <c r="O145" s="228"/>
      <c r="P145" s="183"/>
      <c r="Q145" s="185">
        <f t="array" ref="Q145">+INDEX('Réel 2023'!$A$2:$AO$501,MATCH($A145,'Réel 2023'!$A$2:$A$501,0),MATCH(Q$2,'Réel 2023'!$A$2:$AO$2,0))</f>
        <v>75.459999999999994</v>
      </c>
      <c r="R145" s="228"/>
      <c r="S145" s="202">
        <f t="shared" si="32"/>
        <v>42.64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198.33</v>
      </c>
      <c r="M146" s="228"/>
      <c r="N146" s="230">
        <f t="shared" si="27"/>
        <v>148.33000000000001</v>
      </c>
      <c r="O146" s="228"/>
      <c r="P146" s="183"/>
      <c r="Q146" s="185">
        <f t="array" ref="Q146">+INDEX('Réel 2023'!$A$2:$AO$501,MATCH($A146,'Réel 2023'!$A$2:$A$501,0),MATCH(Q$2,'Réel 2023'!$A$2:$AO$2,0))</f>
        <v>75.92</v>
      </c>
      <c r="R146" s="228"/>
      <c r="S146" s="202">
        <f t="shared" si="32"/>
        <v>122.41000000000001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164.4</v>
      </c>
      <c r="M147" s="228"/>
      <c r="N147" s="230">
        <f t="shared" si="27"/>
        <v>-21.400000000000006</v>
      </c>
      <c r="O147" s="228"/>
      <c r="P147" s="183"/>
      <c r="Q147" s="185">
        <f t="array" ref="Q147">+INDEX('Réel 2023'!$A$2:$AO$501,MATCH($A147,'Réel 2023'!$A$2:$A$501,0),MATCH(Q$2,'Réel 2023'!$A$2:$AO$2,0))</f>
        <v>167.1</v>
      </c>
      <c r="R147" s="228"/>
      <c r="S147" s="202">
        <f t="shared" si="32"/>
        <v>-2.6999999999999886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-26.49</v>
      </c>
      <c r="M148" s="228"/>
      <c r="N148" s="230">
        <f t="shared" si="27"/>
        <v>-163.73010666666664</v>
      </c>
      <c r="O148" s="228"/>
      <c r="P148" s="183"/>
      <c r="Q148" s="185">
        <f t="array" ref="Q148">+INDEX('Réel 2023'!$A$2:$AO$501,MATCH($A148,'Réel 2023'!$A$2:$A$501,0),MATCH(Q$2,'Réel 2023'!$A$2:$AO$2,0))</f>
        <v>128.37</v>
      </c>
      <c r="R148" s="228"/>
      <c r="S148" s="202">
        <f t="shared" si="32"/>
        <v>-154.86000000000001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539.66953788307808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1064.24</v>
      </c>
      <c r="M149" s="228"/>
      <c r="N149" s="230">
        <f t="shared" si="27"/>
        <v>524.57046211692193</v>
      </c>
      <c r="O149" s="228"/>
      <c r="P149" s="183"/>
      <c r="Q149" s="185">
        <f t="array" ref="Q149">+INDEX('Réel 2023'!$A$2:$AO$501,MATCH($A149,'Réel 2023'!$A$2:$A$501,0),MATCH(Q$2,'Réel 2023'!$A$2:$AO$2,0))</f>
        <v>779.88</v>
      </c>
      <c r="R149" s="228"/>
      <c r="S149" s="202">
        <f>L149-Q149</f>
        <v>284.36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6.9343513729332604E-2</v>
      </c>
      <c r="F153" s="41">
        <f>+SUM(F136:F152)</f>
        <v>4259.4253308242551</v>
      </c>
      <c r="G153" s="42"/>
      <c r="H153" s="40"/>
      <c r="I153" s="41"/>
      <c r="J153" s="42" t="s">
        <v>108</v>
      </c>
      <c r="K153" s="40">
        <f>L153/L$108</f>
        <v>0.12100630786923443</v>
      </c>
      <c r="L153" s="41">
        <f>+SUM(L136:L152)</f>
        <v>5363.0999999999995</v>
      </c>
      <c r="M153" s="44"/>
      <c r="N153" s="41">
        <f t="shared" si="27"/>
        <v>1103.6746691757444</v>
      </c>
      <c r="O153" s="42" t="s">
        <v>108</v>
      </c>
      <c r="P153" s="40">
        <f>Q153/Q$108</f>
        <v>0.1026481032123648</v>
      </c>
      <c r="Q153" s="41">
        <f>+SUM(Q136:Q152)</f>
        <v>3973.0400000000004</v>
      </c>
      <c r="R153" s="44"/>
      <c r="S153" s="290">
        <f>L153-Q153</f>
        <v>1390.059999999999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0.96445541008886715</v>
      </c>
      <c r="F155" s="41">
        <f>F122+F135+F153</f>
        <v>59241.673564708668</v>
      </c>
      <c r="G155" s="42"/>
      <c r="H155" s="40"/>
      <c r="I155" s="41"/>
      <c r="J155" s="42" t="s">
        <v>108</v>
      </c>
      <c r="K155" s="40">
        <f>L155/L$108</f>
        <v>1.1437170738905389</v>
      </c>
      <c r="L155" s="41">
        <f>L122+L135+L153</f>
        <v>50690.49</v>
      </c>
      <c r="M155" s="44"/>
      <c r="N155" s="46">
        <f t="shared" ref="N155:N162" si="33">L155-F155</f>
        <v>-8551.18356470867</v>
      </c>
      <c r="O155" s="42" t="s">
        <v>108</v>
      </c>
      <c r="P155" s="40">
        <f>Q155/Q$108</f>
        <v>1.374865651960032</v>
      </c>
      <c r="Q155" s="41">
        <f>Q122+Q135+Q153</f>
        <v>53214.780000000006</v>
      </c>
      <c r="R155" s="44"/>
      <c r="S155" s="286">
        <f t="shared" ref="S155:S162" si="34">L155-Q155</f>
        <v>-2524.2900000000081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1875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-1875</v>
      </c>
      <c r="O156" s="366"/>
      <c r="P156" s="365"/>
      <c r="Q156" s="185">
        <f t="array" ref="Q156">+INDEX('Réel 2023'!$A$2:$AO$501,MATCH($A156,'Réel 2023'!$A$2:$A$501,0),MATCH(Q$2,'Réel 2023'!$A$2:$AO$2,0))</f>
        <v>1875</v>
      </c>
      <c r="R156" s="228"/>
      <c r="S156" s="202">
        <f t="shared" si="34"/>
        <v>-1875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1214.7058823529412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-1214.7058823529412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7080.5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4165</v>
      </c>
      <c r="M159" s="228"/>
      <c r="N159" s="230">
        <f t="shared" si="33"/>
        <v>-2915.5</v>
      </c>
      <c r="O159" s="228"/>
      <c r="P159" s="183"/>
      <c r="Q159" s="185">
        <f t="array" ref="Q159">+INDEX('Réel 2023'!$A$2:$AO$501,MATCH($A159,'Réel 2023'!$A$2:$A$501,0),MATCH(Q$2,'Réel 2023'!$A$2:$AO$2,0))</f>
        <v>7735</v>
      </c>
      <c r="R159" s="228"/>
      <c r="S159" s="202">
        <f t="shared" si="34"/>
        <v>-3570</v>
      </c>
      <c r="T159" s="45"/>
      <c r="U159" s="25"/>
      <c r="V159" s="25">
        <f>L159/595</f>
        <v>7</v>
      </c>
      <c r="W159" s="756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10170.205882352941</v>
      </c>
      <c r="G163" s="42"/>
      <c r="H163" s="40"/>
      <c r="I163" s="41"/>
      <c r="J163" s="42"/>
      <c r="K163" s="40"/>
      <c r="L163" s="41">
        <f>+SUM(L156:L162)</f>
        <v>4165</v>
      </c>
      <c r="M163" s="44"/>
      <c r="N163" s="41">
        <f>SUM(N156:N159)</f>
        <v>-6005.2058823529414</v>
      </c>
      <c r="O163" s="42"/>
      <c r="P163" s="40"/>
      <c r="Q163" s="41">
        <f>+SUM(Q156:Q162)</f>
        <v>9610</v>
      </c>
      <c r="R163" s="44"/>
      <c r="S163" s="290">
        <f>+SUM(S156:S162)</f>
        <v>-5445</v>
      </c>
      <c r="T163" s="45"/>
      <c r="U163" s="25"/>
      <c r="V163" s="25"/>
      <c r="W163" s="25" t="s">
        <v>2880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12353.532317644273</v>
      </c>
      <c r="G165" s="312"/>
      <c r="H165" s="310"/>
      <c r="I165" s="311"/>
      <c r="J165" s="313"/>
      <c r="K165" s="314"/>
      <c r="L165" s="311">
        <f>L108-L155+L163</f>
        <v>-2204.6600000000108</v>
      </c>
      <c r="M165" s="313"/>
      <c r="N165" s="311">
        <f>L165-F165</f>
        <v>-14558.192317644283</v>
      </c>
      <c r="O165" s="313"/>
      <c r="P165" s="314"/>
      <c r="Q165" s="311">
        <f>Q108-Q155+Q163</f>
        <v>-4899.339999999931</v>
      </c>
      <c r="R165" s="313"/>
      <c r="S165" s="315">
        <f>L165-Q165</f>
        <v>2694.6799999999203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2444</v>
      </c>
      <c r="N170" s="1202"/>
      <c r="O170" s="1200" t="s">
        <v>79</v>
      </c>
      <c r="P170" s="1201"/>
      <c r="Q170" s="1202"/>
      <c r="R170" s="1203" t="s">
        <v>2448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106868.43520615344</v>
      </c>
      <c r="F172" s="200">
        <f>+INDEX('Budget original'!$A$2:$AO$501,MATCH($A172,'Budget original'!$A$2:$A$501,0),MATCH(F$2,'Budget original'!$A$2:$AO$2,0))</f>
        <v>85067.274424098141</v>
      </c>
      <c r="G172" s="316"/>
      <c r="H172" s="200"/>
      <c r="I172" s="200"/>
      <c r="J172" s="229">
        <f>-SUMIFS(BV_Data_An_Cour!$O:$O,BV_Data_An_Cour!$U:$U,$B172,BV_Data_An_Cour!$V:$V,$C172,BV_Data_An_Cour!$W:$W,J$2)</f>
        <v>334</v>
      </c>
      <c r="K172" s="184">
        <f>-SUMIFS(BV_Data_An_Cour!$O:$O,BV_Data_An_Cour!$X:$X,"Oui",BV_Data_An_Cour!$U:$U,$B172,BV_Data_An_Cour!$V:$V,$C172)</f>
        <v>102245.31</v>
      </c>
      <c r="L172" s="185">
        <f>-SUMIFS(BV_Data_An_Cour!$O:$O,BV_Data_An_Cour!$U:$U,$B172,BV_Data_An_Cour!$V:$V,$C172,BV_Data_An_Cour!$W:$W,$L$2)</f>
        <v>80750.669999999984</v>
      </c>
      <c r="M172" s="298">
        <f>(K172-E172)/E172</f>
        <v>-4.3259969112818535E-2</v>
      </c>
      <c r="N172" s="230">
        <f>L172-F172</f>
        <v>-4316.6044240981573</v>
      </c>
      <c r="O172" s="229">
        <f t="array" ref="O172">+INDEX('Réel 2023'!$A$2:$AO$501,MATCH($A172,'Réel 2023'!$A$2:$A$501,0),MATCH(O$2,'Réel 2023'!$A$2:$AO$2,0))</f>
        <v>360</v>
      </c>
      <c r="P172" s="184">
        <f t="array" ref="P172">+INDEX('Réel 2023'!$A$2:$AO$501,MATCH($A172,'Réel 2023'!$A$2:$A$501,0),MATCH(P$2,'Réel 2023'!$A$2:$AO$2,0))</f>
        <v>94719.13</v>
      </c>
      <c r="Q172" s="185">
        <f t="array" ref="Q172">+INDEX('Réel 2023'!$A$2:$AO$501,MATCH($A172,'Réel 2023'!$A$2:$A$501,0),MATCH(Q$2,'Réel 2023'!$A$2:$AO$2,0))</f>
        <v>76288.39</v>
      </c>
      <c r="R172" s="298">
        <f>IF(O172=0,0,J172/O172)</f>
        <v>0.92777777777777781</v>
      </c>
      <c r="S172" s="202">
        <f>L172-Q172</f>
        <v>4462.2799999999843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0.78977382923480777</v>
      </c>
      <c r="M173" s="298"/>
      <c r="N173" s="230"/>
      <c r="O173" s="229"/>
      <c r="P173" s="183"/>
      <c r="Q173" s="232">
        <f>Q172/P172</f>
        <v>0.80541692053125902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306.12368263473053</v>
      </c>
      <c r="L174" s="323"/>
      <c r="M174" s="325"/>
      <c r="N174" s="284"/>
      <c r="O174" s="307"/>
      <c r="P174" s="502">
        <f>IFERROR(P172/O172,0)</f>
        <v>263.10869444444444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32960.631535414002</v>
      </c>
      <c r="F175" s="200">
        <f>+INDEX('Budget original'!$A$2:$AO$501,MATCH($A175,'Budget original'!$A$2:$A$501,0),MATCH(F$2,'Budget original'!$A$2:$AO$2,0))</f>
        <v>23764.615337033494</v>
      </c>
      <c r="G175" s="319"/>
      <c r="H175" s="200"/>
      <c r="I175" s="200"/>
      <c r="J175" s="319">
        <f>-SUMIFS(BV_Data_An_Cour!$O:$O,BV_Data_An_Cour!$U:$U,$B175,BV_Data_An_Cour!$V:$V,$C175,BV_Data_An_Cour!$W:$W,J$2)</f>
        <v>168</v>
      </c>
      <c r="K175" s="191">
        <f>-SUMIFS(BV_Data_An_Cour!$O:$O,BV_Data_An_Cour!$X:$X,"Oui",BV_Data_An_Cour!$U:$U,$B175,BV_Data_An_Cour!$V:$V,$C175)</f>
        <v>29558.97</v>
      </c>
      <c r="L175" s="185">
        <f>-SUMIFS(BV_Data_An_Cour!$O:$O,BV_Data_An_Cour!$U:$U,$B175,BV_Data_An_Cour!$V:$V,$C175,BV_Data_An_Cour!$W:$W,$L$2)</f>
        <v>19564.399999999998</v>
      </c>
      <c r="M175" s="298">
        <f>(K175-E175)/E175</f>
        <v>-0.10320377301506321</v>
      </c>
      <c r="N175" s="279">
        <f>L175-F175</f>
        <v>-4200.2153370334963</v>
      </c>
      <c r="O175" s="319">
        <f t="array" ref="O175">+INDEX('Réel 2023'!$A$2:$AO$501,MATCH($A175,'Réel 2023'!$A$2:$A$501,0),MATCH(O$2,'Réel 2023'!$A$2:$AO$2,0))</f>
        <v>207</v>
      </c>
      <c r="P175" s="191">
        <f t="array" ref="P175">+INDEX('Réel 2023'!$A$2:$AO$501,MATCH($A175,'Réel 2023'!$A$2:$A$501,0),MATCH(P$2,'Réel 2023'!$A$2:$AO$2,0))</f>
        <v>26144.57</v>
      </c>
      <c r="Q175" s="185">
        <f t="array" ref="Q175">+INDEX('Réel 2023'!$A$2:$AO$501,MATCH($A175,'Réel 2023'!$A$2:$A$501,0),MATCH(Q$2,'Réel 2023'!$A$2:$AO$2,0))</f>
        <v>19320.1499999999</v>
      </c>
      <c r="R175" s="298">
        <f>IF(O175=0,0,J175/O175)</f>
        <v>0.81159420289855078</v>
      </c>
      <c r="S175" s="202">
        <f>L175-Q175</f>
        <v>244.25000000009823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0.6618769192566587</v>
      </c>
      <c r="M176" s="240"/>
      <c r="N176" s="239"/>
      <c r="O176" s="228"/>
      <c r="P176" s="183"/>
      <c r="Q176" s="232">
        <f>Q175/P175</f>
        <v>0.73897371423587765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126.30227053140096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36469.666943191805</v>
      </c>
      <c r="F178" s="200">
        <f>+INDEX('Budget original'!$A$2:$AO$501,MATCH($A178,'Budget original'!$A$2:$A$501,0),MATCH(F$2,'Budget original'!$A$2:$AO$2,0))</f>
        <v>22538.254170892535</v>
      </c>
      <c r="G178" s="228"/>
      <c r="H178" s="200"/>
      <c r="I178" s="200"/>
      <c r="J178" s="229">
        <f>-SUMIFS(BV_Data_An_Cour!$O:$O,BV_Data_An_Cour!$U:$U,$B178,BV_Data_An_Cour!$V:$V,$C178,BV_Data_An_Cour!$W:$W,J$2)</f>
        <v>193</v>
      </c>
      <c r="K178" s="191">
        <f>-SUMIFS(BV_Data_An_Cour!$O:$O,BV_Data_An_Cour!$X:$X,"Oui",BV_Data_An_Cour!$U:$U,$B178,BV_Data_An_Cour!$V:$V,$C178)</f>
        <v>50906.729999999996</v>
      </c>
      <c r="L178" s="185">
        <f>-SUMIFS(BV_Data_An_Cour!$O:$O,BV_Data_An_Cour!$U:$U,$B178,BV_Data_An_Cour!$V:$V,$C178,BV_Data_An_Cour!$W:$W,$L$2)</f>
        <v>33664.799999999996</v>
      </c>
      <c r="M178" s="298">
        <f>(K178-E178)/E178</f>
        <v>0.39586495482112749</v>
      </c>
      <c r="N178" s="230">
        <f>L178-F178</f>
        <v>11126.545829107461</v>
      </c>
      <c r="O178" s="229">
        <f t="array" ref="O178">+INDEX('Réel 2023'!$A$2:$AO$501,MATCH($A178,'Réel 2023'!$A$2:$A$501,0),MATCH(O$2,'Réel 2023'!$A$2:$AO$2,0))</f>
        <v>209</v>
      </c>
      <c r="P178" s="191">
        <f t="array" ref="P178">+INDEX('Réel 2023'!$A$2:$AO$501,MATCH($A178,'Réel 2023'!$A$2:$A$501,0),MATCH(P$2,'Réel 2023'!$A$2:$AO$2,0))</f>
        <v>47181.69</v>
      </c>
      <c r="Q178" s="185">
        <f t="array" ref="Q178">+INDEX('Réel 2023'!$A$2:$AO$501,MATCH($A178,'Réel 2023'!$A$2:$A$501,0),MATCH(Q$2,'Réel 2023'!$A$2:$AO$2,0))</f>
        <v>28438.71</v>
      </c>
      <c r="R178" s="298">
        <f>IF(O178=0,0,J178/O178)</f>
        <v>0.92344497607655507</v>
      </c>
      <c r="S178" s="202">
        <f>L178-Q178</f>
        <v>5226.0899999999965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0.66130352509383339</v>
      </c>
      <c r="M179" s="298"/>
      <c r="N179" s="230">
        <f>L179-F179</f>
        <v>4.3303525093833395E-2</v>
      </c>
      <c r="O179" s="229"/>
      <c r="P179" s="231"/>
      <c r="Q179" s="232">
        <f>Q178/P178</f>
        <v>0.6027488629593386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225.74971291866029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12315.067942412468</v>
      </c>
      <c r="F181" s="200">
        <f>+INDEX('Budget original'!$A$2:$AO$501,MATCH($A181,'Budget original'!$A$2:$A$501,0),MATCH(F$2,'Budget original'!$A$2:$AO$2,0))</f>
        <v>4926.027176964988</v>
      </c>
      <c r="G181" s="278"/>
      <c r="H181" s="200"/>
      <c r="I181" s="200"/>
      <c r="J181" s="319">
        <f>-SUMIFS(BV_Data_An_Cour!$O:$O,BV_Data_An_Cour!$U:$U,$B181,BV_Data_An_Cour!$V:$V,$C181,BV_Data_An_Cour!$W:$W,J$2)</f>
        <v>59</v>
      </c>
      <c r="K181" s="191">
        <f>-SUMIFS(BV_Data_An_Cour!$O:$O,BV_Data_An_Cour!$X:$X,"Oui",BV_Data_An_Cour!$U:$U,$B181,BV_Data_An_Cour!$V:$V,$C181)</f>
        <v>10564.15</v>
      </c>
      <c r="L181" s="186">
        <f>-SUMIFS(BV_Data_An_Cour!$O:$O,BV_Data_An_Cour!$U:$U,$B181,BV_Data_An_Cour!$V:$V,$C181,BV_Data_An_Cour!$W:$W,$L$2)</f>
        <v>3755.1200000000008</v>
      </c>
      <c r="M181" s="320">
        <f>IF(E181=0,0,(K181-E181)/E181)</f>
        <v>-0.14217688043623342</v>
      </c>
      <c r="N181" s="279">
        <f>L181-F181</f>
        <v>-1170.9071769649872</v>
      </c>
      <c r="O181" s="319">
        <f t="array" ref="O181">+INDEX('Réel 2023'!$A$2:$AO$501,MATCH($A181,'Réel 2023'!$A$2:$A$501,0),MATCH(O$2,'Réel 2023'!$A$2:$AO$2,0))</f>
        <v>69</v>
      </c>
      <c r="P181" s="191">
        <f t="array" ref="P181">+INDEX('Réel 2023'!$A$2:$AO$501,MATCH($A181,'Réel 2023'!$A$2:$A$501,0),MATCH(P$2,'Réel 2023'!$A$2:$AO$2,0))</f>
        <v>11668.289999999901</v>
      </c>
      <c r="Q181" s="186">
        <f t="array" ref="Q181">+INDEX('Réel 2023'!$A$2:$AO$501,MATCH($A181,'Réel 2023'!$A$2:$A$501,0),MATCH(Q$2,'Réel 2023'!$A$2:$AO$2,0))</f>
        <v>4982.03999999999</v>
      </c>
      <c r="R181" s="298">
        <f>IF(O181=0,0,J181/O181)</f>
        <v>0.85507246376811596</v>
      </c>
      <c r="S181" s="204">
        <f>L181-Q181</f>
        <v>-1226.9199999999892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/>
      <c r="L182" s="232">
        <f>IF(L181=0,0,L181/K181)</f>
        <v>0.35545879223600585</v>
      </c>
      <c r="M182" s="229">
        <f>J182-D182</f>
        <v>0</v>
      </c>
      <c r="N182" s="235"/>
      <c r="O182" s="233"/>
      <c r="P182" s="234"/>
      <c r="Q182" s="232">
        <f>IFERROR(Q181/P181,0)</f>
        <v>0.42697258981393438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169.10565217391161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-2615.8815259091284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-1386.92</v>
      </c>
      <c r="M184" s="233"/>
      <c r="N184" s="230">
        <f>L184-F184</f>
        <v>1228.9615259091283</v>
      </c>
      <c r="O184" s="229"/>
      <c r="P184" s="200"/>
      <c r="Q184" s="200">
        <f t="array" ref="Q184">+INDEX('Réel 2023'!$A$2:$AO$501,MATCH($A184,'Réel 2023'!$A$2:$A$501,0),MATCH(Q$2,'Réel 2023'!$A$2:$AO$2,0))</f>
        <v>-3935.5</v>
      </c>
      <c r="R184" s="212"/>
      <c r="S184" s="202">
        <f>L184-Q184</f>
        <v>2548.58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188613.80162717175</v>
      </c>
      <c r="F185" s="59">
        <f>F172+F175+F178+F181+F184</f>
        <v>133680.28958308004</v>
      </c>
      <c r="G185" s="60"/>
      <c r="H185" s="58"/>
      <c r="I185" s="59"/>
      <c r="J185" s="60">
        <f>J172+J175+J178+J181+J184</f>
        <v>754</v>
      </c>
      <c r="K185" s="58">
        <f>K172+K175+K178+K181+K184</f>
        <v>193275.16</v>
      </c>
      <c r="L185" s="59">
        <f>L172+L175+L178+L181+L184</f>
        <v>136348.06999999995</v>
      </c>
      <c r="M185" s="61">
        <f>(K185-E185)/E185</f>
        <v>2.4713771381599348E-2</v>
      </c>
      <c r="N185" s="59">
        <f>L185-F185</f>
        <v>2667.780416919908</v>
      </c>
      <c r="O185" s="60">
        <f t="shared" ref="O185:Q185" si="36">O172+O175+O178+O181+O184</f>
        <v>845</v>
      </c>
      <c r="P185" s="58">
        <f t="shared" si="36"/>
        <v>179713.67999999991</v>
      </c>
      <c r="Q185" s="59">
        <f t="shared" si="36"/>
        <v>125093.78999999988</v>
      </c>
      <c r="R185" s="339">
        <f>IF(O185=0,0,J185/O185)</f>
        <v>0.89230769230769236</v>
      </c>
      <c r="S185" s="340">
        <f>L185-Q185</f>
        <v>11254.280000000072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0.70875136617691725</v>
      </c>
      <c r="G186" s="64"/>
      <c r="H186" s="62"/>
      <c r="I186" s="239"/>
      <c r="J186" s="64"/>
      <c r="K186" s="65">
        <f>IF(J185=0,0,K185/J185)</f>
        <v>256.33310344827589</v>
      </c>
      <c r="L186" s="239">
        <f>IF(L185=0,0,L185/K185)</f>
        <v>0.705460908685834</v>
      </c>
      <c r="M186" s="64"/>
      <c r="N186" s="63">
        <f>N185/F185</f>
        <v>1.9956423084062272E-2</v>
      </c>
      <c r="O186" s="64"/>
      <c r="P186" s="65">
        <f>IF(O185=0,0,P185/O185)</f>
        <v>212.67891124260345</v>
      </c>
      <c r="Q186" s="239">
        <f>Q185/P185</f>
        <v>0.69607271967275919</v>
      </c>
      <c r="R186" s="64"/>
      <c r="S186" s="267">
        <f>IF(R185=0,0,S185/R185)</f>
        <v>12612.555172413873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4975.497989718152</v>
      </c>
      <c r="F188" s="200">
        <f>+INDEX('Budget original'!$A$2:$AO$501,MATCH($A188,'Budget original'!$A$2:$A$501,0),MATCH(F$2,'Budget original'!$A$2:$AO$2,0))</f>
        <v>850.81015624180407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611.31000000000006</v>
      </c>
      <c r="L188" s="185">
        <f>-SUMIFS(BV_Data_An_Cour!$O:$O,BV_Data_An_Cour!$U:$U,$B188,BV_Data_An_Cour!$V:$V,$C188,BV_Data_An_Cour!$W:$W,$L$2)</f>
        <v>204.5100000000001</v>
      </c>
      <c r="M188" s="452">
        <f>IF(E188=0,0,(K188-E188)/E188)</f>
        <v>-0.87713591659301837</v>
      </c>
      <c r="N188" s="230">
        <f>L188-F188</f>
        <v>-646.30015624180396</v>
      </c>
      <c r="O188" s="229"/>
      <c r="P188" s="184">
        <f t="array" ref="P188">+INDEX('Réel 2023'!$A$2:$AO$501,MATCH($A188,'Réel 2023'!$A$2:$A$501,0),MATCH(P$2,'Réel 2023'!$A$2:$AO$2,0))</f>
        <v>5312.8099999999904</v>
      </c>
      <c r="Q188" s="185">
        <f t="array" ref="Q188">+INDEX('Réel 2023'!$A$2:$AO$501,MATCH($A188,'Réel 2023'!$A$2:$A$501,0),MATCH(Q$2,'Réel 2023'!$A$2:$AO$2,0))</f>
        <v>103.94999999999899</v>
      </c>
      <c r="R188" s="298">
        <f>IF(O188=0,0,J188/O188)</f>
        <v>0</v>
      </c>
      <c r="S188" s="202">
        <f>L188-Q188</f>
        <v>100.56000000000111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0.33454384845659335</v>
      </c>
      <c r="M189" s="233"/>
      <c r="N189" s="235"/>
      <c r="O189" s="233"/>
      <c r="P189" s="234"/>
      <c r="Q189" s="232">
        <f>IFERROR(Q188/P188,0)</f>
        <v>1.9565917094719967E-2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193589.29961688991</v>
      </c>
      <c r="F194" s="28">
        <f>F185+F188+F191</f>
        <v>134531.09973932186</v>
      </c>
      <c r="G194" s="29"/>
      <c r="H194" s="26"/>
      <c r="I194" s="28"/>
      <c r="J194" s="29"/>
      <c r="K194" s="26">
        <f>K185+K188+K191</f>
        <v>193886.47</v>
      </c>
      <c r="L194" s="28">
        <f>L185+L188+L191</f>
        <v>136552.57999999996</v>
      </c>
      <c r="M194" s="70">
        <f>L195-F195</f>
        <v>9.3609807411120238E-3</v>
      </c>
      <c r="N194" s="28">
        <f>L194-F194</f>
        <v>2021.4802606781013</v>
      </c>
      <c r="O194" s="29"/>
      <c r="P194" s="26">
        <f t="shared" ref="P194:Q194" si="37">P185+P188+P191</f>
        <v>185026.4899999999</v>
      </c>
      <c r="Q194" s="28">
        <f t="shared" si="37"/>
        <v>125197.73999999987</v>
      </c>
      <c r="R194" s="70">
        <f>L195-Q195</f>
        <v>2.764378214226948E-2</v>
      </c>
      <c r="S194" s="326">
        <f>L194-Q194</f>
        <v>11354.840000000084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0.69493045331305359</v>
      </c>
      <c r="G195" s="31"/>
      <c r="H195" s="328"/>
      <c r="I195" s="34"/>
      <c r="J195" s="31"/>
      <c r="K195" s="328"/>
      <c r="L195" s="34">
        <f>L194/K194</f>
        <v>0.70429143405416561</v>
      </c>
      <c r="M195" s="33"/>
      <c r="N195" s="34">
        <f>N194/F194</f>
        <v>1.5026118604509158E-2</v>
      </c>
      <c r="O195" s="31"/>
      <c r="P195" s="328"/>
      <c r="Q195" s="34">
        <f>Q194/P194</f>
        <v>0.67664765191189613</v>
      </c>
      <c r="R195" s="33"/>
      <c r="S195" s="264">
        <f>L194/S194</f>
        <v>12.025936076598081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9513.0297073791353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11433.39</v>
      </c>
      <c r="M198" s="228"/>
      <c r="N198" s="230">
        <f t="shared" ref="N198:N229" si="38">L198-F198</f>
        <v>1920.3602926208641</v>
      </c>
      <c r="O198" s="228"/>
      <c r="P198" s="183"/>
      <c r="Q198" s="185">
        <f t="array" ref="Q198">+INDEX('Réel 2023'!$A$2:$AO$501,MATCH($A198,'Réel 2023'!$A$2:$A$501,0),MATCH(Q$2,'Réel 2023'!$A$2:$AO$2,0))</f>
        <v>8108.73</v>
      </c>
      <c r="R198" s="228"/>
      <c r="S198" s="202">
        <f t="shared" ref="S198:S228" si="39">L198-Q198</f>
        <v>3324.66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4981.9445928753184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5254.98</v>
      </c>
      <c r="M199" s="228"/>
      <c r="N199" s="230">
        <f t="shared" si="38"/>
        <v>273.03540712468111</v>
      </c>
      <c r="O199" s="228"/>
      <c r="P199" s="183"/>
      <c r="Q199" s="185">
        <f t="array" ref="Q199">+INDEX('Réel 2023'!$A$2:$AO$501,MATCH($A199,'Réel 2023'!$A$2:$A$501,0),MATCH(Q$2,'Réel 2023'!$A$2:$AO$2,0))</f>
        <v>4681.0600000000004</v>
      </c>
      <c r="R199" s="228"/>
      <c r="S199" s="202">
        <f t="shared" si="39"/>
        <v>573.91999999999916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7997.1221374045799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10033.18</v>
      </c>
      <c r="M200" s="278"/>
      <c r="N200" s="279">
        <f t="shared" si="38"/>
        <v>2036.0578625954204</v>
      </c>
      <c r="O200" s="278"/>
      <c r="P200" s="276"/>
      <c r="Q200" s="186">
        <f t="array" ref="Q200">+INDEX('Réel 2023'!$A$2:$AO$501,MATCH($A200,'Réel 2023'!$A$2:$A$501,0),MATCH(Q$2,'Réel 2023'!$A$2:$AO$2,0))</f>
        <v>9166.76</v>
      </c>
      <c r="R200" s="278"/>
      <c r="S200" s="204">
        <f t="shared" si="39"/>
        <v>866.42000000000007</v>
      </c>
      <c r="T200" s="25"/>
      <c r="U200" s="25"/>
      <c r="V200" s="791" t="s">
        <v>2967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13283.797831091724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15341.02</v>
      </c>
      <c r="M201" s="228"/>
      <c r="N201" s="230">
        <f t="shared" si="38"/>
        <v>2057.2221689082762</v>
      </c>
      <c r="O201" s="228"/>
      <c r="P201" s="183"/>
      <c r="Q201" s="185">
        <f t="array" ref="Q201">+INDEX('Réel 2023'!$A$2:$AO$501,MATCH($A201,'Réel 2023'!$A$2:$A$501,0),MATCH(Q$2,'Réel 2023'!$A$2:$AO$2,0))</f>
        <v>13574.37</v>
      </c>
      <c r="R201" s="228"/>
      <c r="S201" s="202">
        <f t="shared" si="39"/>
        <v>1766.6499999999996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7390.1260733684594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6133.75</v>
      </c>
      <c r="M205" s="228"/>
      <c r="N205" s="230">
        <f t="shared" si="38"/>
        <v>-1256.3760733684594</v>
      </c>
      <c r="O205" s="228"/>
      <c r="P205" s="183"/>
      <c r="Q205" s="185">
        <f t="array" ref="Q205">+INDEX('Réel 2023'!$A$2:$AO$501,MATCH($A205,'Réel 2023'!$A$2:$A$501,0),MATCH(Q$2,'Réel 2023'!$A$2:$AO$2,0))</f>
        <v>6053.6</v>
      </c>
      <c r="R205" s="228"/>
      <c r="S205" s="202">
        <f>L205-Q205</f>
        <v>80.149999999999636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10248.868890856349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11073.56</v>
      </c>
      <c r="M206" s="278"/>
      <c r="N206" s="279">
        <f t="shared" si="38"/>
        <v>824.69110914365046</v>
      </c>
      <c r="O206" s="278"/>
      <c r="P206" s="276"/>
      <c r="Q206" s="186">
        <f t="array" ref="Q206">+INDEX('Réel 2023'!$A$2:$AO$501,MATCH($A206,'Réel 2023'!$A$2:$A$501,0),MATCH(Q$2,'Réel 2023'!$A$2:$AO$2,0))</f>
        <v>9711.91</v>
      </c>
      <c r="R206" s="278"/>
      <c r="S206" s="204">
        <f t="shared" si="39"/>
        <v>1361.6499999999996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4850.6097040694167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3329.59</v>
      </c>
      <c r="M207" s="228"/>
      <c r="N207" s="230">
        <f t="shared" si="38"/>
        <v>-1521.0197040694165</v>
      </c>
      <c r="O207" s="228"/>
      <c r="P207" s="183"/>
      <c r="Q207" s="185">
        <f t="array" ref="Q207">+INDEX('Réel 2023'!$A$2:$AO$501,MATCH($A207,'Réel 2023'!$A$2:$A$501,0),MATCH(Q$2,'Réel 2023'!$A$2:$AO$2,0))</f>
        <v>4970.95</v>
      </c>
      <c r="R207" s="228"/>
      <c r="S207" s="202">
        <f t="shared" si="39"/>
        <v>-1641.3599999999997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1095.2989654350297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1482.15</v>
      </c>
      <c r="M208" s="763"/>
      <c r="N208" s="199">
        <f t="shared" si="38"/>
        <v>386.8510345649704</v>
      </c>
      <c r="O208" s="763"/>
      <c r="P208" s="764"/>
      <c r="Q208" s="182">
        <f t="array" ref="Q208">+INDEX('Réel 2023'!$A$2:$AO$501,MATCH($A208,'Réel 2023'!$A$2:$A$501,0),MATCH(Q$2,'Réel 2023'!$A$2:$AO$2,0))</f>
        <v>1076.1600000000001</v>
      </c>
      <c r="R208" s="763"/>
      <c r="S208" s="765">
        <f t="shared" si="39"/>
        <v>405.99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0.44124219617249999</v>
      </c>
      <c r="F210" s="41">
        <f>+SUM(F198:F209)</f>
        <v>59360.797902480015</v>
      </c>
      <c r="G210" s="42"/>
      <c r="H210" s="40"/>
      <c r="I210" s="41"/>
      <c r="J210" s="42" t="s">
        <v>162</v>
      </c>
      <c r="K210" s="40">
        <f>L210/L$194</f>
        <v>0.46928164960339835</v>
      </c>
      <c r="L210" s="41">
        <f>+SUM(L198:L209)</f>
        <v>64081.62</v>
      </c>
      <c r="M210" s="43"/>
      <c r="N210" s="46">
        <f t="shared" si="38"/>
        <v>4720.8220975199874</v>
      </c>
      <c r="O210" s="42" t="s">
        <v>162</v>
      </c>
      <c r="P210" s="40">
        <f>Q210/Q$194</f>
        <v>0.45802376304875841</v>
      </c>
      <c r="Q210" s="41">
        <f>+SUM(Q198:Q209)</f>
        <v>57343.540000000008</v>
      </c>
      <c r="R210" s="43"/>
      <c r="S210" s="286">
        <f t="shared" si="39"/>
        <v>6738.0799999999945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5938.7125699211465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13862.87</v>
      </c>
      <c r="M211" s="228"/>
      <c r="N211" s="230">
        <f t="shared" si="38"/>
        <v>7924.1574300788543</v>
      </c>
      <c r="O211" s="228"/>
      <c r="P211" s="183"/>
      <c r="Q211" s="185">
        <f t="array" ref="Q211">+INDEX('Réel 2023'!$A$2:$AO$501,MATCH($A211,'Réel 2023'!$A$2:$A$501,0),MATCH(Q$2,'Réel 2023'!$A$2:$AO$2,0))</f>
        <v>8938.39</v>
      </c>
      <c r="R211" s="228"/>
      <c r="S211" s="202">
        <f t="shared" si="39"/>
        <v>4924.4800000000014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3747.6600000000003</v>
      </c>
      <c r="M212" s="228"/>
      <c r="N212" s="230">
        <f t="shared" si="38"/>
        <v>47.660000000000309</v>
      </c>
      <c r="O212" s="228"/>
      <c r="P212" s="183"/>
      <c r="Q212" s="185">
        <f t="array" ref="Q212">+INDEX('Réel 2023'!$A$2:$AO$501,MATCH($A212,'Réel 2023'!$A$2:$A$501,0),MATCH(Q$2,'Réel 2023'!$A$2:$AO$2,0))</f>
        <v>2853.3599999999901</v>
      </c>
      <c r="R212" s="228"/>
      <c r="S212" s="202">
        <f t="shared" si="39"/>
        <v>894.30000000001019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8311.58</v>
      </c>
      <c r="M213" s="283"/>
      <c r="N213" s="284">
        <f t="shared" si="38"/>
        <v>3488.871666666666</v>
      </c>
      <c r="O213" s="283"/>
      <c r="P213" s="281"/>
      <c r="Q213" s="185">
        <f t="array" ref="Q213">+INDEX('Réel 2023'!$A$2:$AO$501,MATCH($A213,'Réel 2023'!$A$2:$A$501,0),MATCH(Q$2,'Réel 2023'!$A$2:$AO$2,0))</f>
        <v>7376.38</v>
      </c>
      <c r="R213" s="283"/>
      <c r="S213" s="205">
        <f t="shared" si="39"/>
        <v>935.19999999999982</v>
      </c>
      <c r="T213" s="183"/>
      <c r="U213" s="25"/>
      <c r="V213" s="791" t="s">
        <v>2964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5624.18</v>
      </c>
      <c r="M214" s="228"/>
      <c r="N214" s="230">
        <f t="shared" si="38"/>
        <v>97.155000000000655</v>
      </c>
      <c r="O214" s="228"/>
      <c r="P214" s="183"/>
      <c r="Q214" s="186">
        <f t="array" ref="Q214">+INDEX('Réel 2023'!$A$2:$AO$501,MATCH($A214,'Réel 2023'!$A$2:$A$501,0),MATCH(Q$2,'Réel 2023'!$A$2:$AO$2,0))</f>
        <v>6476.78</v>
      </c>
      <c r="R214" s="228"/>
      <c r="S214" s="202">
        <f t="shared" si="39"/>
        <v>-852.59999999999945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491.23</v>
      </c>
      <c r="M215" s="228"/>
      <c r="N215" s="230">
        <f t="shared" si="38"/>
        <v>79.930000000000007</v>
      </c>
      <c r="O215" s="228"/>
      <c r="P215" s="183"/>
      <c r="Q215" s="185">
        <f t="array" ref="Q215">+INDEX('Réel 2023'!$A$2:$AO$501,MATCH($A215,'Réel 2023'!$A$2:$A$501,0),MATCH(Q$2,'Réel 2023'!$A$2:$AO$2,0))</f>
        <v>275.87</v>
      </c>
      <c r="R215" s="228"/>
      <c r="S215" s="202">
        <f t="shared" si="39"/>
        <v>215.36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8141.26</v>
      </c>
      <c r="M216" s="283"/>
      <c r="N216" s="284">
        <f t="shared" si="38"/>
        <v>2689.0349999999999</v>
      </c>
      <c r="O216" s="283"/>
      <c r="P216" s="281"/>
      <c r="Q216" s="185">
        <f t="array" ref="Q216">+INDEX('Réel 2023'!$A$2:$AO$501,MATCH($A216,'Réel 2023'!$A$2:$A$501,0),MATCH(Q$2,'Réel 2023'!$A$2:$AO$2,0))</f>
        <v>5955.04</v>
      </c>
      <c r="R216" s="283"/>
      <c r="S216" s="205">
        <f t="shared" si="39"/>
        <v>2186.2200000000003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527.96</v>
      </c>
      <c r="M218" s="228"/>
      <c r="N218" s="230">
        <f t="shared" si="38"/>
        <v>-703.36530120481916</v>
      </c>
      <c r="O218" s="228"/>
      <c r="P218" s="183"/>
      <c r="Q218" s="185">
        <f t="array" ref="Q218">+INDEX('Réel 2023'!$A$2:$AO$501,MATCH($A218,'Réel 2023'!$A$2:$A$501,0),MATCH(Q$2,'Réel 2023'!$A$2:$AO$2,0))</f>
        <v>2320.7800000000002</v>
      </c>
      <c r="R218" s="228"/>
      <c r="S218" s="202">
        <f t="shared" si="39"/>
        <v>-1792.8200000000002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2026.62</v>
      </c>
      <c r="M219" s="228"/>
      <c r="N219" s="230">
        <f t="shared" si="38"/>
        <v>1076.6199999999999</v>
      </c>
      <c r="O219" s="228"/>
      <c r="P219" s="183"/>
      <c r="Q219" s="185">
        <f t="array" ref="Q219">+INDEX('Réel 2023'!$A$2:$AO$501,MATCH($A219,'Réel 2023'!$A$2:$A$501,0),MATCH(Q$2,'Réel 2023'!$A$2:$AO$2,0))</f>
        <v>710.75</v>
      </c>
      <c r="R219" s="228"/>
      <c r="S219" s="202">
        <f t="shared" si="39"/>
        <v>1315.87</v>
      </c>
      <c r="T219" s="183"/>
      <c r="U219" s="25"/>
      <c r="V219" s="25" t="s">
        <v>2963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278.7</v>
      </c>
      <c r="M220" s="228"/>
      <c r="N220" s="230">
        <f t="shared" si="38"/>
        <v>-115.05000000000001</v>
      </c>
      <c r="O220" s="228"/>
      <c r="P220" s="183"/>
      <c r="Q220" s="478">
        <f t="array" ref="Q220">+INDEX('Réel 2023'!$A$2:$AO$501,MATCH($A220,'Réel 2023'!$A$2:$A$501,0),MATCH(Q$2,'Réel 2023'!$A$2:$AO$2,0))</f>
        <v>434.25</v>
      </c>
      <c r="R220" s="228"/>
      <c r="S220" s="202">
        <f t="shared" si="39"/>
        <v>-155.55000000000001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277.70999999999998</v>
      </c>
      <c r="M221" s="228"/>
      <c r="N221" s="230">
        <f t="shared" si="38"/>
        <v>166.51</v>
      </c>
      <c r="O221" s="228"/>
      <c r="P221" s="183"/>
      <c r="Q221" s="185">
        <f t="array" ref="Q221">+INDEX('Réel 2023'!$A$2:$AO$501,MATCH($A221,'Réel 2023'!$A$2:$A$501,0),MATCH(Q$2,'Réel 2023'!$A$2:$AO$2,0))</f>
        <v>99.66</v>
      </c>
      <c r="R221" s="228"/>
      <c r="S221" s="202">
        <f t="shared" si="39"/>
        <v>178.04999999999998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292.77999999999997</v>
      </c>
      <c r="M222" s="228"/>
      <c r="N222" s="230">
        <f t="shared" si="38"/>
        <v>180.27999999999997</v>
      </c>
      <c r="O222" s="228"/>
      <c r="P222" s="183"/>
      <c r="Q222" s="185">
        <f t="array" ref="Q222">+INDEX('Réel 2023'!$A$2:$AO$501,MATCH($A222,'Réel 2023'!$A$2:$A$501,0),MATCH(Q$2,'Réel 2023'!$A$2:$AO$2,0))</f>
        <v>72.2</v>
      </c>
      <c r="R222" s="228"/>
      <c r="S222" s="202">
        <f t="shared" si="39"/>
        <v>220.57999999999998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369.91</v>
      </c>
      <c r="M223" s="228"/>
      <c r="N223" s="230">
        <f t="shared" si="38"/>
        <v>-48.139999999999986</v>
      </c>
      <c r="O223" s="228"/>
      <c r="P223" s="183"/>
      <c r="Q223" s="185">
        <f t="array" ref="Q223">+INDEX('Réel 2023'!$A$2:$AO$501,MATCH($A223,'Réel 2023'!$A$2:$A$501,0),MATCH(Q$2,'Réel 2023'!$A$2:$AO$2,0))</f>
        <v>375.99</v>
      </c>
      <c r="R223" s="228"/>
      <c r="S223" s="202">
        <f t="shared" si="39"/>
        <v>-6.0799999999999841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1253.26</v>
      </c>
      <c r="M224" s="228"/>
      <c r="N224" s="230">
        <f t="shared" si="38"/>
        <v>-475.32190666666679</v>
      </c>
      <c r="O224" s="228"/>
      <c r="P224" s="183"/>
      <c r="Q224" s="185">
        <f t="array" ref="Q224">+INDEX('Réel 2023'!$A$2:$AO$501,MATCH($A224,'Réel 2023'!$A$2:$A$501,0),MATCH(Q$2,'Réel 2023'!$A$2:$AO$2,0))</f>
        <v>2089.38</v>
      </c>
      <c r="R224" s="228"/>
      <c r="S224" s="202">
        <f t="shared" si="39"/>
        <v>-836.12000000000012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1214.2564602369255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2394.5300000000002</v>
      </c>
      <c r="M225" s="228"/>
      <c r="N225" s="230">
        <f t="shared" si="38"/>
        <v>1180.2735397630747</v>
      </c>
      <c r="O225" s="228"/>
      <c r="P225" s="183"/>
      <c r="Q225" s="185">
        <f t="array" ref="Q225">+INDEX('Réel 2023'!$A$2:$AO$501,MATCH($A225,'Réel 2023'!$A$2:$A$501,0),MATCH(Q$2,'Réel 2023'!$A$2:$AO$2,0))</f>
        <v>1754.74</v>
      </c>
      <c r="R225" s="228"/>
      <c r="S225" s="202">
        <f t="shared" si="39"/>
        <v>639.79000000000019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0.23794969812475458</v>
      </c>
      <c r="F229" s="41">
        <f>+SUM(F211:F228)</f>
        <v>32011.634571362887</v>
      </c>
      <c r="G229" s="42"/>
      <c r="H229" s="40"/>
      <c r="I229" s="41"/>
      <c r="J229" s="42" t="s">
        <v>162</v>
      </c>
      <c r="K229" s="40">
        <f>L229/L$194</f>
        <v>0.34858550457267096</v>
      </c>
      <c r="L229" s="41">
        <f>+SUM(L211:L228)</f>
        <v>47600.25</v>
      </c>
      <c r="M229" s="44"/>
      <c r="N229" s="41">
        <f t="shared" si="38"/>
        <v>15588.615428637113</v>
      </c>
      <c r="O229" s="42" t="s">
        <v>162</v>
      </c>
      <c r="P229" s="40">
        <f>Q229/Q$194</f>
        <v>0.31736651156802054</v>
      </c>
      <c r="Q229" s="41">
        <f>+SUM(Q211:Q228)</f>
        <v>39733.569999999985</v>
      </c>
      <c r="R229" s="44"/>
      <c r="S229" s="290">
        <f>L229-Q229</f>
        <v>7866.6800000000148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0.67919189429725457</v>
      </c>
      <c r="F231" s="41">
        <f>F210+F229</f>
        <v>91372.432473842899</v>
      </c>
      <c r="G231" s="42"/>
      <c r="H231" s="40"/>
      <c r="I231" s="41"/>
      <c r="J231" s="42" t="s">
        <v>108</v>
      </c>
      <c r="K231" s="40">
        <f>L231/L$194</f>
        <v>0.81786715417606926</v>
      </c>
      <c r="L231" s="41">
        <f>L210+L229</f>
        <v>111681.87</v>
      </c>
      <c r="M231" s="44"/>
      <c r="N231" s="46">
        <f>L231-F231</f>
        <v>20309.437526157097</v>
      </c>
      <c r="O231" s="42" t="s">
        <v>108</v>
      </c>
      <c r="P231" s="40">
        <f>Q231/Q$194</f>
        <v>0.7753902746167789</v>
      </c>
      <c r="Q231" s="41">
        <f>Q210+Q229</f>
        <v>97077.109999999986</v>
      </c>
      <c r="R231" s="44"/>
      <c r="S231" s="286">
        <f>L231-Q231</f>
        <v>14604.760000000009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43158.667265478958</v>
      </c>
      <c r="G233" s="312"/>
      <c r="H233" s="310"/>
      <c r="I233" s="311"/>
      <c r="J233" s="313"/>
      <c r="K233" s="314"/>
      <c r="L233" s="311">
        <f>L194-L231</f>
        <v>24870.709999999963</v>
      </c>
      <c r="M233" s="313"/>
      <c r="N233" s="311">
        <f>L233-F233</f>
        <v>-18287.957265478995</v>
      </c>
      <c r="O233" s="313"/>
      <c r="P233" s="314"/>
      <c r="Q233" s="311">
        <f>Q194-Q231</f>
        <v>28120.629999999888</v>
      </c>
      <c r="R233" s="313"/>
      <c r="S233" s="315">
        <f>L233-Q233</f>
        <v>-3249.9199999999255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2444</v>
      </c>
      <c r="N238" s="1202"/>
      <c r="O238" s="1200" t="s">
        <v>79</v>
      </c>
      <c r="P238" s="1201"/>
      <c r="Q238" s="1202"/>
      <c r="R238" s="1203" t="s">
        <v>2448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3879.1160101521928</v>
      </c>
      <c r="F241" s="200">
        <f>+INDEX('Budget original'!$A$2:$AO$501,MATCH($A241,'Budget original'!$A$2:$A$501,0),MATCH(F$2,'Budget original'!$A$2:$AO$2,0))</f>
        <v>698.24088182739467</v>
      </c>
      <c r="G241" s="316"/>
      <c r="H241" s="200"/>
      <c r="I241" s="200"/>
      <c r="J241" s="229">
        <f>-SUMIFS(BV_Data_An_Cour!$O:$O,BV_Data_An_Cour!$U:$U,$B241,BV_Data_An_Cour!$V:$V,$C241,BV_Data_An_Cour!$W:$W,J$2)</f>
        <v>15</v>
      </c>
      <c r="K241" s="184">
        <f>-SUMIFS(BV_Data_An_Cour!$O:$O,BV_Data_An_Cour!$X:$X,"Oui",BV_Data_An_Cour!$U:$U,$B241,BV_Data_An_Cour!$V:$V,$C241)</f>
        <v>3725.96</v>
      </c>
      <c r="L241" s="185">
        <f>-SUMIFS(BV_Data_An_Cour!$O:$O,BV_Data_An_Cour!$U:$U,$B241,BV_Data_An_Cour!$V:$V,$C241,BV_Data_An_Cour!$W:$W,$L$2)</f>
        <v>905.42000000000007</v>
      </c>
      <c r="M241" s="298">
        <f>IFERROR((K241-E241)/E241,0)</f>
        <v>-3.9482193817189759E-2</v>
      </c>
      <c r="N241" s="230">
        <f>L241-F241</f>
        <v>207.1791181726054</v>
      </c>
      <c r="O241" s="229">
        <f t="array" ref="O241">+INDEX('Réel 2023'!$A$2:$AO$501,MATCH($A241,'Réel 2023'!$A$2:$A$501,0),MATCH(O$2,'Réel 2023'!$A$2:$AO$2,0))</f>
        <v>13</v>
      </c>
      <c r="P241" s="184">
        <f t="array" ref="P241">+INDEX('Réel 2023'!$A$2:$AO$501,MATCH($A241,'Réel 2023'!$A$2:$A$501,0),MATCH(P$2,'Réel 2023'!$A$2:$AO$2,0))</f>
        <v>16931.849999999999</v>
      </c>
      <c r="Q241" s="185">
        <f t="array" ref="Q241">+INDEX('Réel 2023'!$A$2:$AO$501,MATCH($A241,'Réel 2023'!$A$2:$A$501,0),MATCH(Q$2,'Réel 2023'!$A$2:$AO$2,0))</f>
        <v>241.82999999999799</v>
      </c>
      <c r="R241" s="298">
        <f>IF(O241=0,0,J241/O241)</f>
        <v>1.1538461538461537</v>
      </c>
      <c r="S241" s="202">
        <f>L241-Q241</f>
        <v>663.59000000000208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0.243003145498073</v>
      </c>
      <c r="M242" s="298"/>
      <c r="N242" s="1038">
        <f>IFERROR(N241/M241,0)</f>
        <v>-5247.4064417971567</v>
      </c>
      <c r="O242" s="229"/>
      <c r="P242" s="183"/>
      <c r="Q242" s="232">
        <f>IFERROR(Q241/P241,0)</f>
        <v>1.428255034151602E-2</v>
      </c>
      <c r="R242" s="229"/>
      <c r="S242" s="202">
        <f>IFERROR(S241/R241,0)</f>
        <v>575.11133333333521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3879.1160101521928</v>
      </c>
      <c r="F250" s="28">
        <f>F244+F247+F241</f>
        <v>698.24088182739467</v>
      </c>
      <c r="G250" s="29"/>
      <c r="H250" s="26"/>
      <c r="I250" s="28"/>
      <c r="J250" s="29"/>
      <c r="K250" s="26">
        <f>K244+K247+K241</f>
        <v>3725.96</v>
      </c>
      <c r="L250" s="28">
        <f>L244+L247+L241</f>
        <v>905.42000000000007</v>
      </c>
      <c r="M250" s="70">
        <f>L251-F251</f>
        <v>6.300314549807301E-2</v>
      </c>
      <c r="N250" s="28">
        <f>L250-F250</f>
        <v>207.1791181726054</v>
      </c>
      <c r="O250" s="29"/>
      <c r="P250" s="26">
        <f t="shared" ref="P250:Q250" si="41">P244+P247+P241</f>
        <v>16931.849999999999</v>
      </c>
      <c r="Q250" s="28">
        <f t="shared" si="41"/>
        <v>241.82999999999799</v>
      </c>
      <c r="R250" s="70">
        <f>L251-Q251</f>
        <v>0.22872059515655699</v>
      </c>
      <c r="S250" s="326">
        <f>L250-Q250</f>
        <v>663.59000000000208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0.243003145498073</v>
      </c>
      <c r="M251" s="33"/>
      <c r="N251" s="34">
        <f>N250/F250</f>
        <v>0.29671582338517399</v>
      </c>
      <c r="O251" s="31"/>
      <c r="P251" s="328"/>
      <c r="Q251" s="34">
        <f>Q250/P250</f>
        <v>1.428255034151602E-2</v>
      </c>
      <c r="R251" s="33"/>
      <c r="S251" s="264">
        <f>IF(R250=0,0,S250/R250)</f>
        <v>2901.3128421853803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336.87347328244277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351.44</v>
      </c>
      <c r="M255" s="228"/>
      <c r="N255" s="230">
        <f t="shared" si="42"/>
        <v>14.566526717557224</v>
      </c>
      <c r="O255" s="228"/>
      <c r="P255" s="183"/>
      <c r="Q255" s="185">
        <f t="array" ref="Q255">+INDEX('Réel 2023'!$A$2:$AO$501,MATCH($A255,'Réel 2023'!$A$2:$A$501,0),MATCH(Q$2,'Réel 2023'!$A$2:$AO$2,0))</f>
        <v>350.45</v>
      </c>
      <c r="R255" s="228"/>
      <c r="S255" s="202">
        <f>L255-Q255</f>
        <v>0.99000000000000909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96.825156155424963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185.86</v>
      </c>
      <c r="M261" s="228"/>
      <c r="N261" s="230">
        <f t="shared" si="42"/>
        <v>89.03484384457505</v>
      </c>
      <c r="O261" s="228"/>
      <c r="P261" s="183"/>
      <c r="Q261" s="185">
        <f t="array" ref="Q261">+INDEX('Réel 2023'!$A$2:$AO$501,MATCH($A261,'Réel 2023'!$A$2:$A$501,0),MATCH(Q$2,'Réel 2023'!$A$2:$AO$2,0))</f>
        <v>59.76</v>
      </c>
      <c r="R261" s="228"/>
      <c r="S261" s="202">
        <f t="shared" si="43"/>
        <v>126.10000000000002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134.28029791666668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216.21</v>
      </c>
      <c r="M262" s="278"/>
      <c r="N262" s="279">
        <f t="shared" si="42"/>
        <v>81.929702083333325</v>
      </c>
      <c r="O262" s="278"/>
      <c r="P262" s="276"/>
      <c r="Q262" s="186">
        <f t="array" ref="Q262">+INDEX('Réel 2023'!$A$2:$AO$501,MATCH($A262,'Réel 2023'!$A$2:$A$501,0),MATCH(Q$2,'Réel 2023'!$A$2:$AO$2,0))</f>
        <v>213.87</v>
      </c>
      <c r="R262" s="278"/>
      <c r="S262" s="204">
        <f t="shared" si="43"/>
        <v>2.3400000000000034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63.552507410941487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-73.3</v>
      </c>
      <c r="M263" s="228"/>
      <c r="N263" s="230">
        <f t="shared" si="42"/>
        <v>-136.85250741094148</v>
      </c>
      <c r="O263" s="228"/>
      <c r="P263" s="183"/>
      <c r="Q263" s="185">
        <f t="array" ref="Q263">+INDEX('Réel 2023'!$A$2:$AO$501,MATCH($A263,'Réel 2023'!$A$2:$A$501,0),MATCH(Q$2,'Réel 2023'!$A$2:$AO$2,0))</f>
        <v>40.630000000000003</v>
      </c>
      <c r="R263" s="228"/>
      <c r="S263" s="202">
        <f t="shared" si="43"/>
        <v>-113.93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14.350566189567433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3.16</v>
      </c>
      <c r="M264" s="763"/>
      <c r="N264" s="199">
        <f t="shared" si="42"/>
        <v>-11.190566189567432</v>
      </c>
      <c r="O264" s="228"/>
      <c r="P264" s="183"/>
      <c r="Q264" s="185">
        <f t="array" ref="Q264">+INDEX('Réel 2023'!$A$2:$AO$501,MATCH($A264,'Réel 2023'!$A$2:$A$501,0),MATCH(Q$2,'Réel 2023'!$A$2:$AO$2,0))</f>
        <v>3.71</v>
      </c>
      <c r="R264" s="228"/>
      <c r="S264" s="202">
        <f t="shared" si="43"/>
        <v>-0.54999999999999982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969.15700095504349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1006.64</v>
      </c>
      <c r="M266" s="43"/>
      <c r="N266" s="46">
        <f t="shared" si="42"/>
        <v>37.4829990449565</v>
      </c>
      <c r="O266" s="42" t="s">
        <v>108</v>
      </c>
      <c r="P266" s="40">
        <f>IF(Q244=0,0,Q266/Q$244)</f>
        <v>0</v>
      </c>
      <c r="Q266" s="41">
        <f>+SUM(Q254:Q265)</f>
        <v>991.69</v>
      </c>
      <c r="R266" s="43"/>
      <c r="S266" s="286">
        <f t="shared" ref="S266:S284" si="44">L266-Q266</f>
        <v>14.949999999999932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40.76</v>
      </c>
      <c r="M267" s="228"/>
      <c r="N267" s="230">
        <f t="shared" si="42"/>
        <v>40.76</v>
      </c>
      <c r="O267" s="228"/>
      <c r="P267" s="183"/>
      <c r="Q267" s="185">
        <f t="array" ref="Q267">+INDEX('Réel 2023'!$A$2:$AO$501,MATCH($A267,'Réel 2023'!$A$2:$A$501,0),MATCH(Q$2,'Réel 2023'!$A$2:$AO$2,0))</f>
        <v>13.75</v>
      </c>
      <c r="R267" s="228"/>
      <c r="S267" s="202">
        <f t="shared" si="44"/>
        <v>27.009999999999998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85.71</v>
      </c>
      <c r="M268" s="228"/>
      <c r="N268" s="230">
        <f t="shared" si="42"/>
        <v>85.71</v>
      </c>
      <c r="O268" s="228"/>
      <c r="P268" s="183"/>
      <c r="Q268" s="185">
        <f t="array" ref="Q268">+INDEX('Réel 2023'!$A$2:$AO$501,MATCH($A268,'Réel 2023'!$A$2:$A$501,0),MATCH(Q$2,'Réel 2023'!$A$2:$AO$2,0))</f>
        <v>26.69</v>
      </c>
      <c r="R268" s="228"/>
      <c r="S268" s="202">
        <f t="shared" si="44"/>
        <v>59.019999999999996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151.13</v>
      </c>
      <c r="M269" s="283"/>
      <c r="N269" s="284">
        <f t="shared" si="42"/>
        <v>31.754999999999995</v>
      </c>
      <c r="O269" s="283"/>
      <c r="P269" s="281"/>
      <c r="Q269" s="185">
        <f t="array" ref="Q269">+INDEX('Réel 2023'!$A$2:$AO$501,MATCH($A269,'Réel 2023'!$A$2:$A$501,0),MATCH(Q$2,'Réel 2023'!$A$2:$AO$2,0))</f>
        <v>78.81</v>
      </c>
      <c r="R269" s="283"/>
      <c r="S269" s="205">
        <f t="shared" si="44"/>
        <v>72.319999999999993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214.63</v>
      </c>
      <c r="M270" s="228"/>
      <c r="N270" s="230">
        <f t="shared" si="42"/>
        <v>-24.595000000000027</v>
      </c>
      <c r="O270" s="228"/>
      <c r="P270" s="183"/>
      <c r="Q270" s="186">
        <f t="array" ref="Q270">+INDEX('Réel 2023'!$A$2:$AO$501,MATCH($A270,'Réel 2023'!$A$2:$A$501,0),MATCH(Q$2,'Réel 2023'!$A$2:$AO$2,0))</f>
        <v>227.46</v>
      </c>
      <c r="R270" s="228"/>
      <c r="S270" s="202">
        <f t="shared" si="44"/>
        <v>-12.830000000000013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17.63</v>
      </c>
      <c r="M271" s="228"/>
      <c r="N271" s="230">
        <f t="shared" si="42"/>
        <v>-28.070000000000004</v>
      </c>
      <c r="O271" s="228"/>
      <c r="P271" s="183"/>
      <c r="Q271" s="185">
        <f t="array" ref="Q271">+INDEX('Réel 2023'!$A$2:$AO$501,MATCH($A271,'Réel 2023'!$A$2:$A$501,0),MATCH(Q$2,'Réel 2023'!$A$2:$AO$2,0))</f>
        <v>-19.16</v>
      </c>
      <c r="R271" s="228"/>
      <c r="S271" s="202">
        <f t="shared" si="44"/>
        <v>36.79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204.79</v>
      </c>
      <c r="M272" s="283"/>
      <c r="N272" s="284">
        <f t="shared" si="42"/>
        <v>51.764999999999986</v>
      </c>
      <c r="O272" s="283"/>
      <c r="P272" s="281"/>
      <c r="Q272" s="182">
        <f t="array" ref="Q272">+INDEX('Réel 2023'!$A$2:$AO$501,MATCH($A272,'Réel 2023'!$A$2:$A$501,0),MATCH(Q$2,'Réel 2023'!$A$2:$AO$2,0))</f>
        <v>173.09</v>
      </c>
      <c r="R272" s="283"/>
      <c r="S272" s="205">
        <f t="shared" si="44"/>
        <v>31.699999999999989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0.6</v>
      </c>
      <c r="M274" s="228"/>
      <c r="N274" s="230">
        <f t="shared" si="42"/>
        <v>-1.9301204819277107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0.6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28.49</v>
      </c>
      <c r="M276" s="228"/>
      <c r="N276" s="230">
        <f t="shared" si="42"/>
        <v>-15.260000000000002</v>
      </c>
      <c r="O276" s="228"/>
      <c r="P276" s="183"/>
      <c r="Q276" s="478">
        <f t="array" ref="Q276">+INDEX('Réel 2023'!$A$2:$AO$501,MATCH($A276,'Réel 2023'!$A$2:$A$501,0),MATCH(Q$2,'Réel 2023'!$A$2:$AO$2,0))</f>
        <v>40.21</v>
      </c>
      <c r="R276" s="228"/>
      <c r="S276" s="202">
        <f t="shared" si="44"/>
        <v>-11.720000000000002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17.52</v>
      </c>
      <c r="M277" s="228"/>
      <c r="N277" s="230">
        <f t="shared" si="42"/>
        <v>8.7199999999999989</v>
      </c>
      <c r="O277" s="228"/>
      <c r="P277" s="183"/>
      <c r="Q277" s="185">
        <f t="array" ref="Q277">+INDEX('Réel 2023'!$A$2:$AO$501,MATCH($A277,'Réel 2023'!$A$2:$A$501,0),MATCH(Q$2,'Réel 2023'!$A$2:$AO$2,0))</f>
        <v>7.78</v>
      </c>
      <c r="R277" s="228"/>
      <c r="S277" s="202">
        <f t="shared" si="44"/>
        <v>9.7399999999999984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3.05</v>
      </c>
      <c r="M278" s="228"/>
      <c r="N278" s="230">
        <f t="shared" si="42"/>
        <v>-9.4499999999999993</v>
      </c>
      <c r="O278" s="228"/>
      <c r="P278" s="183"/>
      <c r="Q278" s="185">
        <f t="array" ref="Q278">+INDEX('Réel 2023'!$A$2:$AO$501,MATCH($A278,'Réel 2023'!$A$2:$A$501,0),MATCH(Q$2,'Réel 2023'!$A$2:$AO$2,0))</f>
        <v>6</v>
      </c>
      <c r="R278" s="228"/>
      <c r="S278" s="202">
        <f t="shared" si="44"/>
        <v>-2.95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41.09</v>
      </c>
      <c r="M279" s="228"/>
      <c r="N279" s="230">
        <f t="shared" si="42"/>
        <v>-5.3599999999999994</v>
      </c>
      <c r="O279" s="228"/>
      <c r="P279" s="183"/>
      <c r="Q279" s="185">
        <f t="array" ref="Q279">+INDEX('Réel 2023'!$A$2:$AO$501,MATCH($A279,'Réel 2023'!$A$2:$A$501,0),MATCH(Q$2,'Réel 2023'!$A$2:$AO$2,0))</f>
        <v>41.75</v>
      </c>
      <c r="R279" s="228"/>
      <c r="S279" s="202">
        <f t="shared" si="44"/>
        <v>-0.65999999999999659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-6.63</v>
      </c>
      <c r="M280" s="228"/>
      <c r="N280" s="230">
        <f t="shared" si="42"/>
        <v>-27.398359999999993</v>
      </c>
      <c r="O280" s="228"/>
      <c r="P280" s="183"/>
      <c r="Q280" s="185">
        <f t="array" ref="Q280">+INDEX('Réel 2023'!$A$2:$AO$501,MATCH($A280,'Réel 2023'!$A$2:$A$501,0),MATCH(Q$2,'Réel 2023'!$A$2:$AO$2,0))</f>
        <v>32.08</v>
      </c>
      <c r="R280" s="228"/>
      <c r="S280" s="202">
        <f t="shared" si="44"/>
        <v>-38.71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134.91738447076952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266.06</v>
      </c>
      <c r="M281" s="228"/>
      <c r="N281" s="230">
        <f t="shared" si="42"/>
        <v>131.14261552923048</v>
      </c>
      <c r="O281" s="228"/>
      <c r="P281" s="183"/>
      <c r="Q281" s="185">
        <f t="array" ref="Q281">+INDEX('Réel 2023'!$A$2:$AO$501,MATCH($A281,'Réel 2023'!$A$2:$A$501,0),MATCH(Q$2,'Réel 2023'!$A$2:$AO$2,0))</f>
        <v>194.99</v>
      </c>
      <c r="R281" s="228"/>
      <c r="S281" s="202">
        <f t="shared" si="44"/>
        <v>71.069999999999993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827.04086495269735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1064.83</v>
      </c>
      <c r="M285" s="44"/>
      <c r="N285" s="41">
        <f>+SUM(N267:N284)</f>
        <v>237.78913504730275</v>
      </c>
      <c r="O285" s="42" t="s">
        <v>108</v>
      </c>
      <c r="P285" s="40">
        <f>IF(Q$244=0,0,Q285/Q$244)</f>
        <v>0</v>
      </c>
      <c r="Q285" s="41">
        <f>+SUM(Q267:Q284)</f>
        <v>823.45</v>
      </c>
      <c r="R285" s="44"/>
      <c r="S285" s="290">
        <f>L285-Q285</f>
        <v>241.37999999999988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1796.1978659077408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2071.4699999999998</v>
      </c>
      <c r="M287" s="44"/>
      <c r="N287" s="46">
        <f>L287-F287</f>
        <v>275.27213409225897</v>
      </c>
      <c r="O287" s="42" t="s">
        <v>108</v>
      </c>
      <c r="P287" s="40">
        <f>IF(Q$244=0,0,Q287/Q$244)</f>
        <v>0</v>
      </c>
      <c r="Q287" s="41">
        <f>Q266+Q285</f>
        <v>1815.14</v>
      </c>
      <c r="R287" s="44"/>
      <c r="S287" s="286">
        <f>L287-Q287</f>
        <v>256.3299999999997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-1097.956984080346</v>
      </c>
      <c r="G289" s="312"/>
      <c r="H289" s="310"/>
      <c r="I289" s="311"/>
      <c r="J289" s="313"/>
      <c r="K289" s="314"/>
      <c r="L289" s="311">
        <f>L250-L287</f>
        <v>-1166.0499999999997</v>
      </c>
      <c r="M289" s="313"/>
      <c r="N289" s="311">
        <f>L289-F289</f>
        <v>-68.093015919653681</v>
      </c>
      <c r="O289" s="313"/>
      <c r="P289" s="314"/>
      <c r="Q289" s="311">
        <f>Q250-Q287</f>
        <v>-1573.3100000000022</v>
      </c>
      <c r="R289" s="313"/>
      <c r="S289" s="315">
        <f>L289-Q289</f>
        <v>407.26000000000249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2444</v>
      </c>
      <c r="N293" s="1202"/>
      <c r="O293" s="1200" t="s">
        <v>79</v>
      </c>
      <c r="P293" s="1201"/>
      <c r="Q293" s="1202"/>
      <c r="R293" s="1203" t="s">
        <v>2448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75092.095801150601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31388.496044880951</v>
      </c>
      <c r="G295" s="200"/>
      <c r="H295" s="213"/>
      <c r="I295" s="202"/>
      <c r="J295" s="184">
        <f>-SUMIFS(BV_Data_An_Cour!$O:$O,BV_Data_An_Cour!$X:$X,"Oui",BV_Data_An_Cour!$U:$U,$B295,BV_Data_An_Cour!$V:$V,$C295)</f>
        <v>76600.95</v>
      </c>
      <c r="K295" s="213">
        <f t="shared" ref="K295:K300" si="46">IF(J295&lt;=0,0,L295/J295)</f>
        <v>0.37806776547810444</v>
      </c>
      <c r="L295" s="185">
        <f>-SUMIFS(BV_Data_An_Cour!$O:$O,BV_Data_An_Cour!$U:$U,$B295,BV_Data_An_Cour!$V:$V,$C295,BV_Data_An_Cour!$W:$W,$L$2)</f>
        <v>28960.350000000002</v>
      </c>
      <c r="M295" s="298">
        <f t="shared" ref="M295:M301" si="47">(+J295-D295)/D295</f>
        <v>2.0093382435948427E-2</v>
      </c>
      <c r="N295" s="230">
        <f t="shared" ref="N295:N304" si="48">L295-F295</f>
        <v>-2428.1460448809485</v>
      </c>
      <c r="O295" s="184">
        <f t="array" ref="O295">+INDEX('Réel 2023'!$A$2:$AO$501,MATCH($A295,'Réel 2023'!$A$2:$A$501,0),MATCH(O$2,'Réel 2023'!$A$2:$AO$2,0))</f>
        <v>71356.91</v>
      </c>
      <c r="P295" s="213">
        <f t="shared" ref="P295:P303" si="49">IF(O295=0,0,Q295/O295)</f>
        <v>0.36988877461201725</v>
      </c>
      <c r="Q295" s="185">
        <f t="array" ref="Q295">+INDEX('Réel 2023'!$A$2:$AO$501,MATCH($A295,'Réel 2023'!$A$2:$A$501,0),MATCH(Q$2,'Réel 2023'!$A$2:$AO$2,0))</f>
        <v>26394.12</v>
      </c>
      <c r="R295" s="298">
        <f>IF(O295=0,0,(J295-O295)/O295)</f>
        <v>7.3490289868213085E-2</v>
      </c>
      <c r="S295" s="202">
        <f t="shared" ref="S295:S300" si="50">L295-Q295</f>
        <v>2566.2300000000032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834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283.56</v>
      </c>
      <c r="G296" s="200"/>
      <c r="H296" s="213"/>
      <c r="I296" s="202"/>
      <c r="J296" s="184">
        <f>-SUMIFS(BV_Data_An_Cour!$O:$O,BV_Data_An_Cour!$X:$X,"Oui",BV_Data_An_Cour!$U:$U,$B296,BV_Data_An_Cour!$V:$V,$C296)</f>
        <v>236.24</v>
      </c>
      <c r="K296" s="213">
        <f t="shared" si="46"/>
        <v>0.33999322722654934</v>
      </c>
      <c r="L296" s="185">
        <f>-SUMIFS(BV_Data_An_Cour!$O:$O,BV_Data_An_Cour!$U:$U,$B296,BV_Data_An_Cour!$V:$V,$C296,BV_Data_An_Cour!$W:$W,$L$2)</f>
        <v>80.320000000000022</v>
      </c>
      <c r="M296" s="298">
        <f t="shared" si="47"/>
        <v>-0.71673860911270981</v>
      </c>
      <c r="N296" s="230">
        <f t="shared" si="48"/>
        <v>-203.23999999999998</v>
      </c>
      <c r="O296" s="184">
        <f t="array" ref="O296">+INDEX('Réel 2023'!$A$2:$AO$501,MATCH($A296,'Réel 2023'!$A$2:$A$501,0),MATCH(O$2,'Réel 2023'!$A$2:$AO$2,0))</f>
        <v>14687.23</v>
      </c>
      <c r="P296" s="213">
        <f t="shared" si="49"/>
        <v>0.28571418844805935</v>
      </c>
      <c r="Q296" s="185">
        <f t="array" ref="Q296">+INDEX('Réel 2023'!$A$2:$AO$501,MATCH($A296,'Réel 2023'!$A$2:$A$501,0),MATCH(Q$2,'Réel 2023'!$A$2:$AO$2,0))</f>
        <v>4196.3499999999904</v>
      </c>
      <c r="R296" s="298">
        <f t="shared" ref="R296:R303" si="52">IF(O296=0,0,(J296-O296)/O296)</f>
        <v>-0.98391527878299723</v>
      </c>
      <c r="S296" s="202">
        <f t="shared" si="50"/>
        <v>-4116.0299999999907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62273.649122875126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17934.810947388036</v>
      </c>
      <c r="G297" s="200"/>
      <c r="H297" s="213"/>
      <c r="I297" s="202"/>
      <c r="J297" s="184">
        <f>-SUMIFS(BV_Data_An_Cour!$O:$O,BV_Data_An_Cour!$X:$X,"Oui",BV_Data_An_Cour!$U:$U,$B297,BV_Data_An_Cour!$V:$V,$C297)</f>
        <v>82161.429999999993</v>
      </c>
      <c r="K297" s="213">
        <f t="shared" si="46"/>
        <v>0.2859726273021293</v>
      </c>
      <c r="L297" s="185">
        <f>-SUMIFS(BV_Data_An_Cour!$O:$O,BV_Data_An_Cour!$U:$U,$B297,BV_Data_An_Cour!$V:$V,$C297,BV_Data_An_Cour!$W:$W,$L$2)</f>
        <v>23495.919999999984</v>
      </c>
      <c r="M297" s="298">
        <f t="shared" si="47"/>
        <v>0.3193610966635877</v>
      </c>
      <c r="N297" s="230">
        <f t="shared" si="48"/>
        <v>5561.1090526119478</v>
      </c>
      <c r="O297" s="184">
        <f t="array" ref="O297">+INDEX('Réel 2023'!$A$2:$AO$501,MATCH($A297,'Réel 2023'!$A$2:$A$501,0),MATCH(O$2,'Réel 2023'!$A$2:$AO$2,0))</f>
        <v>36903.35</v>
      </c>
      <c r="P297" s="213">
        <f t="shared" si="49"/>
        <v>0.2862582936237496</v>
      </c>
      <c r="Q297" s="185">
        <f t="array" ref="Q297">+INDEX('Réel 2023'!$A$2:$AO$501,MATCH($A297,'Réel 2023'!$A$2:$A$501,0),MATCH(Q$2,'Réel 2023'!$A$2:$AO$2,0))</f>
        <v>10563.89</v>
      </c>
      <c r="R297" s="298">
        <f t="shared" si="52"/>
        <v>1.2263948936885132</v>
      </c>
      <c r="S297" s="202">
        <f t="shared" si="50"/>
        <v>12932.029999999984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28274.405624682811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10885.646165502883</v>
      </c>
      <c r="G298" s="200"/>
      <c r="H298" s="213"/>
      <c r="I298" s="202"/>
      <c r="J298" s="184">
        <f>-SUMIFS(BV_Data_An_Cour!$O:$O,BV_Data_An_Cour!$X:$X,"Oui",BV_Data_An_Cour!$U:$U,$B298,BV_Data_An_Cour!$V:$V,$C298)</f>
        <v>30386.959999999999</v>
      </c>
      <c r="K298" s="213">
        <f t="shared" si="46"/>
        <v>0.32565021311773212</v>
      </c>
      <c r="L298" s="185">
        <f>-SUMIFS(BV_Data_An_Cour!$O:$O,BV_Data_An_Cour!$U:$U,$B298,BV_Data_An_Cour!$V:$V,$C298,BV_Data_An_Cour!$W:$W,$L$2)</f>
        <v>9895.52</v>
      </c>
      <c r="M298" s="298">
        <f t="shared" si="47"/>
        <v>7.4716137391513671E-2</v>
      </c>
      <c r="N298" s="230">
        <f t="shared" si="48"/>
        <v>-990.12616550288294</v>
      </c>
      <c r="O298" s="184">
        <f t="array" ref="O298">+INDEX('Réel 2023'!$A$2:$AO$501,MATCH($A298,'Réel 2023'!$A$2:$A$501,0),MATCH(O$2,'Réel 2023'!$A$2:$AO$2,0))</f>
        <v>24026.81</v>
      </c>
      <c r="P298" s="213">
        <f t="shared" si="49"/>
        <v>0.32265040594236188</v>
      </c>
      <c r="Q298" s="185">
        <f t="array" ref="Q298">+INDEX('Réel 2023'!$A$2:$AO$501,MATCH($A298,'Réel 2023'!$A$2:$A$501,0),MATCH(Q$2,'Réel 2023'!$A$2:$AO$2,0))</f>
        <v>7752.26</v>
      </c>
      <c r="R298" s="298">
        <f t="shared" si="52"/>
        <v>0.26471054626061458</v>
      </c>
      <c r="S298" s="202">
        <f t="shared" si="50"/>
        <v>2143.2600000000002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26091.769135123679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8088.4484318883406</v>
      </c>
      <c r="G299" s="200"/>
      <c r="H299" s="213"/>
      <c r="I299" s="202"/>
      <c r="J299" s="184">
        <f>-SUMIFS(BV_Data_An_Cour!$O:$O,BV_Data_An_Cour!$X:$X,"Oui",BV_Data_An_Cour!$U:$U,$B299,BV_Data_An_Cour!$V:$V,$C299)</f>
        <v>26330.03</v>
      </c>
      <c r="K299" s="213">
        <f t="shared" si="46"/>
        <v>0.27260280371879558</v>
      </c>
      <c r="L299" s="185">
        <f>-SUMIFS(BV_Data_An_Cour!$O:$O,BV_Data_An_Cour!$U:$U,$B299,BV_Data_An_Cour!$V:$V,$C299,BV_Data_An_Cour!$W:$W,$L$2)</f>
        <v>7177.6399999999994</v>
      </c>
      <c r="M299" s="298">
        <f t="shared" si="47"/>
        <v>9.1316485149940535E-3</v>
      </c>
      <c r="N299" s="230">
        <f t="shared" si="48"/>
        <v>-910.80843188834115</v>
      </c>
      <c r="O299" s="184">
        <f t="array" ref="O299">+INDEX('Réel 2023'!$A$2:$AO$501,MATCH($A299,'Réel 2023'!$A$2:$A$501,0),MATCH(O$2,'Réel 2023'!$A$2:$AO$2,0))</f>
        <v>25692</v>
      </c>
      <c r="P299" s="213">
        <f t="shared" si="49"/>
        <v>0.23782889615444497</v>
      </c>
      <c r="Q299" s="185">
        <f t="array" ref="Q299">+INDEX('Réel 2023'!$A$2:$AO$501,MATCH($A299,'Réel 2023'!$A$2:$A$501,0),MATCH(Q$2,'Réel 2023'!$A$2:$AO$2,0))</f>
        <v>6110.3</v>
      </c>
      <c r="R299" s="298">
        <f t="shared" si="52"/>
        <v>2.4833800404795221E-2</v>
      </c>
      <c r="S299" s="202">
        <f t="shared" si="50"/>
        <v>1067.3399999999992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66469.273336407292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14157.955220654752</v>
      </c>
      <c r="G300" s="200"/>
      <c r="H300" s="213"/>
      <c r="I300" s="202"/>
      <c r="J300" s="184">
        <f>-SUMIFS(BV_Data_An_Cour!$O:$O,BV_Data_An_Cour!$X:$X,"Oui",BV_Data_An_Cour!$U:$U,$B300,BV_Data_An_Cour!$V:$V,$C300)</f>
        <v>54580.51</v>
      </c>
      <c r="K300" s="213">
        <f t="shared" si="46"/>
        <v>0.21461800192046573</v>
      </c>
      <c r="L300" s="185">
        <f>-SUMIFS(BV_Data_An_Cour!$O:$O,BV_Data_An_Cour!$U:$U,$B300,BV_Data_An_Cour!$V:$V,$C300,BV_Data_An_Cour!$W:$W,$L$2)</f>
        <v>11713.96</v>
      </c>
      <c r="M300" s="298">
        <f t="shared" si="47"/>
        <v>-0.17886103969028114</v>
      </c>
      <c r="N300" s="230">
        <f t="shared" si="48"/>
        <v>-2443.9952206547532</v>
      </c>
      <c r="O300" s="184">
        <f t="array" ref="O300">+INDEX('Réel 2023'!$A$2:$AO$501,MATCH($A300,'Réel 2023'!$A$2:$A$501,0),MATCH(O$2,'Réel 2023'!$A$2:$AO$2,0))</f>
        <v>73039.990000000005</v>
      </c>
      <c r="P300" s="213">
        <f t="shared" si="49"/>
        <v>0.21180944849526948</v>
      </c>
      <c r="Q300" s="185">
        <f t="array" ref="Q300">+INDEX('Réel 2023'!$A$2:$AO$501,MATCH($A300,'Réel 2023'!$A$2:$A$501,0),MATCH(Q$2,'Réel 2023'!$A$2:$AO$2,0))</f>
        <v>15470.56</v>
      </c>
      <c r="R300" s="298">
        <f t="shared" si="52"/>
        <v>-0.25273114084489884</v>
      </c>
      <c r="S300" s="202">
        <f t="shared" si="50"/>
        <v>-3756.6000000000004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6440.36311713941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2545.65</v>
      </c>
      <c r="M302" s="298"/>
      <c r="N302" s="230">
        <f t="shared" si="48"/>
        <v>-3894.7131171394099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3151.76</v>
      </c>
      <c r="R302" s="298">
        <f t="shared" si="52"/>
        <v>0</v>
      </c>
      <c r="S302" s="202">
        <f>L302-Q302</f>
        <v>-606.11000000000013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259035.1930202395</v>
      </c>
      <c r="E304" s="300">
        <f>IF(D304&lt;=0,0,F304/D304)</f>
        <v>0.34427476393327922</v>
      </c>
      <c r="F304" s="203">
        <f>SUM(F295:F303)</f>
        <v>89179.279927454365</v>
      </c>
      <c r="G304" s="201"/>
      <c r="H304" s="300"/>
      <c r="I304" s="203"/>
      <c r="J304" s="201">
        <f>SUM(J295:J303)</f>
        <v>270296.12</v>
      </c>
      <c r="K304" s="300">
        <f>IF(J304&lt;=0,0,L304/J304)</f>
        <v>0.3102869549144841</v>
      </c>
      <c r="L304" s="226">
        <f>SUM(L295:L303)</f>
        <v>83869.359999999986</v>
      </c>
      <c r="M304" s="301">
        <f>(+J304-D304)/D304</f>
        <v>4.3472575476957029E-2</v>
      </c>
      <c r="N304" s="226">
        <f t="shared" si="48"/>
        <v>-5309.9199274543789</v>
      </c>
      <c r="O304" s="201">
        <f>SUM(O295:O303)</f>
        <v>245706.28999999998</v>
      </c>
      <c r="P304" s="300">
        <f>IF(O304&lt;=0,0,Q304/O304)</f>
        <v>0.29970433398347268</v>
      </c>
      <c r="Q304" s="226">
        <f t="shared" ref="Q304" si="53">SUM(Q295:Q303)</f>
        <v>73639.239999999991</v>
      </c>
      <c r="R304" s="301">
        <f>IF(O304=0,0,(J304-O304)/O304)</f>
        <v>0.1000781461475814</v>
      </c>
      <c r="S304" s="203">
        <f>L304-Q304</f>
        <v>10230.119999999995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-5.9542081207360015E-2</v>
      </c>
      <c r="O305" s="228"/>
      <c r="P305" s="183"/>
      <c r="Q305" s="270"/>
      <c r="R305" s="228"/>
      <c r="S305" s="267">
        <f>IF(Q304=0,0,S304/Q304)</f>
        <v>0.13892212901708378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144526.35786994311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36131.589467485777</v>
      </c>
      <c r="G307" s="200"/>
      <c r="H307" s="213"/>
      <c r="I307" s="204"/>
      <c r="J307" s="184">
        <f>-SUMIFS(BV_Data_An_Cour!$O:$O,BV_Data_An_Cour!$X:$X,"Oui",BV_Data_An_Cour!$U:$U,$B307,BV_Data_An_Cour!$V:$V,$C307)</f>
        <v>162274.26</v>
      </c>
      <c r="K307" s="213">
        <f>IF(J307&lt;=0,0,L307/J307)</f>
        <v>0.24469580080044742</v>
      </c>
      <c r="L307" s="185">
        <f>-SUMIFS(BV_Data_An_Cour!$O:$O,BV_Data_An_Cour!$U:$U,$B307,BV_Data_An_Cour!$V:$V,$C307,BV_Data_An_Cour!$W:$W,$L$2)</f>
        <v>39707.830000000016</v>
      </c>
      <c r="M307" s="298">
        <f>(+J307-D307)/D307</f>
        <v>0.12280045239933289</v>
      </c>
      <c r="N307" s="230">
        <f>L307-F307</f>
        <v>3576.240532514239</v>
      </c>
      <c r="O307" s="184">
        <f t="array" ref="O307">+INDEX('Réel 2023'!$A$2:$AO$501,MATCH($A307,'Réel 2023'!$A$2:$A$501,0),MATCH(O$2,'Réel 2023'!$A$2:$AO$2,0))</f>
        <v>130004.68</v>
      </c>
      <c r="P307" s="213">
        <f t="shared" ref="P307:P308" si="54">IF(O307=0,0,Q307/O307)</f>
        <v>0.25598024624959581</v>
      </c>
      <c r="Q307" s="185">
        <f t="array" ref="Q307">+INDEX('Réel 2023'!$A$2:$AO$501,MATCH($A307,'Réel 2023'!$A$2:$A$501,0),MATCH(Q$2,'Réel 2023'!$A$2:$AO$2,0))</f>
        <v>33278.629999999903</v>
      </c>
      <c r="R307" s="298">
        <f>IF(O307=0,0,(J307-O307)/O307)</f>
        <v>0.24821860259184531</v>
      </c>
      <c r="S307" s="202">
        <f>L307-Q307</f>
        <v>6429.2000000001135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12515.909295828927</v>
      </c>
      <c r="E308" s="213">
        <f>IF(D308=0,0,F308/D308)</f>
        <v>0.35000000000000003</v>
      </c>
      <c r="F308" s="205">
        <f>+INDEX('Budget original'!$A$2:$AO$501,MATCH($A308,'Budget original'!$A$2:$A$501,0),MATCH(F$2,'Budget original'!$A$2:$AO$2,0))</f>
        <v>4380.5682535401247</v>
      </c>
      <c r="G308" s="200"/>
      <c r="H308" s="213"/>
      <c r="I308" s="205"/>
      <c r="J308" s="184">
        <f>-SUMIFS(BV_Data_An_Cour!$O:$O,BV_Data_An_Cour!$X:$X,"Oui",BV_Data_An_Cour!$U:$U,$B308,BV_Data_An_Cour!$V:$V,$C308)</f>
        <v>13794.31</v>
      </c>
      <c r="K308" s="213">
        <f>IF(J308&lt;=0,0,L308/J308)</f>
        <v>0.35493402714597538</v>
      </c>
      <c r="L308" s="185">
        <f>-SUMIFS(BV_Data_An_Cour!$O:$O,BV_Data_An_Cour!$U:$U,$B308,BV_Data_An_Cour!$V:$V,$C308,BV_Data_An_Cour!$W:$W,$L$2)</f>
        <v>4896.07</v>
      </c>
      <c r="M308" s="298">
        <f>(+J308-D308)/D308</f>
        <v>0.10214205567925567</v>
      </c>
      <c r="N308" s="230">
        <f>L308-F308</f>
        <v>515.50174645987499</v>
      </c>
      <c r="O308" s="184">
        <f t="array" ref="O308">+INDEX('Réel 2023'!$A$2:$AO$501,MATCH($A308,'Réel 2023'!$A$2:$A$501,0),MATCH(O$2,'Réel 2023'!$A$2:$AO$2,0))</f>
        <v>12176.529999999901</v>
      </c>
      <c r="P308" s="213">
        <f t="shared" si="54"/>
        <v>0.34376378163565685</v>
      </c>
      <c r="Q308" s="185">
        <f t="array" ref="Q308">+INDEX('Réel 2023'!$A$2:$AO$501,MATCH($A308,'Réel 2023'!$A$2:$A$501,0),MATCH(Q$2,'Réel 2023'!$A$2:$AO$2,0))</f>
        <v>4185.8499999999904</v>
      </c>
      <c r="R308" s="298">
        <f>IF(O308=0,0,(J308-O308)/O308)</f>
        <v>0.13286051116369871</v>
      </c>
      <c r="S308" s="202">
        <f>L308-Q308</f>
        <v>710.22000000000935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416077.46018601157</v>
      </c>
      <c r="E309" s="300">
        <f>IF(D309&lt;=0,0,F309/D309)</f>
        <v>0.3117002242575227</v>
      </c>
      <c r="F309" s="226">
        <f>F304+F307+F308</f>
        <v>129691.43764848028</v>
      </c>
      <c r="G309" s="227"/>
      <c r="H309" s="300"/>
      <c r="I309" s="226"/>
      <c r="J309" s="227">
        <f>J304+J307+J308</f>
        <v>446364.69</v>
      </c>
      <c r="K309" s="300">
        <f>IF(J309&lt;=0,0,L309/J309)</f>
        <v>0.28782128801451567</v>
      </c>
      <c r="L309" s="226">
        <f>L304+L307+L308</f>
        <v>128473.26000000001</v>
      </c>
      <c r="M309" s="301">
        <f>(+J309-D309)/D309</f>
        <v>7.2792286802674272E-2</v>
      </c>
      <c r="N309" s="226">
        <f>L309-F309</f>
        <v>-1218.1776484802685</v>
      </c>
      <c r="O309" s="227">
        <f>O304+O307+O308</f>
        <v>387887.49999999988</v>
      </c>
      <c r="P309" s="300">
        <f>IF(O309&lt;=0,0,Q309/O309)</f>
        <v>0.28643284457477985</v>
      </c>
      <c r="Q309" s="226">
        <f t="shared" ref="Q309" si="55">Q304+Q307+Q308</f>
        <v>111103.71999999988</v>
      </c>
      <c r="R309" s="301">
        <f>IF(O309=0,0,(J309-O309)/O309)</f>
        <v>0.15075811930005514</v>
      </c>
      <c r="S309" s="203">
        <f>L309-Q309</f>
        <v>17369.540000000125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-9.3928918559917224E-3</v>
      </c>
      <c r="O310" s="228"/>
      <c r="P310" s="183"/>
      <c r="Q310" s="270"/>
      <c r="R310" s="228"/>
      <c r="S310" s="267">
        <f>IF(Q309=0,0,S309/Q309)</f>
        <v>0.15633625948798244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416077.46018601157</v>
      </c>
      <c r="E314" s="71">
        <f>IF(D314&lt;=0,0,F314/D314)</f>
        <v>0.3117002242575227</v>
      </c>
      <c r="F314" s="28">
        <f>F309+F312</f>
        <v>129691.43764848028</v>
      </c>
      <c r="G314" s="29"/>
      <c r="H314" s="71"/>
      <c r="I314" s="28"/>
      <c r="J314" s="29">
        <f>J309+J312</f>
        <v>446364.69</v>
      </c>
      <c r="K314" s="71">
        <f>IF(J314&lt;=0,0,L314/J314)</f>
        <v>0.28782128801451567</v>
      </c>
      <c r="L314" s="28">
        <f>L309+L312</f>
        <v>128473.26000000001</v>
      </c>
      <c r="M314" s="72">
        <f>(+J314-D314)/D314</f>
        <v>7.2792286802674272E-2</v>
      </c>
      <c r="N314" s="73">
        <f>L314-F314</f>
        <v>-1218.1776484802685</v>
      </c>
      <c r="O314" s="29">
        <f>O309+O312</f>
        <v>387887.49999999988</v>
      </c>
      <c r="P314" s="71">
        <f>IF(O314&lt;=0,0,Q314/O314)</f>
        <v>0.28643284457477985</v>
      </c>
      <c r="Q314" s="28">
        <f t="shared" ref="Q314" si="56">Q309+Q312</f>
        <v>111103.71999999988</v>
      </c>
      <c r="R314" s="72">
        <f>IF(O314=0,0,(J314-O314)/O314)</f>
        <v>0.15075811930005514</v>
      </c>
      <c r="S314" s="262">
        <f>L314-Q314</f>
        <v>17369.540000000125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-9.3928918559917224E-3</v>
      </c>
      <c r="O315" s="77"/>
      <c r="P315" s="75"/>
      <c r="Q315" s="76"/>
      <c r="R315" s="78"/>
      <c r="S315" s="264">
        <f>IF(Q314=0,0,S314/Q314)</f>
        <v>0.15633625948798244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4127.8386768447835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2434.1999999999998</v>
      </c>
      <c r="M318" s="228"/>
      <c r="N318" s="230">
        <f t="shared" ref="N318:N348" si="57">L318-F318</f>
        <v>-1693.6386768447837</v>
      </c>
      <c r="O318" s="228"/>
      <c r="P318" s="183"/>
      <c r="Q318" s="185">
        <f t="array" ref="Q318">+INDEX('Réel 2023'!$A$2:$AO$501,MATCH($A318,'Réel 2023'!$A$2:$A$501,0),MATCH(Q$2,'Réel 2023'!$A$2:$AO$2,0))</f>
        <v>3689.26</v>
      </c>
      <c r="R318" s="228"/>
      <c r="S318" s="202">
        <f t="shared" ref="S318:S343" si="58">L318-Q318</f>
        <v>-1255.0600000000004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2694.9877862595422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2811.6</v>
      </c>
      <c r="M319" s="228"/>
      <c r="N319" s="230">
        <f t="shared" si="57"/>
        <v>116.61221374045772</v>
      </c>
      <c r="O319" s="228"/>
      <c r="P319" s="183"/>
      <c r="Q319" s="185">
        <f t="array" ref="Q319">+INDEX('Réel 2023'!$A$2:$AO$501,MATCH($A319,'Réel 2023'!$A$2:$A$501,0),MATCH(Q$2,'Réel 2023'!$A$2:$AO$2,0))</f>
        <v>2803.85</v>
      </c>
      <c r="R319" s="228"/>
      <c r="S319" s="202">
        <f t="shared" si="58"/>
        <v>7.75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14306.324427480917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16511.98</v>
      </c>
      <c r="M320" s="278"/>
      <c r="N320" s="279">
        <f t="shared" si="57"/>
        <v>2205.6555725190829</v>
      </c>
      <c r="O320" s="278"/>
      <c r="P320" s="276"/>
      <c r="Q320" s="186">
        <f t="array" ref="Q320">+INDEX('Réel 2023'!$A$2:$AO$501,MATCH($A320,'Réel 2023'!$A$2:$A$501,0),MATCH(Q$2,'Réel 2023'!$A$2:$AO$2,0))</f>
        <v>14447.65</v>
      </c>
      <c r="R320" s="278"/>
      <c r="S320" s="204">
        <f t="shared" si="58"/>
        <v>2064.33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2271.5973084039083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2596.4299999999998</v>
      </c>
      <c r="M325" s="228"/>
      <c r="N325" s="230">
        <f t="shared" si="57"/>
        <v>324.83269159609154</v>
      </c>
      <c r="O325" s="228"/>
      <c r="P325" s="183"/>
      <c r="Q325" s="185">
        <f t="array" ref="Q325">+INDEX('Réel 2023'!$A$2:$AO$501,MATCH($A325,'Réel 2023'!$A$2:$A$501,0),MATCH(Q$2,'Réel 2023'!$A$2:$AO$2,0))</f>
        <v>1685.09</v>
      </c>
      <c r="R325" s="228"/>
      <c r="S325" s="202">
        <f t="shared" si="58"/>
        <v>911.33999999999992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3150.32555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2755.91</v>
      </c>
      <c r="M326" s="278"/>
      <c r="N326" s="279">
        <f t="shared" si="57"/>
        <v>-394.41555000000017</v>
      </c>
      <c r="O326" s="278"/>
      <c r="P326" s="276"/>
      <c r="Q326" s="186">
        <f t="array" ref="Q326">+INDEX('Réel 2023'!$A$2:$AO$501,MATCH($A326,'Réel 2023'!$A$2:$A$501,0),MATCH(Q$2,'Réel 2023'!$A$2:$AO$2,0))</f>
        <v>2759.36</v>
      </c>
      <c r="R326" s="278"/>
      <c r="S326" s="204">
        <f t="shared" si="58"/>
        <v>-3.4500000000002728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1490.9937717557252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735.92</v>
      </c>
      <c r="M327" s="228"/>
      <c r="N327" s="230">
        <f t="shared" si="57"/>
        <v>-755.07377175572526</v>
      </c>
      <c r="O327" s="228"/>
      <c r="P327" s="183"/>
      <c r="Q327" s="185">
        <f t="array" ref="Q327">+INDEX('Réel 2023'!$A$2:$AO$501,MATCH($A327,'Réel 2023'!$A$2:$A$501,0),MATCH(Q$2,'Réel 2023'!$A$2:$AO$2,0))</f>
        <v>1684.3</v>
      </c>
      <c r="R327" s="228"/>
      <c r="S327" s="202">
        <f t="shared" si="58"/>
        <v>-948.38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336.67601297709922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256.94</v>
      </c>
      <c r="M328" s="763"/>
      <c r="N328" s="199">
        <f t="shared" si="57"/>
        <v>-79.736012977099222</v>
      </c>
      <c r="O328" s="228"/>
      <c r="P328" s="183"/>
      <c r="Q328" s="185">
        <f t="array" ref="Q328">+INDEX('Réel 2023'!$A$2:$AO$501,MATCH($A328,'Réel 2023'!$A$2:$A$501,0),MATCH(Q$2,'Réel 2023'!$A$2:$AO$2,0))</f>
        <v>247.99</v>
      </c>
      <c r="R328" s="228"/>
      <c r="S328" s="202">
        <f t="shared" si="58"/>
        <v>8.9499999999999886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0.21881740266185196</v>
      </c>
      <c r="F330" s="41">
        <f>+SUM(F318:F329)</f>
        <v>28378.743533721976</v>
      </c>
      <c r="G330" s="42"/>
      <c r="H330" s="40"/>
      <c r="I330" s="41"/>
      <c r="J330" s="42" t="s">
        <v>108</v>
      </c>
      <c r="K330" s="40">
        <f>L330/L$314</f>
        <v>0.21874575300727944</v>
      </c>
      <c r="L330" s="41">
        <f>+SUM(L318:L329)</f>
        <v>28102.979999999996</v>
      </c>
      <c r="M330" s="43"/>
      <c r="N330" s="46">
        <f t="shared" si="57"/>
        <v>-275.76353372197991</v>
      </c>
      <c r="O330" s="42" t="s">
        <v>108</v>
      </c>
      <c r="P330" s="40">
        <f>Q330/Q$314</f>
        <v>0.24587385552887006</v>
      </c>
      <c r="Q330" s="41">
        <f>+SUM(Q318:Q329)</f>
        <v>27317.500000000004</v>
      </c>
      <c r="R330" s="43"/>
      <c r="S330" s="286">
        <f t="shared" si="58"/>
        <v>785.47999999999229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3197.7683068806168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1451.71</v>
      </c>
      <c r="M331" s="228"/>
      <c r="N331" s="230">
        <f t="shared" si="57"/>
        <v>-1746.0583068806168</v>
      </c>
      <c r="O331" s="228"/>
      <c r="P331" s="183"/>
      <c r="Q331" s="185">
        <f t="array" ref="Q331">+INDEX('Réel 2023'!$A$2:$AO$501,MATCH($A331,'Réel 2023'!$A$2:$A$501,0),MATCH(Q$2,'Réel 2023'!$A$2:$AO$2,0))</f>
        <v>4524.6499999999996</v>
      </c>
      <c r="R331" s="228"/>
      <c r="S331" s="202">
        <f t="shared" si="58"/>
        <v>-3072.9399999999996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817.42</v>
      </c>
      <c r="M332" s="228"/>
      <c r="N332" s="230">
        <f t="shared" si="57"/>
        <v>552.41999999999996</v>
      </c>
      <c r="O332" s="228"/>
      <c r="P332" s="183"/>
      <c r="Q332" s="185">
        <f t="array" ref="Q332">+INDEX('Réel 2023'!$A$2:$AO$501,MATCH($A332,'Réel 2023'!$A$2:$A$501,0),MATCH(Q$2,'Réel 2023'!$A$2:$AO$2,0))</f>
        <v>582.59</v>
      </c>
      <c r="R332" s="228"/>
      <c r="S332" s="202">
        <f t="shared" si="58"/>
        <v>234.82999999999993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6702.7899999999991</v>
      </c>
      <c r="M333" s="283"/>
      <c r="N333" s="284">
        <f t="shared" si="57"/>
        <v>2279.4566666666651</v>
      </c>
      <c r="O333" s="283"/>
      <c r="P333" s="281"/>
      <c r="Q333" s="185">
        <f t="array" ref="Q333">+INDEX('Réel 2023'!$A$2:$AO$501,MATCH($A333,'Réel 2023'!$A$2:$A$501,0),MATCH(Q$2,'Réel 2023'!$A$2:$AO$2,0))</f>
        <v>3469.48</v>
      </c>
      <c r="R333" s="283"/>
      <c r="S333" s="205">
        <f t="shared" si="58"/>
        <v>3233.309999999999</v>
      </c>
      <c r="T333" s="25"/>
      <c r="U333" s="25"/>
      <c r="V333" s="791" t="s">
        <v>2965</v>
      </c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1717.09</v>
      </c>
      <c r="M334" s="228"/>
      <c r="N334" s="230">
        <f t="shared" si="57"/>
        <v>-196.71000000000026</v>
      </c>
      <c r="O334" s="228"/>
      <c r="P334" s="183"/>
      <c r="Q334" s="186">
        <f t="array" ref="Q334">+INDEX('Réel 2023'!$A$2:$AO$501,MATCH($A334,'Réel 2023'!$A$2:$A$501,0),MATCH(Q$2,'Réel 2023'!$A$2:$AO$2,0))</f>
        <v>1821.46</v>
      </c>
      <c r="R334" s="228"/>
      <c r="S334" s="202">
        <f t="shared" si="58"/>
        <v>-104.37000000000012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141.25</v>
      </c>
      <c r="M335" s="228"/>
      <c r="N335" s="230">
        <f t="shared" si="57"/>
        <v>-224.35000000000002</v>
      </c>
      <c r="O335" s="228"/>
      <c r="P335" s="183"/>
      <c r="Q335" s="185">
        <f t="array" ref="Q335">+INDEX('Réel 2023'!$A$2:$AO$501,MATCH($A335,'Réel 2023'!$A$2:$A$501,0),MATCH(Q$2,'Réel 2023'!$A$2:$AO$2,0))</f>
        <v>-122.06</v>
      </c>
      <c r="R335" s="228"/>
      <c r="S335" s="202">
        <f t="shared" si="58"/>
        <v>263.31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1813.58</v>
      </c>
      <c r="M336" s="283"/>
      <c r="N336" s="284">
        <f t="shared" si="57"/>
        <v>-180.62000000000035</v>
      </c>
      <c r="O336" s="283"/>
      <c r="P336" s="281"/>
      <c r="Q336" s="355">
        <f t="array" ref="Q336">+INDEX('Réel 2023'!$A$2:$AO$501,MATCH($A336,'Réel 2023'!$A$2:$A$501,0),MATCH(Q$2,'Réel 2023'!$A$2:$AO$2,0))</f>
        <v>1880.47</v>
      </c>
      <c r="R336" s="283"/>
      <c r="S336" s="205">
        <f t="shared" si="58"/>
        <v>-66.8900000000001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70.61</v>
      </c>
      <c r="M338" s="228"/>
      <c r="N338" s="230">
        <f t="shared" si="57"/>
        <v>41.091927710843379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70.61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227.93</v>
      </c>
      <c r="M340" s="228"/>
      <c r="N340" s="230">
        <f t="shared" si="57"/>
        <v>-122.07</v>
      </c>
      <c r="O340" s="228"/>
      <c r="P340" s="183"/>
      <c r="Q340" s="478">
        <f t="array" ref="Q340">+INDEX('Réel 2023'!$A$2:$AO$501,MATCH($A340,'Réel 2023'!$A$2:$A$501,0),MATCH(Q$2,'Réel 2023'!$A$2:$AO$2,0))</f>
        <v>321.83</v>
      </c>
      <c r="R340" s="228"/>
      <c r="S340" s="202">
        <f t="shared" si="58"/>
        <v>-93.899999999999977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186.34</v>
      </c>
      <c r="M341" s="228"/>
      <c r="N341" s="230">
        <f t="shared" si="57"/>
        <v>67.94</v>
      </c>
      <c r="O341" s="228"/>
      <c r="P341" s="183"/>
      <c r="Q341" s="185">
        <f t="array" ref="Q341">+INDEX('Réel 2023'!$A$2:$AO$501,MATCH($A341,'Réel 2023'!$A$2:$A$501,0),MATCH(Q$2,'Réel 2023'!$A$2:$AO$2,0))</f>
        <v>106.66</v>
      </c>
      <c r="R341" s="228"/>
      <c r="S341" s="202">
        <f t="shared" si="58"/>
        <v>79.680000000000007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383.89</v>
      </c>
      <c r="M342" s="228"/>
      <c r="N342" s="230">
        <f t="shared" si="57"/>
        <v>-91.110000000000014</v>
      </c>
      <c r="O342" s="228"/>
      <c r="P342" s="183"/>
      <c r="Q342" s="185">
        <f t="array" ref="Q342">+INDEX('Réel 2023'!$A$2:$AO$501,MATCH($A342,'Réel 2023'!$A$2:$A$501,0),MATCH(Q$2,'Réel 2023'!$A$2:$AO$2,0))</f>
        <v>779.58</v>
      </c>
      <c r="R342" s="228"/>
      <c r="S342" s="202">
        <f t="shared" si="58"/>
        <v>-395.69000000000005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328.8</v>
      </c>
      <c r="M343" s="228"/>
      <c r="N343" s="230">
        <f t="shared" si="57"/>
        <v>-42.800000000000011</v>
      </c>
      <c r="O343" s="228"/>
      <c r="P343" s="183"/>
      <c r="Q343" s="185">
        <f t="array" ref="Q343">+INDEX('Réel 2023'!$A$2:$AO$501,MATCH($A343,'Réel 2023'!$A$2:$A$501,0),MATCH(Q$2,'Réel 2023'!$A$2:$AO$2,0))</f>
        <v>334.2</v>
      </c>
      <c r="R343" s="228"/>
      <c r="S343" s="202">
        <f t="shared" si="58"/>
        <v>-5.3999999999999773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-53</v>
      </c>
      <c r="M344" s="228"/>
      <c r="N344" s="230">
        <f t="shared" si="57"/>
        <v>-294.14687999999995</v>
      </c>
      <c r="O344" s="228"/>
      <c r="P344" s="183"/>
      <c r="Q344" s="185">
        <f t="array" ref="Q344">+INDEX('Réel 2023'!$A$2:$AO$501,MATCH($A344,'Réel 2023'!$A$2:$A$501,0),MATCH(Q$2,'Réel 2023'!$A$2:$AO$2,0))</f>
        <v>256.75</v>
      </c>
      <c r="R344" s="228"/>
      <c r="S344" s="202">
        <f>L344-Q344</f>
        <v>-309.75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1079.3390757661562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2128.4699999999998</v>
      </c>
      <c r="M345" s="228"/>
      <c r="N345" s="230">
        <f t="shared" si="57"/>
        <v>1049.1309242338436</v>
      </c>
      <c r="O345" s="228"/>
      <c r="P345" s="183"/>
      <c r="Q345" s="185">
        <f t="array" ref="Q345">+INDEX('Réel 2023'!$A$2:$AO$501,MATCH($A345,'Réel 2023'!$A$2:$A$501,0),MATCH(Q$2,'Réel 2023'!$A$2:$AO$2,0))</f>
        <v>1559.77</v>
      </c>
      <c r="R345" s="228"/>
      <c r="S345" s="202">
        <f>L345-Q345</f>
        <v>568.69999999999982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0.11456196289950962</v>
      </c>
      <c r="F349" s="41">
        <f>+SUM(F331:F348)</f>
        <v>14857.705668269264</v>
      </c>
      <c r="G349" s="42"/>
      <c r="H349" s="40"/>
      <c r="I349" s="41"/>
      <c r="J349" s="42" t="s">
        <v>108</v>
      </c>
      <c r="K349" s="40">
        <f>L349/L$314</f>
        <v>0.12389255164849088</v>
      </c>
      <c r="L349" s="41">
        <f>+SUM(L331:L348)</f>
        <v>15916.879999999997</v>
      </c>
      <c r="M349" s="44"/>
      <c r="N349" s="41">
        <f>+SUM(N331:N348)</f>
        <v>1059.1743317307348</v>
      </c>
      <c r="O349" s="42" t="s">
        <v>108</v>
      </c>
      <c r="P349" s="40">
        <f>Q349/Q$314</f>
        <v>0.13964770936562715</v>
      </c>
      <c r="Q349" s="41">
        <f>+SUM(Q331:Q348)</f>
        <v>15515.380000000001</v>
      </c>
      <c r="R349" s="44"/>
      <c r="S349" s="290">
        <f>+SUM(S331:S348)</f>
        <v>401.49999999999898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0.33337936556136161</v>
      </c>
      <c r="F351" s="41">
        <f>F330+F349</f>
        <v>43236.449201991243</v>
      </c>
      <c r="G351" s="42"/>
      <c r="H351" s="40"/>
      <c r="I351" s="41"/>
      <c r="J351" s="42" t="s">
        <v>108</v>
      </c>
      <c r="K351" s="40">
        <f>L351/L$314</f>
        <v>0.34263830465577033</v>
      </c>
      <c r="L351" s="41">
        <f>L330+L349</f>
        <v>44019.859999999993</v>
      </c>
      <c r="M351" s="44"/>
      <c r="N351" s="46">
        <f>L351-F351</f>
        <v>783.41079800875013</v>
      </c>
      <c r="O351" s="42" t="s">
        <v>108</v>
      </c>
      <c r="P351" s="40">
        <f>Q351/Q$314</f>
        <v>0.38552156489449724</v>
      </c>
      <c r="Q351" s="41">
        <f>Q330+Q349</f>
        <v>42832.880000000005</v>
      </c>
      <c r="R351" s="44"/>
      <c r="S351" s="286">
        <f>L351-Q351</f>
        <v>1186.9799999999886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86454.988446489035</v>
      </c>
      <c r="G353" s="312"/>
      <c r="H353" s="310"/>
      <c r="I353" s="311"/>
      <c r="J353" s="313"/>
      <c r="K353" s="314"/>
      <c r="L353" s="311">
        <f>L314-L351</f>
        <v>84453.400000000023</v>
      </c>
      <c r="M353" s="313"/>
      <c r="N353" s="311">
        <f>L353-F353</f>
        <v>-2001.5884464890114</v>
      </c>
      <c r="O353" s="313"/>
      <c r="P353" s="314"/>
      <c r="Q353" s="311">
        <f>Q314-Q351</f>
        <v>68270.83999999988</v>
      </c>
      <c r="R353" s="313"/>
      <c r="S353" s="315">
        <f>L353-Q353</f>
        <v>16182.560000000143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128515.69872788765</v>
      </c>
      <c r="G401" s="25"/>
      <c r="H401" s="25"/>
      <c r="I401" s="25"/>
      <c r="J401" s="25"/>
      <c r="K401" s="25"/>
      <c r="L401" s="37">
        <f>L353+L289+L233</f>
        <v>108158.05999999998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57">
        <f>F289+F233</f>
        <v>42060.710281398613</v>
      </c>
      <c r="G402" s="23"/>
      <c r="H402" s="23"/>
      <c r="I402" s="23"/>
      <c r="J402" s="23"/>
      <c r="K402" s="23"/>
      <c r="L402" s="57">
        <f>L289+L233</f>
        <v>23704.659999999963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2444</v>
      </c>
      <c r="AH404" s="1207"/>
      <c r="AI404" s="1211"/>
      <c r="AJ404" s="1206" t="s">
        <v>2337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3573970.449556808</v>
      </c>
      <c r="AA406" s="393"/>
      <c r="AB406" s="393"/>
      <c r="AC406" s="394"/>
      <c r="AD406" s="395"/>
      <c r="AE406" s="396"/>
      <c r="AF406" s="396">
        <f>L5+L93+K194+K250+J314+J362</f>
        <v>4910909.9400000004</v>
      </c>
      <c r="AG406" s="395"/>
      <c r="AH406" s="396"/>
      <c r="AI406" s="397"/>
      <c r="AJ406" s="395"/>
      <c r="AK406" s="396"/>
      <c r="AL406" s="396">
        <f>Q5+Q93+P194+P250+O314+O362</f>
        <v>11998554.869999999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462823.48432489584</v>
      </c>
      <c r="AA407" s="81"/>
      <c r="AB407" s="81"/>
      <c r="AC407" s="82"/>
      <c r="AD407" s="83"/>
      <c r="AE407" s="84"/>
      <c r="AF407" s="84">
        <f>L27+L108+L194+L250+L314+L362</f>
        <v>495524.12999999989</v>
      </c>
      <c r="AG407" s="83"/>
      <c r="AH407" s="84">
        <f>AF407-Z407</f>
        <v>32700.645675104053</v>
      </c>
      <c r="AI407" s="85">
        <f>AH407/Z407</f>
        <v>7.0654681066591341E-2</v>
      </c>
      <c r="AJ407" s="83">
        <f>+AL407/AL406</f>
        <v>3.5064891110507541E-2</v>
      </c>
      <c r="AK407" s="84"/>
      <c r="AL407" s="84">
        <f>Q27+Q108+Q194+Q250+Q314+Q362</f>
        <v>420728.0199999999</v>
      </c>
      <c r="AM407" s="86"/>
      <c r="AN407" s="84">
        <f>AF407-AL407</f>
        <v>74796.109999999986</v>
      </c>
      <c r="AO407" s="401">
        <f>IF(AL407=0,0,AN407/AL407)</f>
        <v>0.17777781950439148</v>
      </c>
      <c r="AP407" s="79"/>
      <c r="AQ407" s="79" t="s">
        <v>2360</v>
      </c>
      <c r="AR407" s="101">
        <v>504263</v>
      </c>
      <c r="AS407" s="101">
        <f>AF407-AR407</f>
        <v>-8738.8700000001118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1284.4510188230543</v>
      </c>
      <c r="Z409" s="87">
        <f t="shared" ref="Z409:Z415" si="64">+SUMIF($C:$C,$V409,F:F)</f>
        <v>41102.432602337736</v>
      </c>
      <c r="AA409" s="403"/>
      <c r="AB409" s="409"/>
      <c r="AC409" s="87"/>
      <c r="AD409" s="410"/>
      <c r="AE409" s="409">
        <f t="shared" ref="AE409:AE414" si="65">IF(AF409=0,0,AF409/(J$13+J$97))</f>
        <v>1334.7641025641026</v>
      </c>
      <c r="AF409" s="87">
        <f t="shared" ref="AF409:AF415" si="66">+SUMIF($C:$C,$V409,L:L)</f>
        <v>52055.8</v>
      </c>
      <c r="AG409" s="404">
        <f t="shared" ref="AG409:AG418" si="67">AE409-Y409</f>
        <v>50.313083741048331</v>
      </c>
      <c r="AH409" s="405">
        <f t="shared" ref="AH409:AH418" si="68">AF409-Z409</f>
        <v>10953.367397662267</v>
      </c>
      <c r="AI409" s="406">
        <f t="shared" ref="AI409:AI418" si="69">IF(Z409=0,0,AH409/Z409)</f>
        <v>0.26648951665793341</v>
      </c>
      <c r="AJ409" s="410"/>
      <c r="AK409" s="405">
        <f t="shared" ref="AK409:AK418" si="70">AL409/(O$13+O$97)</f>
        <v>1145.6115789473686</v>
      </c>
      <c r="AL409" s="87">
        <f t="shared" ref="AL409:AL414" si="71">+SUMIF($C:$C,$V409,Q:Q)</f>
        <v>43533.240000000005</v>
      </c>
      <c r="AM409" s="407">
        <f t="shared" ref="AM409:AM414" si="72">AE409-Y409</f>
        <v>50.313083741048331</v>
      </c>
      <c r="AN409" s="405">
        <f t="shared" ref="AN409:AN414" si="73">AF409-AL409</f>
        <v>8522.5599999999977</v>
      </c>
      <c r="AO409" s="217">
        <f t="shared" ref="AO409:AO431" si="74">IF(AL409=0,0,AN409/AL409)</f>
        <v>0.19577132324632848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430.46875</v>
      </c>
      <c r="Z410" s="394">
        <f t="shared" si="64"/>
        <v>13775</v>
      </c>
      <c r="AA410" s="393"/>
      <c r="AB410" s="412"/>
      <c r="AC410" s="394"/>
      <c r="AD410" s="413"/>
      <c r="AE410" s="412">
        <f t="shared" si="65"/>
        <v>832.63256410256406</v>
      </c>
      <c r="AF410" s="394">
        <f t="shared" si="66"/>
        <v>32472.67</v>
      </c>
      <c r="AG410" s="395">
        <f t="shared" si="67"/>
        <v>402.16381410256406</v>
      </c>
      <c r="AH410" s="396">
        <f t="shared" si="68"/>
        <v>18697.669999999998</v>
      </c>
      <c r="AI410" s="414">
        <f t="shared" si="69"/>
        <v>1.3573626134301269</v>
      </c>
      <c r="AJ410" s="413"/>
      <c r="AK410" s="396">
        <f t="shared" si="70"/>
        <v>314.48578947368424</v>
      </c>
      <c r="AL410" s="394">
        <f t="shared" si="71"/>
        <v>11950.460000000001</v>
      </c>
      <c r="AM410" s="398">
        <f t="shared" si="72"/>
        <v>402.16381410256406</v>
      </c>
      <c r="AN410" s="396">
        <f t="shared" si="73"/>
        <v>20522.21</v>
      </c>
      <c r="AO410" s="218">
        <f t="shared" si="74"/>
        <v>1.717273644696522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110.625</v>
      </c>
      <c r="Z411" s="87">
        <f t="shared" si="64"/>
        <v>3540</v>
      </c>
      <c r="AA411" s="403"/>
      <c r="AB411" s="409"/>
      <c r="AC411" s="87"/>
      <c r="AD411" s="410"/>
      <c r="AE411" s="409">
        <f t="shared" si="65"/>
        <v>100.09282051282051</v>
      </c>
      <c r="AF411" s="87">
        <f t="shared" si="66"/>
        <v>3903.62</v>
      </c>
      <c r="AG411" s="404">
        <f t="shared" si="67"/>
        <v>-10.532179487179491</v>
      </c>
      <c r="AH411" s="405">
        <f t="shared" si="68"/>
        <v>363.61999999999989</v>
      </c>
      <c r="AI411" s="406">
        <f t="shared" si="69"/>
        <v>0.10271751412429375</v>
      </c>
      <c r="AJ411" s="410"/>
      <c r="AK411" s="405">
        <f t="shared" si="70"/>
        <v>99.11342105263158</v>
      </c>
      <c r="AL411" s="87">
        <f t="shared" si="71"/>
        <v>3766.31</v>
      </c>
      <c r="AM411" s="407">
        <f t="shared" si="72"/>
        <v>-10.532179487179491</v>
      </c>
      <c r="AN411" s="405">
        <f t="shared" si="73"/>
        <v>137.30999999999995</v>
      </c>
      <c r="AO411" s="217">
        <f t="shared" si="74"/>
        <v>3.6457434465033398E-2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67.5</v>
      </c>
      <c r="Z412" s="87">
        <f t="shared" si="64"/>
        <v>2160</v>
      </c>
      <c r="AA412" s="403"/>
      <c r="AB412" s="409"/>
      <c r="AC412" s="87"/>
      <c r="AD412" s="410"/>
      <c r="AE412" s="409">
        <f t="shared" si="65"/>
        <v>100.06769230769231</v>
      </c>
      <c r="AF412" s="87">
        <f t="shared" si="66"/>
        <v>3902.6400000000003</v>
      </c>
      <c r="AG412" s="404">
        <f t="shared" si="67"/>
        <v>32.567692307692312</v>
      </c>
      <c r="AH412" s="405">
        <f t="shared" si="68"/>
        <v>1742.6400000000003</v>
      </c>
      <c r="AI412" s="406">
        <f t="shared" si="69"/>
        <v>0.80677777777777793</v>
      </c>
      <c r="AJ412" s="410"/>
      <c r="AK412" s="405">
        <f t="shared" si="70"/>
        <v>43.371842105263163</v>
      </c>
      <c r="AL412" s="87">
        <f t="shared" si="71"/>
        <v>1648.13</v>
      </c>
      <c r="AM412" s="407">
        <f t="shared" si="72"/>
        <v>32.567692307692312</v>
      </c>
      <c r="AN412" s="405">
        <f t="shared" si="73"/>
        <v>2254.5100000000002</v>
      </c>
      <c r="AO412" s="219">
        <f t="shared" si="74"/>
        <v>1.367920006310182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90.625</v>
      </c>
      <c r="Z413" s="394">
        <f t="shared" si="64"/>
        <v>2900</v>
      </c>
      <c r="AA413" s="393"/>
      <c r="AB413" s="412"/>
      <c r="AC413" s="394"/>
      <c r="AD413" s="413"/>
      <c r="AE413" s="412">
        <f t="shared" si="65"/>
        <v>110.06410256410257</v>
      </c>
      <c r="AF413" s="394">
        <f t="shared" si="66"/>
        <v>4292.5</v>
      </c>
      <c r="AG413" s="395">
        <f t="shared" si="67"/>
        <v>19.439102564102569</v>
      </c>
      <c r="AH413" s="396">
        <f t="shared" si="68"/>
        <v>1392.5</v>
      </c>
      <c r="AI413" s="414">
        <f t="shared" si="69"/>
        <v>0.48017241379310344</v>
      </c>
      <c r="AJ413" s="413"/>
      <c r="AK413" s="396">
        <f t="shared" si="70"/>
        <v>80.133684210526312</v>
      </c>
      <c r="AL413" s="394">
        <f t="shared" si="71"/>
        <v>3045.08</v>
      </c>
      <c r="AM413" s="398">
        <f t="shared" si="72"/>
        <v>19.439102564102569</v>
      </c>
      <c r="AN413" s="396">
        <f t="shared" si="73"/>
        <v>1247.42</v>
      </c>
      <c r="AO413" s="218">
        <f t="shared" si="74"/>
        <v>0.40965097797102212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530.25846354166674</v>
      </c>
      <c r="Z414" s="87">
        <f t="shared" si="64"/>
        <v>16968.270833333336</v>
      </c>
      <c r="AA414" s="406"/>
      <c r="AB414" s="409"/>
      <c r="AC414" s="87"/>
      <c r="AD414" s="410"/>
      <c r="AE414" s="409">
        <f t="shared" si="65"/>
        <v>501.10641025641019</v>
      </c>
      <c r="AF414" s="87">
        <f t="shared" si="66"/>
        <v>19543.149999999998</v>
      </c>
      <c r="AG414" s="404">
        <f t="shared" si="67"/>
        <v>-29.152053285256557</v>
      </c>
      <c r="AH414" s="405">
        <f t="shared" si="68"/>
        <v>2574.8791666666621</v>
      </c>
      <c r="AI414" s="406">
        <f t="shared" si="69"/>
        <v>0.1517467037129345</v>
      </c>
      <c r="AJ414" s="410"/>
      <c r="AK414" s="405">
        <f t="shared" si="70"/>
        <v>553.87210526315789</v>
      </c>
      <c r="AL414" s="87">
        <f t="shared" si="71"/>
        <v>21047.14</v>
      </c>
      <c r="AM414" s="407">
        <f t="shared" si="72"/>
        <v>-29.152053285256557</v>
      </c>
      <c r="AN414" s="405">
        <f t="shared" si="73"/>
        <v>-1503.9900000000016</v>
      </c>
      <c r="AO414" s="217">
        <f t="shared" si="74"/>
        <v>-7.1458164862304413E-2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993.05572659746474</v>
      </c>
      <c r="Z415" s="87">
        <f t="shared" si="64"/>
        <v>31777.783251118872</v>
      </c>
      <c r="AA415" s="403"/>
      <c r="AB415" s="409"/>
      <c r="AC415" s="87"/>
      <c r="AD415" s="410"/>
      <c r="AE415" s="409">
        <f>IF(AF415=0,0,AF415/(J$13+J$13))</f>
        <v>600.53203124999993</v>
      </c>
      <c r="AF415" s="87">
        <f t="shared" si="66"/>
        <v>38434.049999999996</v>
      </c>
      <c r="AG415" s="404">
        <f t="shared" si="67"/>
        <v>-392.52369534746481</v>
      </c>
      <c r="AH415" s="405">
        <f t="shared" si="68"/>
        <v>6656.2667488811239</v>
      </c>
      <c r="AI415" s="406">
        <f t="shared" si="69"/>
        <v>0.20946290357263236</v>
      </c>
      <c r="AJ415" s="410"/>
      <c r="AK415" s="405">
        <f t="shared" si="70"/>
        <v>563.71236842105259</v>
      </c>
      <c r="AL415" s="87">
        <f>IFERROR(SUMIF($C:$C,$V415,Q:Q),0)</f>
        <v>21421.07</v>
      </c>
      <c r="AM415" s="407">
        <f>AE415-Y415</f>
        <v>-392.52369534746481</v>
      </c>
      <c r="AN415" s="405">
        <f>AF415-AL415</f>
        <v>17012.979999999996</v>
      </c>
      <c r="AO415" s="217">
        <f t="shared" si="74"/>
        <v>0.79421709559793219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0.2424757828580941</v>
      </c>
      <c r="Y419" s="88"/>
      <c r="Z419" s="90">
        <f>SUM(Z409:Z418)</f>
        <v>112223.48668678995</v>
      </c>
      <c r="AA419" s="89"/>
      <c r="AB419" s="88"/>
      <c r="AC419" s="90"/>
      <c r="AD419" s="91">
        <f>AF419/AF407</f>
        <v>0.31200181916468939</v>
      </c>
      <c r="AE419" s="88"/>
      <c r="AF419" s="90">
        <f>SUM(AF409:AF418)</f>
        <v>154604.43</v>
      </c>
      <c r="AG419" s="92"/>
      <c r="AH419" s="93">
        <f t="shared" ref="AH419:AH451" si="75">AF419-Z419</f>
        <v>42380.943313210038</v>
      </c>
      <c r="AI419" s="89">
        <f>AH419/Z419</f>
        <v>0.37764771496980037</v>
      </c>
      <c r="AJ419" s="91">
        <f>IF($AL$407=0,0,AL419/$AL$407)</f>
        <v>0.25292213720398282</v>
      </c>
      <c r="AK419" s="88"/>
      <c r="AL419" s="90">
        <f>SUM(AL409:AL418)</f>
        <v>106411.43</v>
      </c>
      <c r="AM419" s="94"/>
      <c r="AN419" s="93">
        <f t="shared" ref="AN419:AN424" si="76">AF419-AL419</f>
        <v>48193</v>
      </c>
      <c r="AO419" s="401">
        <f t="shared" si="74"/>
        <v>0.45289307736960216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14595.678753180664</v>
      </c>
      <c r="AA420" s="403"/>
      <c r="AB420" s="403"/>
      <c r="AC420" s="87"/>
      <c r="AD420" s="410"/>
      <c r="AE420" s="409"/>
      <c r="AF420" s="87">
        <f>SUMIFS(BV_Data_An_Cour!$O:$O,BV_Data_An_Cour!$V:$V,$V420)</f>
        <v>13343.380000000001</v>
      </c>
      <c r="AG420" s="404"/>
      <c r="AH420" s="405">
        <f t="shared" si="75"/>
        <v>-1252.298753180663</v>
      </c>
      <c r="AI420" s="406">
        <f t="shared" ref="AI420:AI432" si="77">IF(Z420=0,0,AH420/Z420)</f>
        <v>-8.5799281716019152E-2</v>
      </c>
      <c r="AJ420" s="410"/>
      <c r="AK420" s="403"/>
      <c r="AL420" s="87">
        <f>+INDEX('Réel 2023'!$A$2:$AO$501,MATCH($A420,'Réel 2023'!$A$2:$A$501,0),MATCH(F$2,'Réel 2023'!$A$2:$AO$2,0))</f>
        <v>14238.35</v>
      </c>
      <c r="AM420" s="407"/>
      <c r="AN420" s="405">
        <f t="shared" si="76"/>
        <v>-894.96999999999935</v>
      </c>
      <c r="AO420" s="217">
        <f t="shared" si="74"/>
        <v>-6.2856300062858361E-2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31218.073791348601</v>
      </c>
      <c r="AA421" s="403"/>
      <c r="AB421" s="403"/>
      <c r="AC421" s="87"/>
      <c r="AD421" s="410"/>
      <c r="AE421" s="409"/>
      <c r="AF421" s="87">
        <f t="shared" ref="AF421:AF432" si="79">+SUMIF($C:$C,$V421,L:L)</f>
        <v>32577.440000000002</v>
      </c>
      <c r="AG421" s="404"/>
      <c r="AH421" s="405">
        <f t="shared" si="75"/>
        <v>1359.3662086514014</v>
      </c>
      <c r="AI421" s="406">
        <f t="shared" si="77"/>
        <v>4.3544205120948871E-2</v>
      </c>
      <c r="AJ421" s="410"/>
      <c r="AK421" s="403"/>
      <c r="AL421" s="87">
        <f t="shared" ref="AL421:AL429" si="80">+SUMIF($C:$C,$V421,Q:Q)</f>
        <v>29108.18</v>
      </c>
      <c r="AM421" s="407"/>
      <c r="AN421" s="405">
        <f t="shared" si="76"/>
        <v>3469.260000000002</v>
      </c>
      <c r="AO421" s="217">
        <f t="shared" si="74"/>
        <v>0.11918505382335831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19075.495547073791</v>
      </c>
      <c r="AA422" s="393"/>
      <c r="AB422" s="393"/>
      <c r="AC422" s="394"/>
      <c r="AD422" s="413"/>
      <c r="AE422" s="412"/>
      <c r="AF422" s="394">
        <f t="shared" si="79"/>
        <v>23025.23</v>
      </c>
      <c r="AG422" s="395"/>
      <c r="AH422" s="396">
        <f t="shared" si="75"/>
        <v>3949.7344529262082</v>
      </c>
      <c r="AI422" s="414">
        <f t="shared" si="77"/>
        <v>0.20705802599881099</v>
      </c>
      <c r="AJ422" s="413"/>
      <c r="AK422" s="393"/>
      <c r="AL422" s="394">
        <f t="shared" si="80"/>
        <v>18747.400000000001</v>
      </c>
      <c r="AM422" s="398"/>
      <c r="AN422" s="396">
        <f t="shared" si="76"/>
        <v>4277.8299999999981</v>
      </c>
      <c r="AO422" s="399">
        <f t="shared" si="74"/>
        <v>0.22818257465035138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25473.446564885497</v>
      </c>
      <c r="AA423" s="403"/>
      <c r="AB423" s="403"/>
      <c r="AC423" s="87"/>
      <c r="AD423" s="410"/>
      <c r="AE423" s="409"/>
      <c r="AF423" s="87">
        <f t="shared" si="79"/>
        <v>29715.16</v>
      </c>
      <c r="AG423" s="404"/>
      <c r="AH423" s="405">
        <f t="shared" si="75"/>
        <v>4241.7134351145032</v>
      </c>
      <c r="AI423" s="406">
        <f t="shared" si="77"/>
        <v>0.16651509737051437</v>
      </c>
      <c r="AJ423" s="410"/>
      <c r="AK423" s="403"/>
      <c r="AL423" s="87">
        <f t="shared" si="80"/>
        <v>26784.41</v>
      </c>
      <c r="AM423" s="407"/>
      <c r="AN423" s="405">
        <f t="shared" si="76"/>
        <v>2930.75</v>
      </c>
      <c r="AO423" s="217">
        <f t="shared" si="74"/>
        <v>0.10941999469094149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13283.797831091724</v>
      </c>
      <c r="AA424" s="403"/>
      <c r="AB424" s="403"/>
      <c r="AC424" s="87"/>
      <c r="AD424" s="410"/>
      <c r="AE424" s="409"/>
      <c r="AF424" s="87">
        <f t="shared" si="79"/>
        <v>15341.02</v>
      </c>
      <c r="AG424" s="404"/>
      <c r="AH424" s="405">
        <f t="shared" si="75"/>
        <v>2057.2221689082762</v>
      </c>
      <c r="AI424" s="406">
        <f t="shared" si="77"/>
        <v>0.15486701883501972</v>
      </c>
      <c r="AJ424" s="410"/>
      <c r="AK424" s="403"/>
      <c r="AL424" s="87">
        <f t="shared" si="80"/>
        <v>13574.37</v>
      </c>
      <c r="AM424" s="407"/>
      <c r="AN424" s="405">
        <f t="shared" si="76"/>
        <v>1766.6499999999996</v>
      </c>
      <c r="AO424" s="217">
        <f t="shared" si="74"/>
        <v>0.13014600309259283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18674.676692114695</v>
      </c>
      <c r="AA428" s="393"/>
      <c r="AB428" s="393"/>
      <c r="AC428" s="394"/>
      <c r="AD428" s="413"/>
      <c r="AE428" s="412"/>
      <c r="AF428" s="394">
        <f t="shared" si="79"/>
        <v>17886.45</v>
      </c>
      <c r="AG428" s="395"/>
      <c r="AH428" s="396">
        <f t="shared" si="75"/>
        <v>-788.22669211469474</v>
      </c>
      <c r="AI428" s="414">
        <f t="shared" si="77"/>
        <v>-4.220831798643776E-2</v>
      </c>
      <c r="AJ428" s="413"/>
      <c r="AK428" s="393"/>
      <c r="AL428" s="394">
        <f t="shared" si="80"/>
        <v>16189.77</v>
      </c>
      <c r="AM428" s="398"/>
      <c r="AN428" s="396">
        <f t="shared" si="81"/>
        <v>1696.6800000000003</v>
      </c>
      <c r="AO428" s="218">
        <f t="shared" si="74"/>
        <v>0.10479951228460938</v>
      </c>
      <c r="AP428" s="722"/>
      <c r="AQ428" s="1133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25898.653297179262</v>
      </c>
      <c r="AA429" s="403"/>
      <c r="AB429" s="403"/>
      <c r="AC429" s="87"/>
      <c r="AD429" s="410"/>
      <c r="AE429" s="409"/>
      <c r="AF429" s="87">
        <f t="shared" si="79"/>
        <v>22912.42</v>
      </c>
      <c r="AG429" s="404"/>
      <c r="AH429" s="405">
        <f t="shared" si="75"/>
        <v>-2986.2332971792639</v>
      </c>
      <c r="AI429" s="406">
        <f t="shared" si="77"/>
        <v>-0.11530457830811257</v>
      </c>
      <c r="AJ429" s="410"/>
      <c r="AK429" s="403"/>
      <c r="AL429" s="87">
        <f t="shared" si="80"/>
        <v>21924.579999999998</v>
      </c>
      <c r="AM429" s="407"/>
      <c r="AN429" s="405">
        <f t="shared" si="81"/>
        <v>987.84000000000015</v>
      </c>
      <c r="AO429" s="217">
        <f t="shared" si="74"/>
        <v>4.5056279299307E-2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12257.377896374916</v>
      </c>
      <c r="AA430" s="403"/>
      <c r="AB430" s="403"/>
      <c r="AC430" s="87"/>
      <c r="AD430" s="410"/>
      <c r="AE430" s="409"/>
      <c r="AF430" s="87">
        <f t="shared" si="79"/>
        <v>7969.4400000000005</v>
      </c>
      <c r="AG430" s="404"/>
      <c r="AH430" s="405">
        <f t="shared" si="75"/>
        <v>-4287.937896374915</v>
      </c>
      <c r="AI430" s="406">
        <f t="shared" si="77"/>
        <v>-0.34982505496897998</v>
      </c>
      <c r="AJ430" s="410"/>
      <c r="AK430" s="403"/>
      <c r="AL430" s="87">
        <f>IFERROR(SUMIF($C:$C,$V430,Q:Q),0)</f>
        <v>12665.97</v>
      </c>
      <c r="AM430" s="407"/>
      <c r="AN430" s="405">
        <f t="shared" si="81"/>
        <v>-4696.5299999999988</v>
      </c>
      <c r="AO430" s="217">
        <f t="shared" si="74"/>
        <v>-0.37079907815982505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2767.7950088588518</v>
      </c>
      <c r="AA431" s="403"/>
      <c r="AB431" s="403"/>
      <c r="AC431" s="87"/>
      <c r="AD431" s="410"/>
      <c r="AE431" s="409"/>
      <c r="AF431" s="87">
        <f t="shared" si="79"/>
        <v>1966.2600000000002</v>
      </c>
      <c r="AG431" s="404"/>
      <c r="AH431" s="405">
        <f t="shared" si="75"/>
        <v>-801.5350088588516</v>
      </c>
      <c r="AI431" s="97">
        <f t="shared" si="77"/>
        <v>-0.28959334282104965</v>
      </c>
      <c r="AJ431" s="410"/>
      <c r="AK431" s="403"/>
      <c r="AL431" s="87">
        <f>IFERROR(SUMIF($C:$C,$V431,Q:Q),0)</f>
        <v>1477.47</v>
      </c>
      <c r="AM431" s="407"/>
      <c r="AN431" s="405">
        <f t="shared" si="81"/>
        <v>488.79000000000019</v>
      </c>
      <c r="AO431" s="218">
        <f t="shared" si="74"/>
        <v>0.33082905236654564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0.35271545397102666</v>
      </c>
      <c r="Y433" s="88"/>
      <c r="Z433" s="90">
        <f>SUM(Z420:Z432)</f>
        <v>163244.99538210797</v>
      </c>
      <c r="AA433" s="89"/>
      <c r="AB433" s="88"/>
      <c r="AC433" s="90"/>
      <c r="AD433" s="91">
        <f>AF433/AF407</f>
        <v>0.33244960240382254</v>
      </c>
      <c r="AE433" s="98"/>
      <c r="AF433" s="90">
        <f>SUM(AF420:AF432)</f>
        <v>164736.80000000005</v>
      </c>
      <c r="AG433" s="99"/>
      <c r="AH433" s="93">
        <f t="shared" si="75"/>
        <v>1491.8046178920777</v>
      </c>
      <c r="AI433" s="89">
        <f>AH433/Z433</f>
        <v>9.1384401365579813E-3</v>
      </c>
      <c r="AJ433" s="91">
        <f>IF($AL$407=0,0,AL433/$AL$407)</f>
        <v>0.36772093287250046</v>
      </c>
      <c r="AK433" s="88"/>
      <c r="AL433" s="90">
        <f>SUM(AL420:AL432)</f>
        <v>154710.5</v>
      </c>
      <c r="AM433" s="100"/>
      <c r="AN433" s="93">
        <f t="shared" ref="AN433:AN447" si="82">AF433-AL433</f>
        <v>10026.300000000047</v>
      </c>
      <c r="AO433" s="401">
        <f>IF(AL433=0,0,AN433/AL433)</f>
        <v>6.4806848921049612E-2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9136.4808768017629</v>
      </c>
      <c r="AA434" s="417"/>
      <c r="AB434" s="417"/>
      <c r="AC434" s="243"/>
      <c r="AD434" s="418"/>
      <c r="AE434" s="419"/>
      <c r="AF434" s="243">
        <f t="shared" ref="AF434:AF451" si="84">+SUMIF($C:$C,$V434,L:L)</f>
        <v>15355.34</v>
      </c>
      <c r="AG434" s="418"/>
      <c r="AH434" s="420">
        <f t="shared" si="75"/>
        <v>6218.8591231982373</v>
      </c>
      <c r="AI434" s="421">
        <f t="shared" ref="AI434:AI451" si="85">IF(Z434=0,0,AH434/Z434)</f>
        <v>0.68066241335746736</v>
      </c>
      <c r="AJ434" s="418"/>
      <c r="AK434" s="417"/>
      <c r="AL434" s="243">
        <f t="shared" ref="AL434:AL448" si="86">+SUMIF($C:$C,$V434,Q:Q)</f>
        <v>13476.789999999999</v>
      </c>
      <c r="AM434" s="422"/>
      <c r="AN434" s="420">
        <f t="shared" si="82"/>
        <v>1878.5500000000011</v>
      </c>
      <c r="AO434" s="216">
        <f t="shared" ref="AO434:AO447" si="87">IF(AL434=0,0,AN434/AL434)</f>
        <v>0.13939150198229705</v>
      </c>
      <c r="AP434" s="79"/>
      <c r="AQ434" s="79">
        <f>27672-12317</f>
        <v>15355</v>
      </c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4650.79</v>
      </c>
      <c r="AG435" s="404"/>
      <c r="AH435" s="405">
        <f t="shared" si="75"/>
        <v>685.79</v>
      </c>
      <c r="AI435" s="406">
        <f t="shared" si="85"/>
        <v>0.17296090794451449</v>
      </c>
      <c r="AJ435" s="410"/>
      <c r="AK435" s="403"/>
      <c r="AL435" s="87">
        <f t="shared" si="86"/>
        <v>3462.6399999999903</v>
      </c>
      <c r="AM435" s="407"/>
      <c r="AN435" s="405">
        <f t="shared" si="82"/>
        <v>1188.1500000000096</v>
      </c>
      <c r="AO435" s="217">
        <f t="shared" si="87"/>
        <v>0.34313414042465085</v>
      </c>
      <c r="AP435" s="79"/>
      <c r="AQ435" s="79">
        <v>4651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26018.78</v>
      </c>
      <c r="AG436" s="395"/>
      <c r="AH436" s="396">
        <f t="shared" si="75"/>
        <v>10715.446666666665</v>
      </c>
      <c r="AI436" s="414">
        <f t="shared" si="85"/>
        <v>0.70020344151600944</v>
      </c>
      <c r="AJ436" s="413"/>
      <c r="AK436" s="393"/>
      <c r="AL436" s="394">
        <f t="shared" si="86"/>
        <v>16656.37</v>
      </c>
      <c r="AM436" s="398"/>
      <c r="AN436" s="396">
        <f t="shared" si="82"/>
        <v>9362.41</v>
      </c>
      <c r="AO436" s="399">
        <f t="shared" si="87"/>
        <v>0.56209186035132508</v>
      </c>
      <c r="AP436" s="79"/>
      <c r="AQ436" s="79">
        <v>26019</v>
      </c>
      <c r="AR436" s="1047" t="s">
        <v>2955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13448.39</v>
      </c>
      <c r="AG437" s="404"/>
      <c r="AH437" s="405">
        <f>AF437-Z437</f>
        <v>-644.61000000000058</v>
      </c>
      <c r="AI437" s="406">
        <f t="shared" si="85"/>
        <v>-4.573972894344714E-2</v>
      </c>
      <c r="AJ437" s="410"/>
      <c r="AK437" s="403"/>
      <c r="AL437" s="87">
        <f t="shared" si="86"/>
        <v>14607.89</v>
      </c>
      <c r="AM437" s="407"/>
      <c r="AN437" s="405">
        <f t="shared" si="82"/>
        <v>-1159.5</v>
      </c>
      <c r="AO437" s="217">
        <f t="shared" si="87"/>
        <v>-7.9374913146251794E-2</v>
      </c>
      <c r="AP437" s="1047"/>
      <c r="AQ437" s="79">
        <v>13448</v>
      </c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1920.1400000000003</v>
      </c>
      <c r="AG438" s="404"/>
      <c r="AH438" s="405">
        <f t="shared" si="75"/>
        <v>92.140000000000327</v>
      </c>
      <c r="AI438" s="406">
        <f t="shared" si="85"/>
        <v>5.0404814004376547E-2</v>
      </c>
      <c r="AJ438" s="410"/>
      <c r="AK438" s="403"/>
      <c r="AL438" s="87">
        <f t="shared" si="86"/>
        <v>2480.77</v>
      </c>
      <c r="AM438" s="407"/>
      <c r="AN438" s="405">
        <f t="shared" si="82"/>
        <v>-560.62999999999965</v>
      </c>
      <c r="AO438" s="217">
        <f t="shared" si="87"/>
        <v>-0.22599031752238202</v>
      </c>
      <c r="AP438" s="1047"/>
      <c r="AQ438" s="79">
        <v>1920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14739.76</v>
      </c>
      <c r="AG439" s="404"/>
      <c r="AH439" s="405">
        <f t="shared" si="75"/>
        <v>3773.7599999999984</v>
      </c>
      <c r="AI439" s="406">
        <f t="shared" si="85"/>
        <v>0.34413277402881615</v>
      </c>
      <c r="AJ439" s="410"/>
      <c r="AK439" s="403"/>
      <c r="AL439" s="87">
        <f t="shared" si="86"/>
        <v>11928.33</v>
      </c>
      <c r="AM439" s="407"/>
      <c r="AN439" s="405">
        <f t="shared" si="82"/>
        <v>2811.4300000000003</v>
      </c>
      <c r="AO439" s="217">
        <f t="shared" si="87"/>
        <v>0.23569351283876286</v>
      </c>
      <c r="AP439" s="79"/>
      <c r="AQ439" s="79">
        <f>17115-2375</f>
        <v>14740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1356.7558469170799</v>
      </c>
      <c r="AA441" s="403"/>
      <c r="AB441" s="409"/>
      <c r="AC441" s="87"/>
      <c r="AD441" s="410"/>
      <c r="AE441" s="409"/>
      <c r="AF441" s="87">
        <f t="shared" si="84"/>
        <v>612.36000000000013</v>
      </c>
      <c r="AG441" s="404"/>
      <c r="AH441" s="405">
        <f t="shared" si="75"/>
        <v>-744.39584691707978</v>
      </c>
      <c r="AI441" s="406">
        <f t="shared" si="85"/>
        <v>-0.54865866147439168</v>
      </c>
      <c r="AJ441" s="410"/>
      <c r="AK441" s="403"/>
      <c r="AL441" s="87">
        <f t="shared" si="86"/>
        <v>2371.11</v>
      </c>
      <c r="AM441" s="407"/>
      <c r="AN441" s="405">
        <f t="shared" si="82"/>
        <v>-1758.75</v>
      </c>
      <c r="AO441" s="217">
        <f t="shared" si="87"/>
        <v>-0.74174120981312541</v>
      </c>
      <c r="AP441" s="79"/>
      <c r="AQ441" s="79">
        <v>612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2026.62</v>
      </c>
      <c r="AG442" s="404"/>
      <c r="AH442" s="405">
        <f t="shared" si="75"/>
        <v>1023.6199999999999</v>
      </c>
      <c r="AI442" s="97">
        <f t="shared" si="85"/>
        <v>1.0205583250249251</v>
      </c>
      <c r="AJ442" s="410"/>
      <c r="AK442" s="403"/>
      <c r="AL442" s="87">
        <f t="shared" si="86"/>
        <v>710.75</v>
      </c>
      <c r="AM442" s="407"/>
      <c r="AN442" s="405">
        <f t="shared" si="82"/>
        <v>1315.87</v>
      </c>
      <c r="AO442" s="217">
        <f t="shared" si="87"/>
        <v>1.8513823425958493</v>
      </c>
      <c r="AP442" s="79"/>
      <c r="AQ442" s="79">
        <v>2027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1644.41</v>
      </c>
      <c r="AG443" s="404"/>
      <c r="AH443" s="405">
        <f t="shared" si="75"/>
        <v>-105.58999999999992</v>
      </c>
      <c r="AI443" s="406">
        <f t="shared" si="85"/>
        <v>-6.0337142857142811E-2</v>
      </c>
      <c r="AJ443" s="410"/>
      <c r="AK443" s="403"/>
      <c r="AL443" s="87">
        <f t="shared" si="86"/>
        <v>1703.29</v>
      </c>
      <c r="AM443" s="407"/>
      <c r="AN443" s="405">
        <f t="shared" si="82"/>
        <v>-58.879999999999882</v>
      </c>
      <c r="AO443" s="217">
        <f t="shared" si="87"/>
        <v>-3.4568394107873518E-2</v>
      </c>
      <c r="AP443" s="79"/>
      <c r="AQ443" s="79">
        <f>1344+300</f>
        <v>1644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987.09</v>
      </c>
      <c r="AG444" s="404"/>
      <c r="AH444" s="405">
        <f t="shared" si="75"/>
        <v>475.09000000000003</v>
      </c>
      <c r="AI444" s="97">
        <f t="shared" si="85"/>
        <v>0.92791015625000006</v>
      </c>
      <c r="AJ444" s="410"/>
      <c r="AK444" s="403"/>
      <c r="AL444" s="87">
        <f t="shared" si="86"/>
        <v>496.31999999999994</v>
      </c>
      <c r="AM444" s="407"/>
      <c r="AN444" s="405">
        <f t="shared" si="82"/>
        <v>490.7700000000001</v>
      </c>
      <c r="AO444" s="217">
        <f t="shared" si="87"/>
        <v>0.98881769825918797</v>
      </c>
      <c r="AP444" s="79"/>
      <c r="AQ444" s="79">
        <v>987</v>
      </c>
      <c r="AR444" s="79" t="s">
        <v>2961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933.29</v>
      </c>
      <c r="AG445" s="404"/>
      <c r="AH445" s="405">
        <f t="shared" si="75"/>
        <v>58.289999999999964</v>
      </c>
      <c r="AI445" s="406">
        <f t="shared" si="85"/>
        <v>6.6617142857142819E-2</v>
      </c>
      <c r="AJ445" s="410"/>
      <c r="AK445" s="403"/>
      <c r="AL445" s="87">
        <f t="shared" si="86"/>
        <v>1253.58</v>
      </c>
      <c r="AM445" s="407"/>
      <c r="AN445" s="405">
        <f t="shared" si="82"/>
        <v>-320.28999999999996</v>
      </c>
      <c r="AO445" s="217">
        <f t="shared" si="87"/>
        <v>-0.25550024729175641</v>
      </c>
      <c r="AP445" s="79"/>
      <c r="AQ445" s="79">
        <v>933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1643.9999999999998</v>
      </c>
      <c r="AG446" s="404"/>
      <c r="AH446" s="405">
        <f t="shared" si="75"/>
        <v>-214.00000000000023</v>
      </c>
      <c r="AI446" s="97">
        <f t="shared" si="85"/>
        <v>-0.11517761033369227</v>
      </c>
      <c r="AJ446" s="410"/>
      <c r="AK446" s="403"/>
      <c r="AL446" s="87">
        <f t="shared" si="86"/>
        <v>1670.99</v>
      </c>
      <c r="AM446" s="407"/>
      <c r="AN446" s="405">
        <f t="shared" si="82"/>
        <v>-26.990000000000236</v>
      </c>
      <c r="AO446" s="217">
        <f t="shared" si="87"/>
        <v>-1.6152101448841848E-2</v>
      </c>
      <c r="AP446" s="79"/>
      <c r="AQ446" s="79">
        <v>1446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2468.7299999999996</v>
      </c>
      <c r="AG447" s="404"/>
      <c r="AH447" s="405">
        <f t="shared" si="75"/>
        <v>-141.17106666666677</v>
      </c>
      <c r="AI447" s="406">
        <f t="shared" si="85"/>
        <v>-5.4090581620003221E-2</v>
      </c>
      <c r="AJ447" s="410"/>
      <c r="AK447" s="403"/>
      <c r="AL447" s="87">
        <f t="shared" si="86"/>
        <v>3247.26</v>
      </c>
      <c r="AM447" s="407"/>
      <c r="AN447" s="405">
        <f t="shared" si="82"/>
        <v>-778.53000000000065</v>
      </c>
      <c r="AO447" s="217">
        <f t="shared" si="87"/>
        <v>-0.2397498198481183</v>
      </c>
      <c r="AP447" s="79"/>
      <c r="AQ447" s="79">
        <v>2469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1.5100000000000001E-3</v>
      </c>
      <c r="Z448" s="87">
        <f t="shared" si="83"/>
        <v>5396.6953788307801</v>
      </c>
      <c r="AA448" s="403"/>
      <c r="AB448" s="409"/>
      <c r="AC448" s="87"/>
      <c r="AD448" s="410"/>
      <c r="AE448" s="409"/>
      <c r="AF448" s="87">
        <f t="shared" si="84"/>
        <v>10642.349999999999</v>
      </c>
      <c r="AG448" s="404"/>
      <c r="AH448" s="405">
        <f t="shared" si="75"/>
        <v>5245.6546211692184</v>
      </c>
      <c r="AI448" s="406">
        <f t="shared" si="85"/>
        <v>0.97201236181422468</v>
      </c>
      <c r="AJ448" s="410"/>
      <c r="AK448" s="403"/>
      <c r="AL448" s="87">
        <f t="shared" si="86"/>
        <v>7798.8599999999988</v>
      </c>
      <c r="AM448" s="407"/>
      <c r="AN448" s="405">
        <f>AF448-AL448</f>
        <v>2843.49</v>
      </c>
      <c r="AO448" s="217">
        <f>IF(AL448=0,0,AN448/AL448)</f>
        <v>0.36460328817288684</v>
      </c>
      <c r="AP448" s="79"/>
      <c r="AQ448" s="79">
        <v>10642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0.15265683115801457</v>
      </c>
      <c r="Y452" s="88"/>
      <c r="Z452" s="90">
        <f>+SUM(Z434:Z451)</f>
        <v>70653.166502549619</v>
      </c>
      <c r="AA452" s="89"/>
      <c r="AB452" s="88"/>
      <c r="AC452" s="90"/>
      <c r="AD452" s="91">
        <f>AF452/AF407</f>
        <v>0.19593808680921354</v>
      </c>
      <c r="AE452" s="88"/>
      <c r="AF452" s="90">
        <f>+SUM(AF434:AF451)</f>
        <v>97092.049999999988</v>
      </c>
      <c r="AG452" s="99"/>
      <c r="AH452" s="93">
        <f>+SUM(AH434:AH451)</f>
        <v>26438.883497450373</v>
      </c>
      <c r="AI452" s="89">
        <f>AH452/Z452</f>
        <v>0.37420663228867868</v>
      </c>
      <c r="AJ452" s="91">
        <f>IF($AL$407=0,0,AL452/$AL$407)</f>
        <v>0.19457926762282202</v>
      </c>
      <c r="AK452" s="89"/>
      <c r="AL452" s="90">
        <f>+SUM(AL434:AL451)</f>
        <v>81864.95</v>
      </c>
      <c r="AM452" s="100"/>
      <c r="AN452" s="93">
        <f>+SUM(AN434:AN451)</f>
        <v>15227.100000000015</v>
      </c>
      <c r="AO452" s="558">
        <f>IF(AL452=0,0,AN452/AL452)</f>
        <v>0.18600267880210047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2372.3599999999997</v>
      </c>
      <c r="AG455" s="395"/>
      <c r="AH455" s="396">
        <f t="shared" si="88"/>
        <v>-144.27000000000044</v>
      </c>
      <c r="AI455" s="414">
        <f t="shared" si="89"/>
        <v>-5.7326663037474891E-2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-36.070000000000164</v>
      </c>
      <c r="AO455" s="399">
        <f t="shared" si="90"/>
        <v>-1.4976561494417595E-2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4522.5</v>
      </c>
      <c r="AG458" s="404"/>
      <c r="AH458" s="405">
        <f t="shared" si="88"/>
        <v>-77.5</v>
      </c>
      <c r="AI458" s="406">
        <f t="shared" si="89"/>
        <v>-1.6847826086956522E-2</v>
      </c>
      <c r="AJ458" s="410"/>
      <c r="AK458" s="403"/>
      <c r="AL458" s="87">
        <f>+INDEX('Réel 2023'!$A$2:$AO$501,MATCH($A458,'Réel 2023'!$A$2:$A$501,0),MATCH(F$2,'Réel 2023'!$A$2:$AO$2,0))</f>
        <v>4462.62</v>
      </c>
      <c r="AM458" s="407"/>
      <c r="AN458" s="405">
        <f t="shared" si="91"/>
        <v>59.880000000000109</v>
      </c>
      <c r="AO458" s="217">
        <f t="shared" si="90"/>
        <v>1.341812657138634E-2</v>
      </c>
      <c r="AP458" s="79"/>
      <c r="AQ458" s="79">
        <f>3523+1000</f>
        <v>4523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6402.47</v>
      </c>
      <c r="AM459" s="407"/>
      <c r="AN459" s="405">
        <f t="shared" si="91"/>
        <v>-95.140000000000327</v>
      </c>
      <c r="AO459" s="217">
        <f t="shared" si="90"/>
        <v>-1.4859890011198853E-2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371.68</v>
      </c>
      <c r="AG460" s="395"/>
      <c r="AH460" s="396">
        <f t="shared" si="88"/>
        <v>-128.32</v>
      </c>
      <c r="AI460" s="414">
        <f t="shared" si="89"/>
        <v>-0.25663999999999998</v>
      </c>
      <c r="AJ460" s="413"/>
      <c r="AK460" s="393"/>
      <c r="AL460" s="394">
        <f>+INDEX('Réel 2023'!$A$2:$AO$501,MATCH($A460,'Réel 2023'!$A$2:$A$501,0),MATCH(F$2,'Réel 2023'!$A$2:$AO$2,0))</f>
        <v>0</v>
      </c>
      <c r="AM460" s="398"/>
      <c r="AN460" s="396">
        <f t="shared" si="91"/>
        <v>371.68</v>
      </c>
      <c r="AO460" s="399">
        <f t="shared" si="90"/>
        <v>0</v>
      </c>
      <c r="AP460" s="79"/>
      <c r="AQ460" s="79">
        <f>1122-750</f>
        <v>372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618.86</v>
      </c>
      <c r="AG461" s="404"/>
      <c r="AH461" s="405">
        <f t="shared" si="88"/>
        <v>343.86</v>
      </c>
      <c r="AI461" s="423">
        <f t="shared" si="89"/>
        <v>1.2504</v>
      </c>
      <c r="AJ461" s="403"/>
      <c r="AK461" s="403"/>
      <c r="AL461" s="87">
        <f>+INDEX('Réel 2023'!$A$2:$AO$501,MATCH($A461,'Réel 2023'!$A$2:$A$501,0),MATCH(F$2,'Réel 2023'!$A$2:$AO$2,0))</f>
        <v>667.479999999999</v>
      </c>
      <c r="AM461" s="407"/>
      <c r="AN461" s="405">
        <f t="shared" si="91"/>
        <v>-48.619999999998981</v>
      </c>
      <c r="AO461" s="217">
        <f t="shared" si="90"/>
        <v>-7.2841133816742162E-2</v>
      </c>
      <c r="AP461" s="79"/>
      <c r="AQ461" s="79">
        <v>619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0.16152274578081247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0.1494942133292278</v>
      </c>
      <c r="AE466" s="88"/>
      <c r="AF466" s="90">
        <f>SUM(AF453:AF465)</f>
        <v>74077.989999999991</v>
      </c>
      <c r="AG466" s="99"/>
      <c r="AH466" s="93">
        <f>SUM(AH453:AH465)</f>
        <v>-678.53000000000054</v>
      </c>
      <c r="AI466" s="89">
        <f>IF(Z466=0,0,AH466/Z466)</f>
        <v>-9.0765327224969893E-3</v>
      </c>
      <c r="AJ466" s="91">
        <f>IF($AL$407=0,0,AL466/$AL$407)</f>
        <v>0.17667627651707157</v>
      </c>
      <c r="AK466" s="89"/>
      <c r="AL466" s="90">
        <f>SUM(AL453:AL465)</f>
        <v>74332.66</v>
      </c>
      <c r="AM466" s="100"/>
      <c r="AN466" s="93">
        <f>SUM(AN453:AN465)</f>
        <v>-254.66999999999899</v>
      </c>
      <c r="AO466" s="558">
        <f t="shared" ref="AO466:AO483" si="92">IF(AL466=0,0,AN466/AL466)</f>
        <v>-3.4260848461497139E-3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0.90937081376794759</v>
      </c>
      <c r="Y468" s="88"/>
      <c r="Z468" s="90">
        <f>Z419+Z433+Z452+Z466</f>
        <v>420878.16857144749</v>
      </c>
      <c r="AA468" s="89"/>
      <c r="AB468" s="88"/>
      <c r="AC468" s="90"/>
      <c r="AD468" s="91">
        <f>AF468/AF407</f>
        <v>0.98988372170695327</v>
      </c>
      <c r="AE468" s="88"/>
      <c r="AF468" s="90">
        <f>AF419+AF433+AF452+AF466</f>
        <v>490511.27</v>
      </c>
      <c r="AG468" s="99"/>
      <c r="AH468" s="93">
        <f t="shared" si="93"/>
        <v>69633.101428552531</v>
      </c>
      <c r="AI468" s="89">
        <f>AH468/Z468</f>
        <v>0.16544716886813707</v>
      </c>
      <c r="AJ468" s="91">
        <f>IF($AL$407=0,0,AL468/$AL$407)</f>
        <v>0.99189861421637693</v>
      </c>
      <c r="AK468" s="89"/>
      <c r="AL468" s="90">
        <f>AL419+AL433+AL452+AL466</f>
        <v>417319.54000000004</v>
      </c>
      <c r="AM468" s="100"/>
      <c r="AN468" s="93">
        <f t="shared" si="94"/>
        <v>73191.729999999981</v>
      </c>
      <c r="AO468" s="401">
        <f t="shared" si="92"/>
        <v>0.17538534141008585</v>
      </c>
      <c r="AP468" s="101">
        <f>AF468+AF491+AF492+AF493+AF494+AF495+AF496</f>
        <v>508473.35000000003</v>
      </c>
      <c r="AQ468" s="79" t="s">
        <v>2360</v>
      </c>
      <c r="AR468" s="79">
        <f>397160+46479</f>
        <v>443639</v>
      </c>
      <c r="AS468" s="101">
        <f>AP468-AR468</f>
        <v>64834.350000000035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2213.87</v>
      </c>
      <c r="AG469" s="246"/>
      <c r="AH469" s="405">
        <f t="shared" si="93"/>
        <v>1313.87</v>
      </c>
      <c r="AI469" s="423">
        <f>IF(AH469=0,0,AH469/Z469)</f>
        <v>1.4598555555555555</v>
      </c>
      <c r="AJ469" s="247"/>
      <c r="AK469" s="244"/>
      <c r="AL469" s="426">
        <f>+INDEX('Réel 2023'!$A$2:$AO$501,MATCH($A469,'Réel 2023'!$A$2:$A$501,0),MATCH(F$2,'Réel 2023'!$A$2:$AO$2,0))</f>
        <v>3408.08</v>
      </c>
      <c r="AM469" s="248"/>
      <c r="AN469" s="405">
        <f t="shared" si="94"/>
        <v>-1194.21</v>
      </c>
      <c r="AO469" s="217">
        <f t="shared" si="92"/>
        <v>-0.35040550691298328</v>
      </c>
      <c r="AP469" s="79"/>
      <c r="AQ469" s="79">
        <v>2214</v>
      </c>
      <c r="AR469" s="79" t="s">
        <v>2956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33281.009230769239</v>
      </c>
      <c r="AA470" s="249"/>
      <c r="AB470" s="242"/>
      <c r="AC470" s="87"/>
      <c r="AD470" s="251"/>
      <c r="AE470" s="242"/>
      <c r="AF470" s="87">
        <f t="shared" ref="AF470:AF476" si="96">+SUMIF($C:$C,$V470,L:L)</f>
        <v>76456</v>
      </c>
      <c r="AG470" s="250"/>
      <c r="AH470" s="405">
        <f t="shared" si="93"/>
        <v>43174.990769230761</v>
      </c>
      <c r="AI470" s="97">
        <f>IF(Z470=0,0,AH470/Z470)</f>
        <v>1.2972861030101892</v>
      </c>
      <c r="AJ470" s="251"/>
      <c r="AK470" s="249"/>
      <c r="AL470" s="252">
        <f t="shared" ref="AL470:AL479" si="97">+SUMIF($C:$C,$V470,Q:Q)</f>
        <v>28951</v>
      </c>
      <c r="AM470" s="253"/>
      <c r="AN470" s="405">
        <f t="shared" si="94"/>
        <v>47505</v>
      </c>
      <c r="AO470" s="217">
        <f t="shared" si="92"/>
        <v>1.6408759628337535</v>
      </c>
      <c r="AP470" s="79"/>
      <c r="AQ470" s="79">
        <v>76456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95"/>
        <v>29120.883076923088</v>
      </c>
      <c r="AA471" s="249"/>
      <c r="AB471" s="242"/>
      <c r="AC471" s="87"/>
      <c r="AD471" s="251"/>
      <c r="AE471" s="242"/>
      <c r="AF471" s="87">
        <f t="shared" si="96"/>
        <v>53053.83</v>
      </c>
      <c r="AG471" s="250"/>
      <c r="AH471" s="405">
        <f t="shared" si="93"/>
        <v>23932.946923076914</v>
      </c>
      <c r="AI471" s="97">
        <f t="shared" ref="AI471:AI480" si="98">IF(AH471=0,0,AH471/Z471)</f>
        <v>0.82184825439042519</v>
      </c>
      <c r="AJ471" s="251"/>
      <c r="AK471" s="249"/>
      <c r="AL471" s="252">
        <f>+SUMIF($C:$C,$V471,Q:Q)</f>
        <v>36663.839999999997</v>
      </c>
      <c r="AM471" s="253"/>
      <c r="AN471" s="405">
        <f t="shared" si="94"/>
        <v>16389.990000000005</v>
      </c>
      <c r="AO471" s="217">
        <f t="shared" si="92"/>
        <v>0.44703418954479418</v>
      </c>
      <c r="AP471" s="79"/>
      <c r="AQ471" s="79">
        <v>53054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95"/>
        <v>1875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-1875</v>
      </c>
      <c r="AI474" s="97">
        <f t="shared" si="98"/>
        <v>-1</v>
      </c>
      <c r="AJ474" s="251"/>
      <c r="AK474" s="249"/>
      <c r="AL474" s="252">
        <f t="shared" si="97"/>
        <v>1875</v>
      </c>
      <c r="AM474" s="253"/>
      <c r="AN474" s="405">
        <f t="shared" ref="AN474:AN483" si="99">AF474-AL474</f>
        <v>-1875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95"/>
        <v>1214.7058823529412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-1214.7058823529412</v>
      </c>
      <c r="AI475" s="97">
        <f t="shared" si="98"/>
        <v>-1</v>
      </c>
      <c r="AJ475" s="251"/>
      <c r="AK475" s="249"/>
      <c r="AL475" s="252">
        <f t="shared" si="97"/>
        <v>0</v>
      </c>
      <c r="AM475" s="253"/>
      <c r="AN475" s="405">
        <f t="shared" si="99"/>
        <v>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17472.529846153851</v>
      </c>
      <c r="AA477" s="249"/>
      <c r="AB477" s="242"/>
      <c r="AC477" s="87"/>
      <c r="AD477" s="251"/>
      <c r="AE477" s="242"/>
      <c r="AF477" s="87">
        <f>-SUMIFS(BV_Data_An_Cour!$O:$O,BV_Data_An_Cour!$V:$V,$V477)</f>
        <v>33761.279999999999</v>
      </c>
      <c r="AG477" s="250"/>
      <c r="AH477" s="405">
        <f t="shared" si="93"/>
        <v>16288.750153846147</v>
      </c>
      <c r="AI477" s="97">
        <f t="shared" si="98"/>
        <v>0.93224909599634853</v>
      </c>
      <c r="AJ477" s="251"/>
      <c r="AK477" s="249"/>
      <c r="AL477" s="252">
        <f>+INDEX('Réel 2023'!$A$2:$AO$501,MATCH($A477,'Réel 2023'!$A$2:$A$501,0),MATCH(F$2,'Réel 2023'!$A$2:$AO$2,0))</f>
        <v>19610.89</v>
      </c>
      <c r="AM477" s="253"/>
      <c r="AN477" s="405">
        <f t="shared" si="99"/>
        <v>14150.39</v>
      </c>
      <c r="AO477" s="217">
        <f t="shared" si="92"/>
        <v>0.72155776713856434</v>
      </c>
      <c r="AP477" s="79"/>
      <c r="AQ477" s="79">
        <v>33761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18861.5</v>
      </c>
      <c r="AA480" s="249"/>
      <c r="AB480" s="242"/>
      <c r="AC480" s="87"/>
      <c r="AD480" s="251"/>
      <c r="AE480" s="242"/>
      <c r="AF480" s="87">
        <f>+SUMIF($C:$C,$V480,L:L)</f>
        <v>24990</v>
      </c>
      <c r="AG480" s="250"/>
      <c r="AH480" s="405">
        <f t="shared" si="93"/>
        <v>6128.5</v>
      </c>
      <c r="AI480" s="97">
        <f t="shared" si="98"/>
        <v>0.32492113564668768</v>
      </c>
      <c r="AJ480" s="251"/>
      <c r="AK480" s="249"/>
      <c r="AL480" s="252">
        <f>+INDEX('Réel 2023'!$A$2:$AO$501,MATCH($A480,'Réel 2023'!$A$2:$A$501,0),MATCH(F$2,'Réel 2023'!$A$2:$AO$2,0))</f>
        <v>20825</v>
      </c>
      <c r="AM480" s="253"/>
      <c r="AN480" s="405">
        <f t="shared" si="99"/>
        <v>4165</v>
      </c>
      <c r="AO480" s="217">
        <f t="shared" si="92"/>
        <v>0.2</v>
      </c>
      <c r="AP480" s="79"/>
      <c r="AQ480" s="79">
        <v>24990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0.2219542255640751</v>
      </c>
      <c r="Y481" s="103"/>
      <c r="Z481" s="90">
        <f>SUM(Z469:Z480)</f>
        <v>102725.62803619911</v>
      </c>
      <c r="AA481" s="89"/>
      <c r="AB481" s="103"/>
      <c r="AC481" s="90"/>
      <c r="AD481" s="89">
        <f>AF481/+AF407</f>
        <v>0.38439092764261562</v>
      </c>
      <c r="AE481" s="103"/>
      <c r="AF481" s="90">
        <f>SUM(AF469:AF480)</f>
        <v>190474.98</v>
      </c>
      <c r="AG481" s="99"/>
      <c r="AH481" s="93">
        <f t="shared" si="93"/>
        <v>87749.351963800902</v>
      </c>
      <c r="AI481" s="89">
        <f>AH481/Z481</f>
        <v>0.85421090765080776</v>
      </c>
      <c r="AJ481" s="109"/>
      <c r="AK481" s="110"/>
      <c r="AL481" s="90">
        <f>SUM(AL469:AL480)</f>
        <v>111333.81</v>
      </c>
      <c r="AM481" s="111"/>
      <c r="AN481" s="93">
        <f t="shared" si="99"/>
        <v>79141.170000000013</v>
      </c>
      <c r="AO481" s="558">
        <f t="shared" si="92"/>
        <v>0.71084578889377825</v>
      </c>
      <c r="AP481" s="79"/>
      <c r="AQ481" s="79" t="s">
        <v>2360</v>
      </c>
      <c r="AR481" s="79">
        <v>155000</v>
      </c>
      <c r="AS481" s="101">
        <f>AF481-AR481</f>
        <v>35474.98000000001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4.0479054270744587E-2</v>
      </c>
      <c r="Z483" s="433">
        <f>Z407-Z468+Z481</f>
        <v>144670.94378964746</v>
      </c>
      <c r="AA483" s="431"/>
      <c r="AB483" s="432"/>
      <c r="AC483" s="433"/>
      <c r="AD483" s="431" t="s">
        <v>247</v>
      </c>
      <c r="AE483" s="432">
        <f>AF483/AF406</f>
        <v>3.9806846875306341E-2</v>
      </c>
      <c r="AF483" s="220">
        <f>AF407-AF468+AF481</f>
        <v>195487.83999999988</v>
      </c>
      <c r="AG483" s="434"/>
      <c r="AH483" s="220">
        <f>AF483-Z483</f>
        <v>50816.896210352425</v>
      </c>
      <c r="AI483" s="762">
        <f>AH483/Z483</f>
        <v>0.35125848272781396</v>
      </c>
      <c r="AJ483" s="435" t="s">
        <v>247</v>
      </c>
      <c r="AK483" s="432">
        <f>IF($AL$406=0,0,AL483/$AL$406)</f>
        <v>9.5630091492843149E-3</v>
      </c>
      <c r="AL483" s="220">
        <f>AL407-AL468+AL481</f>
        <v>114742.28999999986</v>
      </c>
      <c r="AM483" s="221"/>
      <c r="AN483" s="220">
        <f t="shared" si="99"/>
        <v>80745.550000000017</v>
      </c>
      <c r="AO483" s="436">
        <f t="shared" si="92"/>
        <v>0.70371220584842875</v>
      </c>
      <c r="AP483" s="79"/>
      <c r="AQ483" s="79"/>
      <c r="AR483" s="101">
        <f>AR407-AR468+AR481</f>
        <v>215624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1" t="s">
        <v>2892</v>
      </c>
      <c r="W488" s="1162"/>
      <c r="X488" s="1163" t="s">
        <v>247</v>
      </c>
      <c r="Y488" s="1164">
        <f>Z488/Z406</f>
        <v>4.9370505305282239E-2</v>
      </c>
      <c r="Z488" s="1166">
        <f>Z489+Z415</f>
        <v>176448.72704076633</v>
      </c>
      <c r="AA488" s="1163"/>
      <c r="AB488" s="1164"/>
      <c r="AC488" s="1165"/>
      <c r="AD488" s="1163" t="s">
        <v>247</v>
      </c>
      <c r="AE488" s="1164">
        <f>AF488/AF406</f>
        <v>4.7633105240777407E-2</v>
      </c>
      <c r="AF488" s="1166">
        <f>AF489+AF415</f>
        <v>233921.88999999987</v>
      </c>
      <c r="AG488" s="1167"/>
      <c r="AH488" s="1167">
        <f t="shared" ref="AH488" si="101">AF488-Z488</f>
        <v>57473.162959233538</v>
      </c>
      <c r="AI488" s="1168">
        <f>AH488/Z488</f>
        <v>0.32572160719501853</v>
      </c>
      <c r="AJ488" s="1163" t="s">
        <v>247</v>
      </c>
      <c r="AK488" s="1164">
        <f>IF($AL$406=0,0,AL488/$AL$406)</f>
        <v>1.134831331566848E-2</v>
      </c>
      <c r="AL488" s="1166">
        <f>AL489+AL415</f>
        <v>136163.35999999987</v>
      </c>
      <c r="AM488" s="1169"/>
      <c r="AN488" s="1166">
        <f t="shared" ref="AN488" si="102">AF488-AL488</f>
        <v>97758.53</v>
      </c>
      <c r="AO488" s="1170">
        <f t="shared" ref="AO488" si="103">IF(AL488=0,0,AN488/AL488)</f>
        <v>0.71795033553813659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4.0479054270744587E-2</v>
      </c>
      <c r="Z489" s="441">
        <f>Z483</f>
        <v>144670.94378964746</v>
      </c>
      <c r="AA489" s="439"/>
      <c r="AB489" s="440"/>
      <c r="AC489" s="441"/>
      <c r="AD489" s="439" t="s">
        <v>247</v>
      </c>
      <c r="AE489" s="440">
        <f>AF489/AF406</f>
        <v>3.9806846875306341E-2</v>
      </c>
      <c r="AF489" s="441">
        <f>AF483</f>
        <v>195487.83999999988</v>
      </c>
      <c r="AG489" s="442"/>
      <c r="AH489" s="220">
        <f>AF489-Z489</f>
        <v>50816.896210352425</v>
      </c>
      <c r="AI489" s="762">
        <f>AH489/Z489</f>
        <v>0.35125848272781396</v>
      </c>
      <c r="AJ489" s="439" t="s">
        <v>247</v>
      </c>
      <c r="AK489" s="440">
        <f>IF($AL$406=0,0,AL489/$AL$406)</f>
        <v>9.5630091492843149E-3</v>
      </c>
      <c r="AL489" s="443">
        <f>AL483</f>
        <v>114742.28999999986</v>
      </c>
      <c r="AM489" s="444"/>
      <c r="AN489" s="445">
        <f>AF489-AL489</f>
        <v>80745.550000000017</v>
      </c>
      <c r="AO489" s="446">
        <f>IF(AL489=0,0,AN489/AL489)</f>
        <v>0.70371220584842875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2820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-8893.4426229508208</v>
      </c>
      <c r="AA496" s="403"/>
      <c r="AB496" s="403"/>
      <c r="AC496" s="405"/>
      <c r="AD496" s="410"/>
      <c r="AE496" s="409"/>
      <c r="AF496" s="87">
        <f>SUMIFS(BV_Data_An_Cour!$O:$O,BV_Data_An_Cour!$V:$V,$V496)</f>
        <v>-3007.92</v>
      </c>
      <c r="AG496" s="404"/>
      <c r="AH496" s="405">
        <f t="shared" si="104"/>
        <v>5885.5226229508207</v>
      </c>
      <c r="AI496" s="406">
        <f t="shared" si="105"/>
        <v>-0.66178226728110601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-3007.92</v>
      </c>
      <c r="AO496" s="217">
        <f t="shared" si="107"/>
        <v>0</v>
      </c>
      <c r="AP496" s="79"/>
      <c r="AQ496" s="79">
        <v>-3008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3.7100023149055618E-2</v>
      </c>
      <c r="Z498" s="433">
        <f>Z489-Z491-Z492-Z493-Z497-Z496-Z494-Z495</f>
        <v>132594.38641259828</v>
      </c>
      <c r="AA498" s="431"/>
      <c r="AB498" s="432"/>
      <c r="AC498" s="433"/>
      <c r="AD498" s="431" t="s">
        <v>247</v>
      </c>
      <c r="AE498" s="432">
        <f>AF498/AF406</f>
        <v>3.6149259947536296E-2</v>
      </c>
      <c r="AF498" s="220">
        <f>AF489-AF491-AF492-AF493-AF497-AF496-AF494-AF495</f>
        <v>177525.75999999989</v>
      </c>
      <c r="AG498" s="434"/>
      <c r="AH498" s="220">
        <f t="shared" si="104"/>
        <v>44931.373587401613</v>
      </c>
      <c r="AI498" s="762">
        <f>AH498/Z498</f>
        <v>0.33886331694003385</v>
      </c>
      <c r="AJ498" s="435" t="s">
        <v>247</v>
      </c>
      <c r="AK498" s="432">
        <f>IF($AL$406=0,0,AL498/$AL$406)</f>
        <v>7.9361465636236129E-3</v>
      </c>
      <c r="AL498" s="220">
        <f>AL489-AL491-AL492-AL493-AL497-AL496-AL494-AL495</f>
        <v>95222.289999999863</v>
      </c>
      <c r="AM498" s="221"/>
      <c r="AN498" s="220">
        <f t="shared" si="106"/>
        <v>82303.47000000003</v>
      </c>
      <c r="AO498" s="451">
        <f t="shared" si="107"/>
        <v>0.86432987486438473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46156.7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131369.05999999988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0.26000001351916491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2880</v>
      </c>
      <c r="AE505" s="79"/>
      <c r="AF505" s="79">
        <v>215624</v>
      </c>
      <c r="AG505" s="79"/>
      <c r="AH505" s="79" t="s">
        <v>2927</v>
      </c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-38098.240000000107</v>
      </c>
      <c r="AG507" s="79"/>
      <c r="AH507" s="79"/>
      <c r="AI507" s="79"/>
      <c r="AJ507" s="79" t="e">
        <f>AF511/AJ505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2966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2954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177525.75999999989</v>
      </c>
      <c r="AG511" s="101">
        <f>AF511-AF505</f>
        <v>-38098.240000000107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R477" zoomScale="70" zoomScaleNormal="70" workbookViewId="0">
      <selection activeCell="R505" sqref="R505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Novembre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2444</v>
      </c>
      <c r="N3" s="1202"/>
      <c r="O3" s="1200" t="s">
        <v>79</v>
      </c>
      <c r="P3" s="1201"/>
      <c r="Q3" s="1202"/>
      <c r="R3" s="1203" t="s">
        <v>2448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22276563.762604028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22998973.61999999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36687437.929999977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76</v>
      </c>
      <c r="E6" s="184">
        <f t="shared" ref="E6:E12" si="2">IF(D6=0,0,F6/D6)</f>
        <v>5144.9382716049377</v>
      </c>
      <c r="F6" s="184" cm="1">
        <f t="array" ref="F6">+SUMPRODUCT(('Budget original'!$A$8:$A$501=$A6)*('Budget original'!$C$3:$AO$3=F$2),'Budget original'!$C$8:$AO$501)</f>
        <v>391015.30864197528</v>
      </c>
      <c r="G6" s="187"/>
      <c r="H6" s="184"/>
      <c r="I6" s="184"/>
      <c r="J6" s="187">
        <f>-SUMIFS(BV_Data_An_Cour!$P:$P,BV_Data_An_Cour!$U:$U,$B6,BV_Data_An_Cour!$V:$V,$C6,BV_Data_An_Cour!$W:$W,J$2)</f>
        <v>75</v>
      </c>
      <c r="K6" s="184">
        <f>IF(J6=0,0,L6/J6)</f>
        <v>4922.2714666666652</v>
      </c>
      <c r="L6" s="478">
        <f>-SUMIFS(BV_Data_An_Cour!$P:$P,BV_Data_An_Cour!$U:$U,$B6,BV_Data_An_Cour!$V:$V,$C6,BV_Data_An_Cour!$W:$W,L$2)</f>
        <v>369170.35999999987</v>
      </c>
      <c r="M6" s="187">
        <f t="shared" ref="M6:M12" si="3">J6-D6</f>
        <v>-1</v>
      </c>
      <c r="N6" s="185">
        <f t="shared" ref="N6:N12" si="4">L6-F6</f>
        <v>-21844.94864197541</v>
      </c>
      <c r="O6" s="187" cm="1">
        <f t="array" ref="O6">+SUMPRODUCT(('Réel 2023'!$A$8:$A$501=$A6)*('Réel 2023'!$C$3:$AO$3=O$2),'Réel 2023'!$C$8:$AO$501)</f>
        <v>80</v>
      </c>
      <c r="P6" s="184">
        <f t="shared" ref="P6:P12" si="5">IF(O6=0,0,Q6/O6)</f>
        <v>5334.4546249999948</v>
      </c>
      <c r="Q6" s="478" cm="1">
        <f t="array" ref="Q6">+SUMPRODUCT(('Réel 2023'!$A$8:$A$501=$A6)*('Réel 2023'!$C$3:$AO$3=Q$2),'Réel 2023'!$C$8:$AO$501)</f>
        <v>426756.36999999959</v>
      </c>
      <c r="R6" s="187">
        <f>J6-O6</f>
        <v>-5</v>
      </c>
      <c r="S6" s="350">
        <f>L6-Q6</f>
        <v>-57586.009999999718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141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759485.76158940396</v>
      </c>
      <c r="G7" s="187"/>
      <c r="H7" s="184"/>
      <c r="I7" s="184"/>
      <c r="J7" s="187">
        <f>-SUMIFS(BV_Data_An_Cour!$P:$P,BV_Data_An_Cour!$U:$U,$B7,BV_Data_An_Cour!$V:$V,$C7,BV_Data_An_Cour!$W:$W,J$2)</f>
        <v>131</v>
      </c>
      <c r="K7" s="184">
        <f t="shared" ref="K7:K12" si="6">IF(J7=0,0,L7/J7)</f>
        <v>4532.0123664122075</v>
      </c>
      <c r="L7" s="478">
        <f>-SUMIFS(BV_Data_An_Cour!$P:$P,BV_Data_An_Cour!$U:$U,$B7,BV_Data_An_Cour!$V:$V,$C7,BV_Data_An_Cour!$W:$W,L$2)</f>
        <v>593693.61999999918</v>
      </c>
      <c r="M7" s="187">
        <f t="shared" si="3"/>
        <v>-10</v>
      </c>
      <c r="N7" s="185">
        <f t="shared" si="4"/>
        <v>-165792.14158940478</v>
      </c>
      <c r="O7" s="187" cm="1">
        <f t="array" ref="O7">+SUMPRODUCT(('Réel 2023'!$A$8:$A$501=$A7)*('Réel 2023'!$C$3:$AO$3=O$2),'Réel 2023'!$C$8:$AO$501)</f>
        <v>129</v>
      </c>
      <c r="P7" s="184">
        <f t="shared" si="5"/>
        <v>5705.5124031007726</v>
      </c>
      <c r="Q7" s="478" cm="1">
        <f t="array" ref="Q7">+SUMPRODUCT(('Réel 2023'!$A$8:$A$501=$A7)*('Réel 2023'!$C$3:$AO$3=Q$2),'Réel 2023'!$C$8:$AO$501)</f>
        <v>736011.09999999963</v>
      </c>
      <c r="R7" s="187">
        <f t="shared" ref="R7:R12" si="7">J7-O7</f>
        <v>2</v>
      </c>
      <c r="S7" s="350">
        <f t="shared" ref="S7:S12" si="8">L7-Q7</f>
        <v>-142317.48000000045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217</v>
      </c>
      <c r="E13" s="351">
        <f>IF(D13&lt;=0,0,F13/D13)</f>
        <v>5301.8482499141901</v>
      </c>
      <c r="F13" s="352">
        <f t="shared" ref="F13" si="9">+SUM(F6:F12)</f>
        <v>1150501.0702313792</v>
      </c>
      <c r="G13" s="353"/>
      <c r="H13" s="351"/>
      <c r="I13" s="352"/>
      <c r="J13" s="353">
        <f>+SUM(J6:J12)</f>
        <v>206</v>
      </c>
      <c r="K13" s="351">
        <f>IF(J13&lt;=0,0,L13/J13)</f>
        <v>4674.0969902912575</v>
      </c>
      <c r="L13" s="352">
        <f>+SUM(L6:L12)</f>
        <v>962863.97999999905</v>
      </c>
      <c r="M13" s="353">
        <f>+SUM(M6:M12)</f>
        <v>-11</v>
      </c>
      <c r="N13" s="352">
        <f t="shared" ref="N13" si="10">+SUM(N6:N12)</f>
        <v>-187637.09023138019</v>
      </c>
      <c r="O13" s="353">
        <f>+SUM(O6:O12)</f>
        <v>209</v>
      </c>
      <c r="P13" s="351">
        <f>IF(O13&lt;=0,0,Q13/O13)</f>
        <v>5563.4807177033454</v>
      </c>
      <c r="Q13" s="352">
        <f t="shared" ref="Q13" si="11">+SUM(Q6:Q12)</f>
        <v>1162767.4699999993</v>
      </c>
      <c r="R13" s="353">
        <f>+SUM(R6:R12)</f>
        <v>-3</v>
      </c>
      <c r="S13" s="354">
        <f>+SUM(S6:S12)</f>
        <v>-199903.49000000017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-5.0691244239631339E-2</v>
      </c>
      <c r="N14" s="239">
        <f>IF(F13=0,0,N13/F13)</f>
        <v>-0.16309162597618806</v>
      </c>
      <c r="O14" s="228"/>
      <c r="P14" s="184"/>
      <c r="Q14" s="270"/>
      <c r="R14" s="240">
        <f>R13/O13</f>
        <v>-1.4354066985645933E-2</v>
      </c>
      <c r="S14" s="267">
        <f>IF(Q13=0,0,(S13/Q13))</f>
        <v>-0.17192043564823867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23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57500</v>
      </c>
      <c r="G15" s="188"/>
      <c r="H15" s="357"/>
      <c r="I15" s="355"/>
      <c r="J15" s="471">
        <f>-SUMIFS(BV_Data_An_Cour!$P:$P,BV_Data_An_Cour!$U:$U,$B15,BV_Data_An_Cour!$V:$V,$C15,BV_Data_An_Cour!$W:$W,J$2)</f>
        <v>34</v>
      </c>
      <c r="K15" s="472">
        <f>IF(J15=0,0,L15/J15)</f>
        <v>1415.8485294117675</v>
      </c>
      <c r="L15" s="472">
        <f>-SUMIFS(BV_Data_An_Cour!$P:$P,BV_Data_An_Cour!$U:$U,$B15,BV_Data_An_Cour!$V:$V,$C15,BV_Data_An_Cour!$W:$W,L$2)</f>
        <v>48138.850000000093</v>
      </c>
      <c r="M15" s="356">
        <f>J15-D15</f>
        <v>11</v>
      </c>
      <c r="N15" s="355">
        <f>L15-F15</f>
        <v>-9361.1499999999069</v>
      </c>
      <c r="O15" s="471" cm="1">
        <f t="array" ref="O15">+SUMPRODUCT(('Réel 2023'!$A$8:$A$501=$A15)*('Réel 2023'!$C$3:$AO$3=O$2),'Réel 2023'!$C$8:$AO$501)</f>
        <v>18</v>
      </c>
      <c r="P15" s="472">
        <f>IF(O15=0,0,Q15/O15)</f>
        <v>4202.9727777777598</v>
      </c>
      <c r="Q15" s="472" cm="1">
        <f t="array" ref="Q15">+SUMPRODUCT(('Réel 2023'!$A$8:$A$501=$A15)*('Réel 2023'!$C$3:$AO$3=Q$2),'Réel 2023'!$C$8:$AO$501)</f>
        <v>75653.509999999675</v>
      </c>
      <c r="R15" s="356">
        <f>J15-O15</f>
        <v>16</v>
      </c>
      <c r="S15" s="377">
        <f>L15-Q15</f>
        <v>-27514.659999999581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5</v>
      </c>
      <c r="K17" s="184">
        <f>IF(J17=0,0,L17/J17)</f>
        <v>2686.7859999999987</v>
      </c>
      <c r="L17" s="185">
        <f>-SUMIFS(BV_Data_An_Cour!$P:$P,BV_Data_An_Cour!$U:$U,$B17,BV_Data_An_Cour!$V:$V,$C17,BV_Data_An_Cour!$W:$W,L$2)</f>
        <v>13433.929999999993</v>
      </c>
      <c r="M17" s="356">
        <f>J17-D17</f>
        <v>1</v>
      </c>
      <c r="N17" s="185">
        <f>L17-F17</f>
        <v>3433.929999999993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1</v>
      </c>
      <c r="S17" s="350">
        <f>L17-Q17</f>
        <v>888.71999999997206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36844.745842743054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44239.580000000075</v>
      </c>
      <c r="M19" s="187"/>
      <c r="N19" s="185">
        <f>L19-F19</f>
        <v>7394.8341572570207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73774.170000000042</v>
      </c>
      <c r="R19" s="187">
        <f>O19-K19</f>
        <v>0</v>
      </c>
      <c r="S19" s="350">
        <f>L19-Q19</f>
        <v>-29534.589999999967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20400</v>
      </c>
      <c r="G21" s="228"/>
      <c r="H21" s="184"/>
      <c r="I21" s="184"/>
      <c r="J21" s="187"/>
      <c r="K21" s="184">
        <f>IF(J13=0,0,L21/(J13+J15))</f>
        <v>7.3724166666666671</v>
      </c>
      <c r="L21" s="185">
        <f>-SUMIFS(BV_Data_An_Cour!$P:$P,BV_Data_An_Cour!$U:$U,$B21,BV_Data_An_Cour!$V:$V,$C21,BV_Data_An_Cour!$W:$W,L$2)</f>
        <v>1769.38</v>
      </c>
      <c r="M21" s="187"/>
      <c r="N21" s="185">
        <f>L21-F21</f>
        <v>-18630.62</v>
      </c>
      <c r="O21" s="187"/>
      <c r="P21" s="184"/>
      <c r="Q21" s="185" cm="1">
        <f t="array" ref="Q21">+SUMPRODUCT(('Réel 2023'!$A$8:$A$501=$A21)*('Réel 2023'!$C$3:$AO$3=Q$2),'Réel 2023'!$C$8:$AO$501)</f>
        <v>15898.480000000001</v>
      </c>
      <c r="R21" s="187">
        <f>O21-K21</f>
        <v>-7.3724166666666671</v>
      </c>
      <c r="S21" s="350">
        <f>L21-Q21</f>
        <v>-14129.100000000002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244800</v>
      </c>
      <c r="G22" s="228"/>
      <c r="H22" s="184"/>
      <c r="I22" s="184"/>
      <c r="J22" s="187"/>
      <c r="K22" s="184">
        <f>IF(J13=0,0,L22/(J13+J15))</f>
        <v>1169.2009583333338</v>
      </c>
      <c r="L22" s="185">
        <f>-SUMIFS(BV_Data_An_Cour!$P:$P,BV_Data_An_Cour!$U:$U,$B22,BV_Data_An_Cour!$V:$V,$C22,BV_Data_An_Cour!$W:$W,L$2)</f>
        <v>280608.2300000001</v>
      </c>
      <c r="M22" s="187"/>
      <c r="N22" s="185">
        <f>L22-F22</f>
        <v>35808.230000000098</v>
      </c>
      <c r="O22" s="187"/>
      <c r="P22" s="184"/>
      <c r="Q22" s="185" cm="1">
        <f t="array" ref="Q22">+SUMPRODUCT(('Réel 2023'!$A$8:$A$501=$A22)*('Réel 2023'!$C$3:$AO$3=Q$2),'Réel 2023'!$C$8:$AO$501)</f>
        <v>232165.22999999981</v>
      </c>
      <c r="R22" s="187">
        <f>O22-K22</f>
        <v>-1169.2009583333338</v>
      </c>
      <c r="S22" s="350">
        <f>L22-Q22</f>
        <v>48443.000000000291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118800</v>
      </c>
      <c r="G23" s="228"/>
      <c r="H23" s="184"/>
      <c r="I23" s="184"/>
      <c r="J23" s="187"/>
      <c r="K23" s="184">
        <f>IF(J13=0,0,L23/(J13+J15))</f>
        <v>471.36941666666667</v>
      </c>
      <c r="L23" s="185">
        <f>-SUMIFS(BV_Data_An_Cour!$P:$P,BV_Data_An_Cour!$U:$U,$B23,BV_Data_An_Cour!$V:$V,$C23,BV_Data_An_Cour!$W:$W,L$2)</f>
        <v>113128.66</v>
      </c>
      <c r="M23" s="356"/>
      <c r="N23" s="185">
        <f>L23-F23</f>
        <v>-5671.3399999999965</v>
      </c>
      <c r="O23" s="187"/>
      <c r="P23" s="184"/>
      <c r="Q23" s="185" cm="1">
        <f t="array" ref="Q23">+SUMPRODUCT(('Réel 2023'!$A$8:$A$501=$A23)*('Réel 2023'!$C$3:$AO$3=Q$2),'Réel 2023'!$C$8:$AO$501)</f>
        <v>107106.75999999991</v>
      </c>
      <c r="R23" s="187">
        <f>O23-K23</f>
        <v>-471.36941666666667</v>
      </c>
      <c r="S23" s="350">
        <f>L23-Q23</f>
        <v>6021.900000000096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240</v>
      </c>
      <c r="E24" s="351">
        <f>IF(D24&lt;=0,0,F24/D24)</f>
        <v>1600</v>
      </c>
      <c r="F24" s="352">
        <f>F21+F22+F23</f>
        <v>384000</v>
      </c>
      <c r="G24" s="353"/>
      <c r="H24" s="351"/>
      <c r="I24" s="352"/>
      <c r="J24" s="353">
        <f>+J15+J13</f>
        <v>240</v>
      </c>
      <c r="K24" s="351">
        <f>IF(J24&lt;=0,0,L24/J24)</f>
        <v>1647.9427916666673</v>
      </c>
      <c r="L24" s="352">
        <f>L21+L22+L23</f>
        <v>395506.27000000014</v>
      </c>
      <c r="M24" s="381">
        <f>J24-D24</f>
        <v>0</v>
      </c>
      <c r="N24" s="352">
        <f>L24-F24</f>
        <v>11506.270000000135</v>
      </c>
      <c r="O24" s="353">
        <f>+O15+O13</f>
        <v>227</v>
      </c>
      <c r="P24" s="351">
        <f>IF(O24&lt;=0,0,Q24/O24)</f>
        <v>1564.6276211453733</v>
      </c>
      <c r="Q24" s="352">
        <f>Q21+Q22+Q23</f>
        <v>355170.46999999974</v>
      </c>
      <c r="R24" s="361"/>
      <c r="S24" s="354">
        <f>L24-Q24</f>
        <v>40335.800000000396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2.9964244791667018E-2</v>
      </c>
      <c r="O25" s="228"/>
      <c r="P25" s="183"/>
      <c r="Q25" s="230"/>
      <c r="R25" s="229"/>
      <c r="S25" s="267">
        <f>IF(Q24=0,0,(S24/Q24))</f>
        <v>0.11356743706761552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244</v>
      </c>
      <c r="E27" s="27">
        <f>IF(D27&lt;=0,0,F27/D27)</f>
        <v>6716.5812134185335</v>
      </c>
      <c r="F27" s="28">
        <f>F13+F17+F24+F19+F15</f>
        <v>1638845.8160741222</v>
      </c>
      <c r="G27" s="29"/>
      <c r="H27" s="30"/>
      <c r="I27" s="28"/>
      <c r="J27" s="29">
        <f>+J13+J15+J17</f>
        <v>245</v>
      </c>
      <c r="K27" s="30">
        <f>IF(J27&lt;=0,0,L27/J27)</f>
        <v>5976.2555510204056</v>
      </c>
      <c r="L27" s="28">
        <f>L13+L17+L24+L19+L15</f>
        <v>1464182.6099999994</v>
      </c>
      <c r="M27" s="29">
        <f>J27-D27</f>
        <v>1</v>
      </c>
      <c r="N27" s="28">
        <f>L27-F27</f>
        <v>-174663.20607412281</v>
      </c>
      <c r="O27" s="29">
        <f>+O13+O15+O17</f>
        <v>231</v>
      </c>
      <c r="P27" s="30">
        <f>IF(O27&lt;=0,0,Q27/O27)</f>
        <v>7272.3412554112501</v>
      </c>
      <c r="Q27" s="28">
        <f>Q13+Q17+Q24+Q19+Q15</f>
        <v>1679910.8299999987</v>
      </c>
      <c r="R27" s="29">
        <f>J27-O27</f>
        <v>14</v>
      </c>
      <c r="S27" s="326">
        <f>L27-Q27</f>
        <v>-215728.21999999927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4.0983606557377051E-3</v>
      </c>
      <c r="N28" s="34">
        <f>N27/F27</f>
        <v>-0.10657696066401837</v>
      </c>
      <c r="O28" s="31"/>
      <c r="P28" s="328"/>
      <c r="Q28" s="32"/>
      <c r="R28" s="33">
        <f>R27/O27</f>
        <v>6.0606060606060608E-2</v>
      </c>
      <c r="S28" s="264">
        <f>IF(Q27=0,0,S27/Q27)</f>
        <v>-0.12841647077184415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1486.8887365913045</v>
      </c>
      <c r="F31" s="184" cm="1">
        <f t="array" ref="F31">+SUMPRODUCT(('Budget original'!$A$8:$A$501=$A31)*('Budget original'!$C$3:$AO$3=F$2),'Budget original'!$C$8:$AO$501)</f>
        <v>356853.29678191309</v>
      </c>
      <c r="G31" s="298"/>
      <c r="H31" s="200"/>
      <c r="I31" s="184"/>
      <c r="J31" s="298">
        <f>L31/(L13+L15)</f>
        <v>0.3013525886965126</v>
      </c>
      <c r="K31" s="200">
        <f t="shared" ref="K31:K36" si="13">IF(L31=0,0,L31/J$24)</f>
        <v>1269.4513333333334</v>
      </c>
      <c r="L31" s="184">
        <f>SUMIFS(BV_Data_An_Cour!$P:$P,BV_Data_An_Cour!$U:$U,$B31,BV_Data_An_Cour!$V:$V,$C31,BV_Data_An_Cour!$W:$W,L$2)</f>
        <v>304668.32</v>
      </c>
      <c r="M31" s="228"/>
      <c r="N31" s="230">
        <f t="shared" ref="N31:N53" si="14">L31-F31</f>
        <v>-52184.976781913079</v>
      </c>
      <c r="O31" s="298"/>
      <c r="P31" s="200">
        <f t="shared" ref="P31:P40" si="15">Q31/O$24</f>
        <v>1600.3977973568281</v>
      </c>
      <c r="Q31" s="185" cm="1">
        <f t="array" ref="Q31">+SUMPRODUCT(('Réel 2023'!$A$8:$A$501=$A31)*('Réel 2023'!$C$3:$AO$3=Q$2),'Réel 2023'!$C$8:$AO$501)</f>
        <v>363290.3</v>
      </c>
      <c r="R31" s="228"/>
      <c r="S31" s="202">
        <f t="shared" ref="S31:S41" si="16">L31-Q31</f>
        <v>-58621.979999999981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96000</v>
      </c>
      <c r="G32" s="325"/>
      <c r="H32" s="193"/>
      <c r="I32" s="182"/>
      <c r="J32" s="325">
        <f>L32/L24</f>
        <v>0.38129837992201726</v>
      </c>
      <c r="K32" s="363">
        <f t="shared" si="13"/>
        <v>628.3579166666666</v>
      </c>
      <c r="L32" s="182">
        <f>SUMIFS(BV_Data_An_Cour!$P:$P,BV_Data_An_Cour!$U:$U,$B32,BV_Data_An_Cour!$V:$V,$C32,BV_Data_An_Cour!$W:$W,L$2)</f>
        <v>150805.9</v>
      </c>
      <c r="M32" s="283"/>
      <c r="N32" s="284">
        <f t="shared" si="14"/>
        <v>54805.899999999994</v>
      </c>
      <c r="O32" s="325"/>
      <c r="P32" s="363">
        <f t="shared" si="15"/>
        <v>390.07634361233488</v>
      </c>
      <c r="Q32" s="182" cm="1">
        <f t="array" ref="Q32">+SUMPRODUCT(('Réel 2023'!$A$8:$A$501=$A32)*('Réel 2023'!$C$3:$AO$3=Q$2),'Réel 2023'!$C$8:$AO$501)</f>
        <v>88547.330000000016</v>
      </c>
      <c r="R32" s="283"/>
      <c r="S32" s="205">
        <f t="shared" si="16"/>
        <v>62258.569999999978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24000</v>
      </c>
      <c r="G33" s="274"/>
      <c r="H33" s="200"/>
      <c r="I33" s="184"/>
      <c r="J33" s="228"/>
      <c r="K33" s="200">
        <f t="shared" si="13"/>
        <v>122.13533333333334</v>
      </c>
      <c r="L33" s="184">
        <f>SUMIFS(BV_Data_An_Cour!$P:$P,BV_Data_An_Cour!$U:$U,$B33,BV_Data_An_Cour!$V:$V,$C33,BV_Data_An_Cour!$W:$W,L$2)</f>
        <v>29312.48</v>
      </c>
      <c r="M33" s="228"/>
      <c r="N33" s="230">
        <f t="shared" si="14"/>
        <v>5312.48</v>
      </c>
      <c r="O33" s="228"/>
      <c r="P33" s="200">
        <f t="shared" si="15"/>
        <v>94.262070484581486</v>
      </c>
      <c r="Q33" s="185" cm="1">
        <f t="array" ref="Q33">+SUMPRODUCT(('Réel 2023'!$A$8:$A$501=$A33)*('Réel 2023'!$C$3:$AO$3=Q$2),'Réel 2023'!$C$8:$AO$501)</f>
        <v>21397.489999999998</v>
      </c>
      <c r="R33" s="228"/>
      <c r="S33" s="202">
        <f t="shared" si="16"/>
        <v>7914.9900000000016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10800</v>
      </c>
      <c r="G34" s="274"/>
      <c r="H34" s="200"/>
      <c r="I34" s="184"/>
      <c r="J34" s="228"/>
      <c r="K34" s="200">
        <f t="shared" si="13"/>
        <v>39.109124999999999</v>
      </c>
      <c r="L34" s="184">
        <f>SUMIFS(BV_Data_An_Cour!$P:$P,BV_Data_An_Cour!$U:$U,$B34,BV_Data_An_Cour!$V:$V,$C34,BV_Data_An_Cour!$W:$W,L$2)</f>
        <v>9386.19</v>
      </c>
      <c r="M34" s="228"/>
      <c r="N34" s="230">
        <f t="shared" si="14"/>
        <v>-1413.8099999999995</v>
      </c>
      <c r="O34" s="228"/>
      <c r="P34" s="200">
        <f t="shared" si="15"/>
        <v>45.337048458149781</v>
      </c>
      <c r="Q34" s="185" cm="1">
        <f t="array" ref="Q34">+SUMPRODUCT(('Réel 2023'!$A$8:$A$501=$A34)*('Réel 2023'!$C$3:$AO$3=Q$2),'Réel 2023'!$C$8:$AO$501)</f>
        <v>10291.51</v>
      </c>
      <c r="R34" s="228"/>
      <c r="S34" s="202">
        <f t="shared" si="16"/>
        <v>-905.31999999999971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46.875</v>
      </c>
      <c r="F35" s="182" cm="1">
        <f t="array" ref="F35">+SUMPRODUCT(('Budget original'!$A$8:$A$501=$A35)*('Budget original'!$C$3:$AO$3=F$2),'Budget original'!$C$8:$AO$501)</f>
        <v>11250</v>
      </c>
      <c r="G35" s="282"/>
      <c r="H35" s="193"/>
      <c r="I35" s="182"/>
      <c r="J35" s="283"/>
      <c r="K35" s="363">
        <f t="shared" si="13"/>
        <v>63.598416666666672</v>
      </c>
      <c r="L35" s="182">
        <f>SUMIFS(BV_Data_An_Cour!$P:$P,BV_Data_An_Cour!$U:$U,$B35,BV_Data_An_Cour!$V:$V,$C35,BV_Data_An_Cour!$W:$W,L$2)</f>
        <v>15263.62</v>
      </c>
      <c r="M35" s="283"/>
      <c r="N35" s="284">
        <f t="shared" si="14"/>
        <v>4013.6200000000008</v>
      </c>
      <c r="O35" s="283"/>
      <c r="P35" s="363">
        <f t="shared" si="15"/>
        <v>45.135506607929507</v>
      </c>
      <c r="Q35" s="185" cm="1">
        <f t="array" ref="Q35">+SUMPRODUCT(('Réel 2023'!$A$8:$A$501=$A35)*('Réel 2023'!$C$3:$AO$3=Q$2),'Réel 2023'!$C$8:$AO$501)</f>
        <v>10245.759999999998</v>
      </c>
      <c r="R35" s="283"/>
      <c r="S35" s="205">
        <f t="shared" si="16"/>
        <v>5017.8600000000024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119186.25</v>
      </c>
      <c r="G36" s="274"/>
      <c r="H36" s="200"/>
      <c r="I36" s="184"/>
      <c r="J36" s="228"/>
      <c r="K36" s="200">
        <f t="shared" si="13"/>
        <v>614.03854166666667</v>
      </c>
      <c r="L36" s="553">
        <f>SUMIFS(BV_Data_An_Cour!$P:$P,BV_Data_An_Cour!$U:$U,$B36,BV_Data_An_Cour!$V:$V,$C36,BV_Data_An_Cour!$W:$W,L$2)</f>
        <v>147369.25</v>
      </c>
      <c r="M36" s="183"/>
      <c r="N36" s="230">
        <f t="shared" si="14"/>
        <v>28183</v>
      </c>
      <c r="O36" s="228"/>
      <c r="P36" s="200">
        <f t="shared" si="15"/>
        <v>578.97533039647567</v>
      </c>
      <c r="Q36" s="379" cm="1">
        <f t="array" ref="Q36">+SUMPRODUCT(('Réel 2023'!$A$8:$A$501=$A36)*('Réel 2023'!$C$3:$AO$3=Q$2),'Réel 2023'!$C$8:$AO$501)</f>
        <v>131427.39999999997</v>
      </c>
      <c r="R36" s="228"/>
      <c r="S36" s="202">
        <f t="shared" si="16"/>
        <v>15941.850000000035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1241.1880233173081</v>
      </c>
      <c r="F37" s="184" cm="1">
        <f t="array" ref="F37">+SUMPRODUCT(('Budget original'!$A$8:$A$501=$A37)*('Budget original'!$C$3:$AO$3=F$2),'Budget original'!$C$8:$AO$501)</f>
        <v>297885.12559615396</v>
      </c>
      <c r="G37" s="274"/>
      <c r="H37" s="200"/>
      <c r="I37" s="184"/>
      <c r="J37" s="228"/>
      <c r="K37" s="200">
        <f>IF(L37=0,0,L37/J$24)</f>
        <v>1414.1143333333334</v>
      </c>
      <c r="L37" s="554">
        <f>SUMIFS(BV_Data_An_Cour!$P:$P,BV_Data_An_Cour!$U:$U,$B37,BV_Data_An_Cour!$V:$V,$C37,BV_Data_An_Cour!$W:$W,L$2)</f>
        <v>339387.44</v>
      </c>
      <c r="M37" s="183"/>
      <c r="N37" s="230">
        <f t="shared" si="14"/>
        <v>41502.314403846045</v>
      </c>
      <c r="O37" s="228"/>
      <c r="P37" s="200">
        <f t="shared" si="15"/>
        <v>438.87863436123348</v>
      </c>
      <c r="Q37" s="185" cm="1">
        <f t="array" ref="Q37">+SUMPRODUCT(('Réel 2023'!$A$8:$A$501=$A37)*('Réel 2023'!$C$3:$AO$3=Q$2),'Réel 2023'!$C$8:$AO$501)</f>
        <v>99625.45</v>
      </c>
      <c r="R37" s="228"/>
      <c r="S37" s="202">
        <f>L37-Q37</f>
        <v>239761.99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0.55891448932779852</v>
      </c>
      <c r="F41" s="41">
        <f>SUM(F31:F40)</f>
        <v>915974.67237806716</v>
      </c>
      <c r="G41" s="42"/>
      <c r="H41" s="40"/>
      <c r="I41" s="41"/>
      <c r="J41" s="42" t="s">
        <v>108</v>
      </c>
      <c r="K41" s="40">
        <f>L41/L$27</f>
        <v>0.68037497044169948</v>
      </c>
      <c r="L41" s="41">
        <f>SUM(L31:L40)</f>
        <v>996193.2</v>
      </c>
      <c r="M41" s="512"/>
      <c r="N41" s="41">
        <f t="shared" si="14"/>
        <v>80218.527621932793</v>
      </c>
      <c r="O41" s="42" t="s">
        <v>108</v>
      </c>
      <c r="P41" s="40">
        <f>Q41/Q$27</f>
        <v>0.43146649634969053</v>
      </c>
      <c r="Q41" s="511">
        <f>SUM(Q31:Q40)</f>
        <v>724825.24</v>
      </c>
      <c r="R41" s="44"/>
      <c r="S41" s="290">
        <f t="shared" si="16"/>
        <v>271367.95999999996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137671.70445292621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135259.82</v>
      </c>
      <c r="M42" s="228"/>
      <c r="N42" s="230">
        <f t="shared" si="14"/>
        <v>-2411.8844529261987</v>
      </c>
      <c r="O42" s="228"/>
      <c r="P42" s="183"/>
      <c r="Q42" s="185" cm="1">
        <f t="array" ref="Q42">+SUMPRODUCT(('Réel 2023'!$A$8:$A$501=$A42)*('Réel 2023'!$C$3:$AO$3=Q$2),'Réel 2023'!$C$8:$AO$501)</f>
        <v>171954.52000000002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95404.216030534342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98555.98</v>
      </c>
      <c r="M43" s="228"/>
      <c r="N43" s="230">
        <f t="shared" si="14"/>
        <v>3151.7639694656536</v>
      </c>
      <c r="O43" s="228"/>
      <c r="P43" s="183"/>
      <c r="Q43" s="185" cm="1">
        <f t="array" ref="Q43">+SUMPRODUCT(('Réel 2023'!$A$8:$A$501=$A43)*('Réel 2023'!$C$3:$AO$3=Q$2),'Réel 2023'!$C$8:$AO$501)</f>
        <v>76299.12</v>
      </c>
      <c r="R43" s="228"/>
      <c r="S43" s="202">
        <f t="shared" ref="S43:S53" si="17">L43-Q43</f>
        <v>22256.86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3762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3762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3762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76642.719295875679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85468.58</v>
      </c>
      <c r="M49" s="228"/>
      <c r="N49" s="230">
        <f t="shared" si="14"/>
        <v>8825.8607041243231</v>
      </c>
      <c r="O49" s="228"/>
      <c r="P49" s="183"/>
      <c r="Q49" s="182" cm="1">
        <f t="array" ref="Q49">+SUMPRODUCT(('Réel 2023'!$A$8:$A$501=$A49)*('Réel 2023'!$C$3:$AO$3=Q$2),'Réel 2023'!$C$8:$AO$501)</f>
        <v>63171.71</v>
      </c>
      <c r="R49" s="228"/>
      <c r="S49" s="202">
        <f t="shared" si="17"/>
        <v>22296.870000000003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102642.77313948885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94543.88</v>
      </c>
      <c r="M50" s="278"/>
      <c r="N50" s="279">
        <f t="shared" si="14"/>
        <v>-8098.8931394888496</v>
      </c>
      <c r="O50" s="278"/>
      <c r="P50" s="276"/>
      <c r="Q50" s="185" cm="1">
        <f t="array" ref="Q50">+SUMPRODUCT(('Réel 2023'!$A$8:$A$501=$A50)*('Réel 2023'!$C$3:$AO$3=Q$2),'Réel 2023'!$C$8:$AO$501)</f>
        <v>85769.020000000019</v>
      </c>
      <c r="R50" s="278"/>
      <c r="S50" s="204">
        <f t="shared" si="17"/>
        <v>8774.859999999986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47363.530627895911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47300.77</v>
      </c>
      <c r="M51" s="228"/>
      <c r="N51" s="230">
        <f t="shared" si="14"/>
        <v>-62.760627895913785</v>
      </c>
      <c r="O51" s="228"/>
      <c r="P51" s="183"/>
      <c r="Q51" s="185" cm="1">
        <f t="array" ref="Q51">+SUMPRODUCT(('Réel 2023'!$A$8:$A$501=$A51)*('Réel 2023'!$C$3:$AO$3=Q$2),'Réel 2023'!$C$8:$AO$501)</f>
        <v>37698.649999999994</v>
      </c>
      <c r="R51" s="228"/>
      <c r="S51" s="202">
        <f t="shared" si="17"/>
        <v>9602.1200000000026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10694.990786944238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8154.66</v>
      </c>
      <c r="M52" s="228"/>
      <c r="N52" s="230">
        <f t="shared" si="14"/>
        <v>-2540.3307869442378</v>
      </c>
      <c r="O52" s="228"/>
      <c r="P52" s="183"/>
      <c r="Q52" s="185" cm="1">
        <f t="array" ref="Q52">+SUMPRODUCT(('Réel 2023'!$A$8:$A$501=$A52)*('Réel 2023'!$C$3:$AO$3=Q$2),'Réel 2023'!$C$8:$AO$501)</f>
        <v>6698.2800000000016</v>
      </c>
      <c r="R52" s="228"/>
      <c r="S52" s="202">
        <f t="shared" si="17"/>
        <v>1456.3799999999983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0.28933895408756299</v>
      </c>
      <c r="F54" s="41">
        <f>+SUM(F42:F53)</f>
        <v>474181.93433366518</v>
      </c>
      <c r="G54" s="42"/>
      <c r="H54" s="40"/>
      <c r="I54" s="41"/>
      <c r="J54" s="42" t="s">
        <v>108</v>
      </c>
      <c r="K54" s="40">
        <f>L54/L$27</f>
        <v>0.32307834198358648</v>
      </c>
      <c r="L54" s="41">
        <f>+SUM(L42:L53)</f>
        <v>473045.69</v>
      </c>
      <c r="M54" s="44"/>
      <c r="N54" s="41">
        <f>+SUM(N42:N53)</f>
        <v>-1136.2443336652232</v>
      </c>
      <c r="O54" s="42" t="s">
        <v>108</v>
      </c>
      <c r="P54" s="40">
        <f>Q54/Q$27</f>
        <v>0.26510532109612056</v>
      </c>
      <c r="Q54" s="41">
        <f>+SUM(Q42:Q53)</f>
        <v>445353.30000000005</v>
      </c>
      <c r="R54" s="44"/>
      <c r="S54" s="290">
        <f>+SUM(S42:S53)</f>
        <v>64387.089999999989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55880.916666666686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78229.27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53625.460000000006</v>
      </c>
      <c r="R57" s="283"/>
      <c r="S57" s="205">
        <f t="shared" si="19"/>
        <v>24603.809999999998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54923.55000000001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50337.67</v>
      </c>
      <c r="M58" s="228"/>
      <c r="N58" s="230">
        <f t="shared" si="18"/>
        <v>-4585.8800000000119</v>
      </c>
      <c r="O58" s="228"/>
      <c r="P58" s="183"/>
      <c r="Q58" s="185" cm="1">
        <f t="array" ref="Q58">+SUMPRODUCT(('Réel 2023'!$A$8:$A$501=$A58)*('Réel 2023'!$C$3:$AO$3=Q$2),'Réel 2023'!$C$8:$AO$501)</f>
        <v>52639.789999999994</v>
      </c>
      <c r="R58" s="228"/>
      <c r="S58" s="202">
        <f t="shared" si="19"/>
        <v>-2302.1199999999953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9048.6000000000022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13934.57</v>
      </c>
      <c r="M59" s="228"/>
      <c r="N59" s="230">
        <f t="shared" si="18"/>
        <v>4885.9699999999975</v>
      </c>
      <c r="O59" s="228"/>
      <c r="P59" s="183"/>
      <c r="Q59" s="185" cm="1">
        <f t="array" ref="Q59">+SUMPRODUCT(('Réel 2023'!$A$8:$A$501=$A59)*('Réel 2023'!$C$3:$AO$3=Q$2),'Réel 2023'!$C$8:$AO$501)</f>
        <v>9271.7000000000007</v>
      </c>
      <c r="R59" s="228"/>
      <c r="S59" s="202">
        <f t="shared" si="19"/>
        <v>4662.869999999999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30298.950000000004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36654.480000000003</v>
      </c>
      <c r="M60" s="283"/>
      <c r="N60" s="284">
        <f t="shared" si="18"/>
        <v>6355.5299999999988</v>
      </c>
      <c r="O60" s="283"/>
      <c r="P60" s="281"/>
      <c r="Q60" s="182" cm="1">
        <f t="array" ref="Q60">+SUMPRODUCT(('Réel 2023'!$A$8:$A$501=$A60)*('Réel 2023'!$C$3:$AO$3=Q$2),'Réel 2023'!$C$8:$AO$501)</f>
        <v>30160.68</v>
      </c>
      <c r="R60" s="283"/>
      <c r="S60" s="205">
        <f t="shared" si="19"/>
        <v>6493.8000000000029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750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441.99</v>
      </c>
      <c r="M61" s="228"/>
      <c r="N61" s="230">
        <f t="shared" si="18"/>
        <v>-308.01</v>
      </c>
      <c r="O61" s="228"/>
      <c r="P61" s="183"/>
      <c r="Q61" s="185" cm="1">
        <f t="array" ref="Q61">+SUMPRODUCT(('Réel 2023'!$A$8:$A$501=$A61)*('Réel 2023'!$C$3:$AO$3=Q$2),'Réel 2023'!$C$8:$AO$501)</f>
        <v>651.17000000000007</v>
      </c>
      <c r="R61" s="228"/>
      <c r="S61" s="202">
        <f t="shared" si="19"/>
        <v>-209.18000000000006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165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389.65999999999997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8662.5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6775.91</v>
      </c>
      <c r="M63" s="228"/>
      <c r="N63" s="230">
        <f t="shared" si="18"/>
        <v>-1886.5900000000001</v>
      </c>
      <c r="O63" s="228"/>
      <c r="P63" s="183"/>
      <c r="Q63" s="478" cm="1">
        <f t="array" ref="Q63">+SUMPRODUCT(('Réel 2023'!$A$8:$A$501=$A63)*('Réel 2023'!$C$3:$AO$3=Q$2),'Réel 2023'!$C$8:$AO$501)</f>
        <v>7019.5</v>
      </c>
      <c r="R63" s="228"/>
      <c r="S63" s="202">
        <f t="shared" si="19"/>
        <v>-243.59000000000015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2314.4000000000005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2700.64</v>
      </c>
      <c r="M64" s="228"/>
      <c r="N64" s="230">
        <f t="shared" si="18"/>
        <v>386.23999999999933</v>
      </c>
      <c r="O64" s="228"/>
      <c r="P64" s="183"/>
      <c r="Q64" s="185" cm="1">
        <f t="array" ref="Q64">+SUMPRODUCT(('Réel 2023'!$A$8:$A$501=$A64)*('Réel 2023'!$C$3:$AO$3=Q$2),'Réel 2023'!$C$8:$AO$501)</f>
        <v>2719.8</v>
      </c>
      <c r="R64" s="228"/>
      <c r="S64" s="202">
        <f t="shared" si="19"/>
        <v>-19.160000000000309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2475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1780.79</v>
      </c>
      <c r="M65" s="228"/>
      <c r="N65" s="230">
        <f t="shared" si="18"/>
        <v>-694.21</v>
      </c>
      <c r="O65" s="228"/>
      <c r="P65" s="183"/>
      <c r="Q65" s="185" cm="1">
        <f t="array" ref="Q65">+SUMPRODUCT(('Réel 2023'!$A$8:$A$501=$A65)*('Réel 2023'!$C$3:$AO$3=Q$2),'Réel 2023'!$C$8:$AO$501)</f>
        <v>3007.67</v>
      </c>
      <c r="R65" s="228"/>
      <c r="S65" s="202">
        <f t="shared" si="19"/>
        <v>-1226.8800000000001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9197.1000000000022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8000.47</v>
      </c>
      <c r="M66" s="228"/>
      <c r="N66" s="230">
        <f t="shared" si="18"/>
        <v>-1196.6300000000019</v>
      </c>
      <c r="O66" s="228"/>
      <c r="P66" s="183"/>
      <c r="Q66" s="185" cm="1">
        <f t="array" ref="Q66">+SUMPRODUCT(('Réel 2023'!$A$8:$A$501=$A66)*('Réel 2023'!$C$3:$AO$3=Q$2),'Réel 2023'!$C$8:$AO$501)</f>
        <v>8700.7200000000012</v>
      </c>
      <c r="R66" s="228"/>
      <c r="S66" s="202">
        <f t="shared" si="19"/>
        <v>-700.25000000000091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5303.8019466666656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3326.38</v>
      </c>
      <c r="M67" s="228"/>
      <c r="N67" s="230">
        <f t="shared" si="18"/>
        <v>-1977.4219466666655</v>
      </c>
      <c r="O67" s="228"/>
      <c r="P67" s="183"/>
      <c r="Q67" s="185" cm="1">
        <f t="array" ref="Q67">+SUMPRODUCT(('Réel 2023'!$A$8:$A$501=$A67)*('Réel 2023'!$C$3:$AO$3=Q$2),'Réel 2023'!$C$8:$AO$501)</f>
        <v>3983.22</v>
      </c>
      <c r="R67" s="228"/>
      <c r="S67" s="202">
        <f>L67-Q67</f>
        <v>-656.83999999999969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28931.223981070176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33326.58</v>
      </c>
      <c r="M68" s="228"/>
      <c r="N68" s="230">
        <f t="shared" si="18"/>
        <v>4395.356018929826</v>
      </c>
      <c r="O68" s="228"/>
      <c r="P68" s="183"/>
      <c r="Q68" s="185" cm="1">
        <f t="array" ref="Q68">+SUMPRODUCT(('Réel 2023'!$A$8:$A$501=$A68)*('Réel 2023'!$C$3:$AO$3=Q$2),'Réel 2023'!$C$8:$AO$501)</f>
        <v>29859.25</v>
      </c>
      <c r="R68" s="228"/>
      <c r="S68" s="202">
        <f>L68-Q68</f>
        <v>3467.3300000000017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0.12688871677541527</v>
      </c>
      <c r="F72" s="41">
        <f>+SUM(F55:F71)</f>
        <v>207951.04259440358</v>
      </c>
      <c r="G72" s="42"/>
      <c r="H72" s="40"/>
      <c r="I72" s="41"/>
      <c r="J72" s="42" t="s">
        <v>108</v>
      </c>
      <c r="K72" s="40">
        <f>L72/L$27</f>
        <v>0.1612253884097149</v>
      </c>
      <c r="L72" s="41">
        <f>+SUM(L55:L71)</f>
        <v>236063.41000000003</v>
      </c>
      <c r="M72" s="44"/>
      <c r="N72" s="41">
        <f>+SUM(N55:N71)</f>
        <v>5764.0140722631422</v>
      </c>
      <c r="O72" s="42" t="s">
        <v>108</v>
      </c>
      <c r="P72" s="40">
        <f>Q72/Q$27</f>
        <v>0.12012184599107571</v>
      </c>
      <c r="Q72" s="41">
        <f>+SUM(Q55:Q71)</f>
        <v>201793.99000000002</v>
      </c>
      <c r="R72" s="44"/>
      <c r="S72" s="290">
        <f>+SUM(S55:S71)</f>
        <v>34269.42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0.9751421601907766</v>
      </c>
      <c r="F74" s="41">
        <f>F41+F54+F72</f>
        <v>1598107.6493061357</v>
      </c>
      <c r="G74" s="42"/>
      <c r="H74" s="40"/>
      <c r="I74" s="41"/>
      <c r="J74" s="42" t="s">
        <v>108</v>
      </c>
      <c r="K74" s="40">
        <f>L74/L$27</f>
        <v>1.1646787008350008</v>
      </c>
      <c r="L74" s="41">
        <f>L41+L54+L72</f>
        <v>1705302.2999999998</v>
      </c>
      <c r="M74" s="44"/>
      <c r="N74" s="46">
        <f t="shared" ref="N74:N82" si="20">L74-F74</f>
        <v>107194.6506938641</v>
      </c>
      <c r="O74" s="42" t="s">
        <v>108</v>
      </c>
      <c r="P74" s="40">
        <f>Q74/Q$27</f>
        <v>0.81669366343688676</v>
      </c>
      <c r="Q74" s="41">
        <f>Q41+Q54+Q72</f>
        <v>1371972.53</v>
      </c>
      <c r="R74" s="44"/>
      <c r="S74" s="286">
        <f>L74-Q74</f>
        <v>333329.76999999979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355274.77353846165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381369.73</v>
      </c>
      <c r="M75" s="228"/>
      <c r="N75" s="230">
        <f t="shared" si="20"/>
        <v>26094.956461538328</v>
      </c>
      <c r="O75" s="228"/>
      <c r="P75" s="183"/>
      <c r="Q75" s="478" cm="1">
        <f t="array" ref="Q75">+SUMPRODUCT(('Réel 2023'!$A$8:$A$501=$A75)*('Réel 2023'!$C$3:$AO$3=Q$2),'Réel 2023'!$C$8:$AO$501)</f>
        <v>408431.24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406028.3126153847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436840.6</v>
      </c>
      <c r="M78" s="228"/>
      <c r="N78" s="230">
        <f t="shared" si="20"/>
        <v>30812.28738461528</v>
      </c>
      <c r="O78" s="228"/>
      <c r="P78" s="183"/>
      <c r="Q78" s="478" cm="1">
        <f t="array" ref="Q78">+SUMPRODUCT(('Réel 2023'!$A$8:$A$501=$A78)*('Réel 2023'!$C$3:$AO$3=Q$2),'Réel 2023'!$C$8:$AO$501)</f>
        <v>396501.80000000005</v>
      </c>
      <c r="R78" s="228"/>
      <c r="S78" s="202">
        <f t="shared" si="21"/>
        <v>40338.79999999993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141372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142800</v>
      </c>
      <c r="M82" s="228"/>
      <c r="N82" s="230">
        <f t="shared" si="20"/>
        <v>1428</v>
      </c>
      <c r="O82" s="228"/>
      <c r="P82" s="183"/>
      <c r="Q82" s="478" cm="1">
        <f t="array" ref="Q82">+SUMPRODUCT(('Réel 2023'!$A$8:$A$501=$A82)*('Réel 2023'!$C$3:$AO$3=Q$2),'Réel 2023'!$C$8:$AO$501)</f>
        <v>133780</v>
      </c>
      <c r="R82" s="228"/>
      <c r="S82" s="202">
        <f t="shared" si="21"/>
        <v>9020</v>
      </c>
      <c r="T82" s="25"/>
      <c r="U82" s="25"/>
      <c r="V82" s="24"/>
      <c r="W82" s="117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902675.08615384635</v>
      </c>
      <c r="G83" s="42"/>
      <c r="H83" s="40"/>
      <c r="I83" s="41"/>
      <c r="J83" s="42"/>
      <c r="K83" s="40"/>
      <c r="L83" s="41">
        <f>+SUM(L75:L82)</f>
        <v>961010.33</v>
      </c>
      <c r="M83" s="44"/>
      <c r="N83" s="41">
        <f>+SUM(N75:N82)</f>
        <v>58335.243846153608</v>
      </c>
      <c r="O83" s="42"/>
      <c r="P83" s="40"/>
      <c r="Q83" s="41">
        <f>+SUM(Q75:Q82)</f>
        <v>938713.04</v>
      </c>
      <c r="R83" s="44"/>
      <c r="S83" s="290">
        <f>+SUM(S75:S82)</f>
        <v>49358.79999999993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943413.25292183284</v>
      </c>
      <c r="G85" s="384"/>
      <c r="H85" s="314"/>
      <c r="I85" s="311"/>
      <c r="J85" s="384"/>
      <c r="K85" s="310"/>
      <c r="L85" s="311">
        <f>L27-L74+L83</f>
        <v>719890.63999999955</v>
      </c>
      <c r="M85" s="384"/>
      <c r="N85" s="311">
        <f>N27-N41-N54-N72+N83</f>
        <v>-201174.2595884999</v>
      </c>
      <c r="O85" s="384"/>
      <c r="P85" s="310"/>
      <c r="Q85" s="311">
        <f>Q27-Q74+Q83</f>
        <v>1246651.3399999987</v>
      </c>
      <c r="R85" s="384"/>
      <c r="S85" s="315">
        <f>S27-S41-S54-S72+S83</f>
        <v>-536393.88999999932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2444</v>
      </c>
      <c r="N91" s="1202"/>
      <c r="O91" s="1200" t="s">
        <v>79</v>
      </c>
      <c r="P91" s="1201"/>
      <c r="Q91" s="1202"/>
      <c r="R91" s="1203" t="s">
        <v>2448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15245896.551724138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14606868.27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15239101.149999982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65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195000</v>
      </c>
      <c r="G94" s="187"/>
      <c r="H94" s="184"/>
      <c r="I94" s="184"/>
      <c r="J94" s="187">
        <f>-SUMIFS(BV_Data_An_Cour!$P:$P,BV_Data_An_Cour!$U:$U,$B94,BV_Data_An_Cour!$V:$V,$C94,BV_Data_An_Cour!$W:$W,J$2)</f>
        <v>57</v>
      </c>
      <c r="K94" s="184">
        <f>IF(J94=0,0,L94/J94)</f>
        <v>2328.6563157894761</v>
      </c>
      <c r="L94" s="185">
        <f>-SUMIFS(BV_Data_An_Cour!$P:$P,BV_Data_An_Cour!$U:$U,$B94,BV_Data_An_Cour!$V:$V,$C94,BV_Data_An_Cour!$W:$W,$L2)</f>
        <v>132733.41000000015</v>
      </c>
      <c r="M94" s="187">
        <f>J94-D94</f>
        <v>-8</v>
      </c>
      <c r="N94" s="185">
        <f>L94-F94</f>
        <v>-62266.589999999851</v>
      </c>
      <c r="O94" s="187" cm="1">
        <f t="array" ref="O94">+SUMPRODUCT(('Réel 2023'!$A$8:$A$501=$A94)*('Réel 2023'!$C$3:$AO$3=O$2),'Réel 2023'!$C$8:$AO$501)</f>
        <v>59</v>
      </c>
      <c r="P94" s="184">
        <f t="shared" ref="P94:P100" si="24">IF(O94=0,0,Q94/O94)</f>
        <v>2946.841186440673</v>
      </c>
      <c r="Q94" s="185" cm="1">
        <f t="array" ref="Q94">+SUMPRODUCT(('Réel 2023'!$A$8:$A$501=$A94)*('Réel 2023'!$C$3:$AO$3=Q$2),'Réel 2023'!$C$8:$AO$501)</f>
        <v>173863.62999999971</v>
      </c>
      <c r="R94" s="187">
        <f>J94-O94</f>
        <v>-2</v>
      </c>
      <c r="S94" s="350">
        <f>L94-Q94</f>
        <v>-41130.219999999565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47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103400</v>
      </c>
      <c r="G95" s="187"/>
      <c r="H95" s="184"/>
      <c r="I95" s="184"/>
      <c r="J95" s="187">
        <f>-SUMIFS(BV_Data_An_Cour!$P:$P,BV_Data_An_Cour!$U:$U,$B95,BV_Data_An_Cour!$V:$V,$C95,BV_Data_An_Cour!$W:$W,J$2)</f>
        <v>66</v>
      </c>
      <c r="K95" s="184">
        <f>IF(J95=0,0,L95/J95)</f>
        <v>2026.2245454545464</v>
      </c>
      <c r="L95" s="478">
        <f>-SUMIFS(BV_Data_An_Cour!$P:$P,BV_Data_An_Cour!$U:$U,$B95,BV_Data_An_Cour!$V:$V,$C95,BV_Data_An_Cour!$W:$W,$L2)</f>
        <v>133730.82000000007</v>
      </c>
      <c r="M95" s="187">
        <f>J95-D95</f>
        <v>19</v>
      </c>
      <c r="N95" s="185">
        <f>L95-F95</f>
        <v>30330.820000000065</v>
      </c>
      <c r="O95" s="187" cm="1">
        <f t="array" ref="O95">+SUMPRODUCT(('Réel 2023'!$A$8:$A$501=$A95)*('Réel 2023'!$C$3:$AO$3=O$2),'Réel 2023'!$C$8:$AO$501)</f>
        <v>124</v>
      </c>
      <c r="P95" s="184">
        <f t="shared" si="24"/>
        <v>2247.5662903225739</v>
      </c>
      <c r="Q95" s="478" cm="1">
        <f t="array" ref="Q95">+SUMPRODUCT(('Réel 2023'!$A$8:$A$501=$A95)*('Réel 2023'!$C$3:$AO$3=Q$2),'Réel 2023'!$C$8:$AO$501)</f>
        <v>278698.21999999916</v>
      </c>
      <c r="R95" s="187">
        <f>J95-O95</f>
        <v>-58</v>
      </c>
      <c r="S95" s="350">
        <f>L95-Q95</f>
        <v>-144967.39999999909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5">+B96&amp;C96</f>
        <v>Véhicules usagésAutres marques</v>
      </c>
      <c r="B96" s="24" t="s">
        <v>140</v>
      </c>
      <c r="C96" s="256" t="s">
        <v>2815</v>
      </c>
      <c r="D96" s="184" cm="1">
        <f t="array" ref="D96">+SUMPRODUCT(('Budget original'!$A$8:$A$501=$A96)*('Budget original'!$C$3:$AO$3=D$2),'Budget original'!$C$8:$AO$501)</f>
        <v>82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151700</v>
      </c>
      <c r="G96" s="187"/>
      <c r="H96" s="184"/>
      <c r="I96" s="184"/>
      <c r="J96" s="187">
        <f>-SUMIFS(BV_Data_An_Cour!$P:$P,BV_Data_An_Cour!$U:$U,$B96,BV_Data_An_Cour!$V:$V,$C96,BV_Data_An_Cour!$W:$W,J$2)</f>
        <v>62</v>
      </c>
      <c r="K96" s="184">
        <f>IF(J96=0,0,L96/J96)</f>
        <v>1129.7785483870971</v>
      </c>
      <c r="L96" s="478">
        <f>-SUMIFS(BV_Data_An_Cour!$P:$P,BV_Data_An_Cour!$U:$U,$B96,BV_Data_An_Cour!$V:$V,$C96,BV_Data_An_Cour!$W:$W,$L2)</f>
        <v>70046.270000000019</v>
      </c>
      <c r="M96" s="187">
        <f>J96-D96</f>
        <v>-20</v>
      </c>
      <c r="N96" s="185">
        <f>L96-F96</f>
        <v>-81653.729999999981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62</v>
      </c>
      <c r="S96" s="350">
        <f>L96-Q96</f>
        <v>70046.270000000019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194</v>
      </c>
      <c r="E97" s="184">
        <f t="shared" si="23"/>
        <v>2320.103092783505</v>
      </c>
      <c r="F97" s="352">
        <f>+F94+F95+F96</f>
        <v>450100</v>
      </c>
      <c r="G97" s="353"/>
      <c r="H97" s="351"/>
      <c r="I97" s="352"/>
      <c r="J97" s="353">
        <f>+J94+J95+J96</f>
        <v>185</v>
      </c>
      <c r="K97" s="351">
        <f>IF(J97&lt;=0,0,L97/J97)</f>
        <v>1818.9756756756769</v>
      </c>
      <c r="L97" s="352">
        <f>+L94+L95+L96</f>
        <v>336510.50000000023</v>
      </c>
      <c r="M97" s="353">
        <f>J97-D97</f>
        <v>-9</v>
      </c>
      <c r="N97" s="352">
        <f>L97-F97</f>
        <v>-113589.49999999977</v>
      </c>
      <c r="O97" s="353">
        <f>+O95+O94+O96</f>
        <v>183</v>
      </c>
      <c r="P97" s="351">
        <f t="shared" si="24"/>
        <v>2473.0155737704858</v>
      </c>
      <c r="Q97" s="352">
        <f>+Q94+Q95+Q96</f>
        <v>452561.84999999887</v>
      </c>
      <c r="R97" s="353">
        <f>R94+R95</f>
        <v>-60</v>
      </c>
      <c r="S97" s="354">
        <f>S94+S95</f>
        <v>-186097.61999999866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-4.6391752577319589E-2</v>
      </c>
      <c r="N98" s="239">
        <f>N97/F97</f>
        <v>-0.25236502999333432</v>
      </c>
      <c r="O98" s="228"/>
      <c r="P98" s="183">
        <f t="shared" si="24"/>
        <v>0</v>
      </c>
      <c r="Q98" s="270"/>
      <c r="R98" s="240">
        <f>R97/O97</f>
        <v>-0.32786885245901637</v>
      </c>
      <c r="S98" s="267">
        <f>IF(Q97=0,0,(S97/Q97))</f>
        <v>-0.41120925239279255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209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78375</v>
      </c>
      <c r="G100" s="187"/>
      <c r="H100" s="184"/>
      <c r="I100" s="184"/>
      <c r="J100" s="187">
        <f>-SUMIFS(BV_Data_An_Cour!$P:$P,BV_Data_An_Cour!$U:$U,$B100,BV_Data_An_Cour!$V:$V,$C100,BV_Data_An_Cour!$W:$W,J$2)</f>
        <v>207</v>
      </c>
      <c r="K100" s="184">
        <f>IF(J100=0,0,L100/J100)</f>
        <v>426.62391304347557</v>
      </c>
      <c r="L100" s="185">
        <f>-SUMIFS(BV_Data_An_Cour!$P:$P,BV_Data_An_Cour!$U:$U,$B100,BV_Data_An_Cour!$V:$V,$C100,BV_Data_An_Cour!$W:$W,L$2)</f>
        <v>88311.149999999441</v>
      </c>
      <c r="M100" s="187">
        <f>J100-D100</f>
        <v>-2</v>
      </c>
      <c r="N100" s="185">
        <f>L100-F100</f>
        <v>9936.1499999994412</v>
      </c>
      <c r="O100" s="187" cm="1">
        <f t="array" ref="O100">+SUMPRODUCT(('Réel 2023'!$A$8:$A$501=$A100)*('Réel 2023'!$C$3:$AO$3=O$2),'Réel 2023'!$C$8:$AO$501)</f>
        <v>208</v>
      </c>
      <c r="P100" s="184">
        <f t="shared" si="24"/>
        <v>379.8120192307689</v>
      </c>
      <c r="Q100" s="185" cm="1">
        <f t="array" ref="Q100">+SUMPRODUCT(('Réel 2023'!$A$8:$A$501=$A100)*('Réel 2023'!$C$3:$AO$3=Q$2),'Réel 2023'!$C$8:$AO$501)</f>
        <v>79000.899999999936</v>
      </c>
      <c r="R100" s="187">
        <f>J100-O100</f>
        <v>-1</v>
      </c>
      <c r="S100" s="350">
        <f>L100-Q100</f>
        <v>9310.2499999995052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116400</v>
      </c>
      <c r="G102" s="187"/>
      <c r="H102" s="184"/>
      <c r="I102" s="184"/>
      <c r="J102" s="187"/>
      <c r="K102" s="184">
        <f>IF(J97=0,0,L102/J97)</f>
        <v>369.8949189189189</v>
      </c>
      <c r="L102" s="185">
        <f>-SUMIFS(BV_Data_An_Cour!$P:$P,BV_Data_An_Cour!$U:$U,$B102,BV_Data_An_Cour!$V:$V,$C102,BV_Data_An_Cour!$W:$W,$L2)</f>
        <v>68430.559999999998</v>
      </c>
      <c r="M102" s="187"/>
      <c r="N102" s="185">
        <f>L102-F102</f>
        <v>-47969.440000000002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106853.68999999999</v>
      </c>
      <c r="R102" s="187">
        <f>O102-K102</f>
        <v>-369.8949189189189</v>
      </c>
      <c r="S102" s="350">
        <f>L102-Q102</f>
        <v>-38423.12999999999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170720</v>
      </c>
      <c r="G103" s="187"/>
      <c r="H103" s="184"/>
      <c r="I103" s="184"/>
      <c r="J103" s="187"/>
      <c r="K103" s="184">
        <f>IF(J97=0,0,L103/J97)</f>
        <v>810.69508108108096</v>
      </c>
      <c r="L103" s="185">
        <f>-SUMIFS(BV_Data_An_Cour!$P:$P,BV_Data_An_Cour!$U:$U,$B103,BV_Data_An_Cour!$V:$V,$C103,BV_Data_An_Cour!$W:$W,$L2)</f>
        <v>149978.58999999997</v>
      </c>
      <c r="M103" s="187"/>
      <c r="N103" s="185">
        <f>L103-F103</f>
        <v>-20741.410000000033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138985.65999999997</v>
      </c>
      <c r="R103" s="187">
        <f>O103-K103</f>
        <v>-810.69508108108096</v>
      </c>
      <c r="S103" s="350">
        <f>L103-Q103</f>
        <v>10992.929999999993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32980</v>
      </c>
      <c r="G104" s="187"/>
      <c r="H104" s="357"/>
      <c r="I104" s="184"/>
      <c r="J104" s="187"/>
      <c r="K104" s="357">
        <f>IF(J97=0,0,L104/J97)</f>
        <v>164.68129729729731</v>
      </c>
      <c r="L104" s="185">
        <f>-SUMIFS(BV_Data_An_Cour!$P:$P,BV_Data_An_Cour!$U:$U,$B104,BV_Data_An_Cour!$V:$V,$C104,BV_Data_An_Cour!$W:$W,$L$2)</f>
        <v>30466.04</v>
      </c>
      <c r="M104" s="356"/>
      <c r="N104" s="185">
        <f>L104-F104</f>
        <v>-2513.9599999999991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29541.81</v>
      </c>
      <c r="R104" s="187">
        <f>O104-K104</f>
        <v>-164.68129729729731</v>
      </c>
      <c r="S104" s="350">
        <f>L104-Q104</f>
        <v>924.22999999999956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194</v>
      </c>
      <c r="E105" s="184">
        <f t="shared" si="26"/>
        <v>1650</v>
      </c>
      <c r="F105" s="352">
        <f>F102+F103+F104</f>
        <v>320100</v>
      </c>
      <c r="G105" s="353"/>
      <c r="H105" s="351"/>
      <c r="I105" s="352"/>
      <c r="J105" s="353">
        <f>J97</f>
        <v>185</v>
      </c>
      <c r="K105" s="351">
        <f>IF(J105&lt;=0,0,L105/J105)</f>
        <v>1345.2712972972972</v>
      </c>
      <c r="L105" s="352">
        <f>L102+L103+L104</f>
        <v>248875.18999999997</v>
      </c>
      <c r="M105" s="187">
        <f>J105-D105</f>
        <v>-9</v>
      </c>
      <c r="N105" s="352">
        <f>L105-F105</f>
        <v>-71224.810000000027</v>
      </c>
      <c r="O105" s="353">
        <f>O97</f>
        <v>183</v>
      </c>
      <c r="P105" s="351">
        <f t="shared" si="27"/>
        <v>1504.815081967213</v>
      </c>
      <c r="Q105" s="352">
        <f>Q102+Q103+Q104</f>
        <v>275381.15999999997</v>
      </c>
      <c r="R105" s="361"/>
      <c r="S105" s="354">
        <f>L105-Q105</f>
        <v>-26505.97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-0.2225079975007811</v>
      </c>
      <c r="O106" s="228"/>
      <c r="P106" s="183"/>
      <c r="Q106" s="230"/>
      <c r="R106" s="229"/>
      <c r="S106" s="267">
        <f>IF(Q105=0,0,(S105/Q105))</f>
        <v>-9.6251936770111665E-2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403</v>
      </c>
      <c r="E108" s="30">
        <f>IF(D108&lt;=0,0,F108/D108)</f>
        <v>2105.6451612903224</v>
      </c>
      <c r="F108" s="28">
        <f>F97+F105+F100</f>
        <v>848575</v>
      </c>
      <c r="G108" s="29"/>
      <c r="H108" s="30"/>
      <c r="I108" s="28"/>
      <c r="J108" s="29">
        <f>J97+J100</f>
        <v>392</v>
      </c>
      <c r="K108" s="30">
        <f>IF(J108&lt;=0,0,L108/J108)</f>
        <v>1718.614387755101</v>
      </c>
      <c r="L108" s="28">
        <f>L97+L105+L100</f>
        <v>673696.83999999962</v>
      </c>
      <c r="M108" s="29">
        <f>J108-D108</f>
        <v>-11</v>
      </c>
      <c r="N108" s="28">
        <f>L108-F108</f>
        <v>-174878.16000000038</v>
      </c>
      <c r="O108" s="29">
        <f>O97+O100</f>
        <v>391</v>
      </c>
      <c r="P108" s="30">
        <f>IF(O108&lt;=0,0,Q108/O108)</f>
        <v>2063.7951662404062</v>
      </c>
      <c r="Q108" s="28">
        <f>Q97+Q105+Q100</f>
        <v>806943.90999999875</v>
      </c>
      <c r="R108" s="29">
        <f>J108-O108</f>
        <v>1</v>
      </c>
      <c r="S108" s="326">
        <f>L108-Q108</f>
        <v>-133247.06999999913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-2.729528535980149E-2</v>
      </c>
      <c r="N109" s="34">
        <f>N108/F108</f>
        <v>-0.20608450637834061</v>
      </c>
      <c r="O109" s="31"/>
      <c r="P109" s="328"/>
      <c r="Q109" s="32"/>
      <c r="R109" s="33">
        <f>O108/R108</f>
        <v>391</v>
      </c>
      <c r="S109" s="362">
        <f>IF(Q108=0,0,(S108/Q108))</f>
        <v>-0.16512556616233628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0.33704011491933089</v>
      </c>
      <c r="E112" s="200">
        <f t="shared" ref="E112:E121" si="28">F112/D$97</f>
        <v>781.96781301644762</v>
      </c>
      <c r="F112" s="184" cm="1">
        <f t="array" ref="F112">+SUMPRODUCT(('Budget original'!$A$8:$A$501=$A112)*('Budget original'!$C$3:$AO$3=F$2),'Budget original'!$C$8:$AO$501)</f>
        <v>151701.75572519083</v>
      </c>
      <c r="G112" s="298"/>
      <c r="H112" s="200"/>
      <c r="I112" s="184"/>
      <c r="J112" s="298">
        <f>L112/L97</f>
        <v>0.35156608783381177</v>
      </c>
      <c r="K112" s="200">
        <f>IF($J$97=0,0,L112/(J$94+J$95+J96))</f>
        <v>639.49016216216216</v>
      </c>
      <c r="L112" s="185">
        <f>SUMIFS(BV_Data_An_Cour!$P:$P,BV_Data_An_Cour!$U:$U,$B112,BV_Data_An_Cour!$V:$V,$C112,BV_Data_An_Cour!$W:$W,$L$2)</f>
        <v>118305.68</v>
      </c>
      <c r="M112" s="228"/>
      <c r="N112" s="230">
        <f t="shared" ref="N112:N153" si="29">L112-F112</f>
        <v>-33396.075725190836</v>
      </c>
      <c r="O112" s="298">
        <f>Q112/Q97</f>
        <v>0.34412551566156185</v>
      </c>
      <c r="P112" s="200">
        <f t="shared" ref="P112:P121" si="30">Q112/O$97</f>
        <v>851.02775956284165</v>
      </c>
      <c r="Q112" s="185" cm="1">
        <f t="array" ref="Q112">+SUMPRODUCT(('Réel 2023'!$A$8:$A$501=$A112)*('Réel 2023'!$C$3:$AO$3=Q$2),'Réel 2023'!$C$8:$AO$501)</f>
        <v>155738.08000000002</v>
      </c>
      <c r="R112" s="228"/>
      <c r="S112" s="202">
        <f t="shared" ref="S112:S122" si="31">L112-Q112</f>
        <v>-37432.400000000023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0.22419436322297376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80025</v>
      </c>
      <c r="G113" s="325"/>
      <c r="H113" s="363"/>
      <c r="I113" s="182"/>
      <c r="J113" s="325">
        <f>L113/L105</f>
        <v>0.33458895601445854</v>
      </c>
      <c r="K113" s="363">
        <f>IF($J$97=0,0,L113/(J$94+J$95+J96))</f>
        <v>450.11291891891892</v>
      </c>
      <c r="L113" s="185">
        <f>SUMIFS(BV_Data_An_Cour!$P:$P,BV_Data_An_Cour!$U:$U,$B113,BV_Data_An_Cour!$V:$V,$C113,BV_Data_An_Cour!$W:$W,$L$2)</f>
        <v>83270.89</v>
      </c>
      <c r="M113" s="283"/>
      <c r="N113" s="284">
        <f t="shared" si="29"/>
        <v>3245.8899999999994</v>
      </c>
      <c r="O113" s="325">
        <f>Q113/(Q105+Q19)</f>
        <v>0.18844913523158877</v>
      </c>
      <c r="P113" s="363">
        <f t="shared" si="30"/>
        <v>359.55202185792353</v>
      </c>
      <c r="Q113" s="185" cm="1">
        <f t="array" ref="Q113">+SUMPRODUCT(('Réel 2023'!$A$8:$A$501=$A113)*('Réel 2023'!$C$3:$AO$3=Q$2),'Réel 2023'!$C$8:$AO$501)</f>
        <v>65798.02</v>
      </c>
      <c r="R113" s="283"/>
      <c r="S113" s="205">
        <f t="shared" si="31"/>
        <v>17472.869999999995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21340</v>
      </c>
      <c r="G114" s="274"/>
      <c r="H114" s="200"/>
      <c r="I114" s="184"/>
      <c r="J114" s="228"/>
      <c r="K114" s="200">
        <f>IF($J$97=0,0,L114/(J$94+J$95+J96))</f>
        <v>94.005081081081073</v>
      </c>
      <c r="L114" s="186">
        <f>SUMIFS(BV_Data_An_Cour!$P:$P,BV_Data_An_Cour!$U:$U,$B114,BV_Data_An_Cour!$V:$V,$C114,BV_Data_An_Cour!$W:$W,$L$2)</f>
        <v>17390.939999999999</v>
      </c>
      <c r="M114" s="228"/>
      <c r="N114" s="230">
        <f t="shared" si="29"/>
        <v>-3949.0600000000013</v>
      </c>
      <c r="O114" s="228"/>
      <c r="P114" s="200">
        <f t="shared" si="30"/>
        <v>107.09693989071037</v>
      </c>
      <c r="Q114" s="186" cm="1">
        <f t="array" ref="Q114">+SUMPRODUCT(('Réel 2023'!$A$8:$A$501=$A114)*('Réel 2023'!$C$3:$AO$3=Q$2),'Réel 2023'!$C$8:$AO$501)</f>
        <v>19598.739999999998</v>
      </c>
      <c r="R114" s="228"/>
      <c r="S114" s="202">
        <f t="shared" si="31"/>
        <v>-2207.7999999999993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17460</v>
      </c>
      <c r="G115" s="274"/>
      <c r="H115" s="200"/>
      <c r="I115" s="184"/>
      <c r="J115" s="228"/>
      <c r="K115" s="200">
        <f>IF($J$97=0,0,L115/(J$94+J$95+J96))</f>
        <v>102.25216216216216</v>
      </c>
      <c r="L115" s="185">
        <f>SUMIFS(BV_Data_An_Cour!$P:$P,BV_Data_An_Cour!$U:$U,$B115,BV_Data_An_Cour!$V:$V,$C115,BV_Data_An_Cour!$W:$W,$L$2)</f>
        <v>18916.650000000001</v>
      </c>
      <c r="M115" s="228"/>
      <c r="N115" s="230">
        <f t="shared" si="29"/>
        <v>1456.6500000000015</v>
      </c>
      <c r="O115" s="228"/>
      <c r="P115" s="200">
        <f t="shared" si="30"/>
        <v>83.583333333333329</v>
      </c>
      <c r="Q115" s="185" cm="1">
        <f t="array" ref="Q115">+SUMPRODUCT(('Réel 2023'!$A$8:$A$501=$A115)*('Réel 2023'!$C$3:$AO$3=Q$2),'Réel 2023'!$C$8:$AO$501)</f>
        <v>15295.749999999998</v>
      </c>
      <c r="R115" s="228"/>
      <c r="S115" s="202">
        <f t="shared" si="31"/>
        <v>3620.9000000000033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115.72164948453609</v>
      </c>
      <c r="F116" s="182" cm="1">
        <f t="array" ref="F116">+SUMPRODUCT(('Budget original'!$A$8:$A$501=$A116)*('Budget original'!$C$3:$AO$3=F$2),'Budget original'!$C$8:$AO$501)</f>
        <v>22450</v>
      </c>
      <c r="G116" s="282"/>
      <c r="H116" s="363"/>
      <c r="I116" s="182"/>
      <c r="J116" s="283"/>
      <c r="K116" s="363">
        <f>IF($J$97=0,0,L116/(J$94+J$95+J96))</f>
        <v>105.71859459459459</v>
      </c>
      <c r="L116" s="355">
        <f>SUMIFS(BV_Data_An_Cour!$P:$P,BV_Data_An_Cour!$U:$U,$B116,BV_Data_An_Cour!$V:$V,$C116,BV_Data_An_Cour!$W:$W,$L$2)</f>
        <v>19557.939999999999</v>
      </c>
      <c r="M116" s="283"/>
      <c r="N116" s="284">
        <f t="shared" si="29"/>
        <v>-2892.0600000000013</v>
      </c>
      <c r="O116" s="283"/>
      <c r="P116" s="363">
        <f t="shared" si="30"/>
        <v>107.58327868852462</v>
      </c>
      <c r="Q116" s="355" cm="1">
        <f t="array" ref="Q116">+SUMPRODUCT(('Réel 2023'!$A$8:$A$501=$A116)*('Réel 2023'!$C$3:$AO$3=Q$2),'Réel 2023'!$C$8:$AO$501)</f>
        <v>19687.740000000005</v>
      </c>
      <c r="R116" s="283"/>
      <c r="S116" s="205">
        <f t="shared" si="31"/>
        <v>-129.80000000000655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378.3346219931272</v>
      </c>
      <c r="F117" s="184" cm="1">
        <f t="array" ref="F117">+SUMPRODUCT(('Budget original'!$A$8:$A$501=$A117)*('Budget original'!$C$3:$AO$3=F$2),'Budget original'!$C$8:$AO$501)</f>
        <v>73396.916666666672</v>
      </c>
      <c r="G117" s="274"/>
      <c r="H117" s="200"/>
      <c r="I117" s="184"/>
      <c r="J117" s="228"/>
      <c r="K117" s="200">
        <f t="shared" ref="K117:K121" si="32">IF($J$97=0,0,L117/(J$94+J$95))</f>
        <v>593.46520325203255</v>
      </c>
      <c r="L117" s="185">
        <f>SUMIFS(BV_Data_An_Cour!$P:$P,BV_Data_An_Cour!$U:$U,$B117,BV_Data_An_Cour!$V:$V,$C117,BV_Data_An_Cour!$W:$W,$L$2)</f>
        <v>72996.22</v>
      </c>
      <c r="M117" s="228"/>
      <c r="N117" s="230">
        <f t="shared" si="29"/>
        <v>-400.69666666667035</v>
      </c>
      <c r="O117" s="228"/>
      <c r="P117" s="200">
        <f t="shared" si="30"/>
        <v>375.77907103825135</v>
      </c>
      <c r="Q117" s="185" cm="1">
        <f t="array" ref="Q117">+SUMPRODUCT(('Réel 2023'!$A$8:$A$501=$A117)*('Réel 2023'!$C$3:$AO$3=Q$2),'Réel 2023'!$C$8:$AO$501)</f>
        <v>68767.569999999992</v>
      </c>
      <c r="R117" s="228"/>
      <c r="S117" s="202">
        <f t="shared" si="31"/>
        <v>4228.6500000000087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458.46707157688439</v>
      </c>
      <c r="F118" s="184" cm="1">
        <f t="array" ref="F118">+SUMPRODUCT(('Budget original'!$A$8:$A$501=$A118)*('Budget original'!$C$3:$AO$3=F$2),'Budget original'!$C$8:$AO$501)</f>
        <v>88942.611885915569</v>
      </c>
      <c r="G118" s="274"/>
      <c r="H118" s="200"/>
      <c r="I118" s="184"/>
      <c r="J118" s="228"/>
      <c r="K118" s="200">
        <f t="shared" si="32"/>
        <v>632.48845528455286</v>
      </c>
      <c r="L118" s="185">
        <f>SUMIFS(BV_Data_An_Cour!$P:$P,BV_Data_An_Cour!$U:$U,$B118,BV_Data_An_Cour!$V:$V,$C118,BV_Data_An_Cour!$W:$W,$L$2)</f>
        <v>77796.08</v>
      </c>
      <c r="M118" s="228"/>
      <c r="N118" s="230">
        <f t="shared" si="29"/>
        <v>-11146.531885915567</v>
      </c>
      <c r="O118" s="228"/>
      <c r="P118" s="200">
        <f t="shared" si="30"/>
        <v>365.15262295081965</v>
      </c>
      <c r="Q118" s="185" cm="1">
        <f t="array" ref="Q118">+SUMPRODUCT(('Réel 2023'!$A$8:$A$501=$A118)*('Réel 2023'!$C$3:$AO$3=Q$2),'Réel 2023'!$C$8:$AO$501)</f>
        <v>66822.929999999993</v>
      </c>
      <c r="R118" s="228"/>
      <c r="S118" s="202">
        <f>L118-Q118</f>
        <v>10973.150000000009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0.53656575350178015</v>
      </c>
      <c r="F122" s="41">
        <f>SUM(F112:F121)</f>
        <v>455316.28427777311</v>
      </c>
      <c r="G122" s="42"/>
      <c r="H122" s="40"/>
      <c r="I122" s="41"/>
      <c r="J122" s="42" t="s">
        <v>108</v>
      </c>
      <c r="K122" s="40">
        <f>L122/L$108</f>
        <v>0.60596157761405001</v>
      </c>
      <c r="L122" s="41">
        <f>SUM(L112:L121)</f>
        <v>408234.4</v>
      </c>
      <c r="M122" s="44"/>
      <c r="N122" s="41">
        <f t="shared" si="29"/>
        <v>-47081.88427777309</v>
      </c>
      <c r="O122" s="42" t="s">
        <v>108</v>
      </c>
      <c r="P122" s="40">
        <f>Q122/Q$108</f>
        <v>0.51020749385171105</v>
      </c>
      <c r="Q122" s="41">
        <f>SUM(Q112:Q121)</f>
        <v>411708.83</v>
      </c>
      <c r="R122" s="44"/>
      <c r="S122" s="290">
        <f t="shared" si="31"/>
        <v>-3474.429999999993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55078.621628498731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46510.61</v>
      </c>
      <c r="M123" s="228"/>
      <c r="N123" s="230">
        <f t="shared" si="29"/>
        <v>-8568.0116284987307</v>
      </c>
      <c r="O123" s="228"/>
      <c r="P123" s="183"/>
      <c r="Q123" s="185" cm="1">
        <f t="array" ref="Q123">+SUMPRODUCT(('Réel 2023'!$A$8:$A$501=$A123)*('Réel 2023'!$C$3:$AO$3=Q$2),'Réel 2023'!$C$8:$AO$501)</f>
        <v>17588.100000000002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29776.651908396947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31889.65</v>
      </c>
      <c r="M124" s="228"/>
      <c r="N124" s="230">
        <f t="shared" si="29"/>
        <v>2112.9980916030545</v>
      </c>
      <c r="O124" s="228"/>
      <c r="P124" s="183"/>
      <c r="Q124" s="182" cm="1">
        <f t="array" ref="Q124">+SUMPRODUCT(('Réel 2023'!$A$8:$A$501=$A124)*('Réel 2023'!$C$3:$AO$3=Q$2),'Réel 2023'!$C$8:$AO$501)</f>
        <v>52234.720000000001</v>
      </c>
      <c r="R124" s="228"/>
      <c r="S124" s="202">
        <f t="shared" ref="S124:S153" si="33">L124-Q124</f>
        <v>-20345.07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30899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30899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30899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36566.502291423858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39490.81</v>
      </c>
      <c r="M130" s="228"/>
      <c r="N130" s="230">
        <f t="shared" si="29"/>
        <v>2924.3077085761397</v>
      </c>
      <c r="O130" s="228"/>
      <c r="P130" s="183"/>
      <c r="Q130" s="185" cm="1">
        <f t="array" ref="Q130">+SUMPRODUCT(('Réel 2023'!$A$8:$A$501=$A130)*('Réel 2023'!$C$3:$AO$3=Q$2),'Réel 2023'!$C$8:$AO$501)</f>
        <v>43992.91</v>
      </c>
      <c r="R130" s="228"/>
      <c r="S130" s="202">
        <f>L130-Q130</f>
        <v>-4502.1000000000058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48892.401443738359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37401.35</v>
      </c>
      <c r="M131" s="278"/>
      <c r="N131" s="279">
        <f t="shared" si="29"/>
        <v>-11491.051443738361</v>
      </c>
      <c r="O131" s="278"/>
      <c r="P131" s="276"/>
      <c r="Q131" s="379" cm="1">
        <f t="array" ref="Q131">+SUMPRODUCT(('Réel 2023'!$A$8:$A$501=$A131)*('Réel 2023'!$C$3:$AO$3=Q$2),'Réel 2023'!$C$8:$AO$501)</f>
        <v>45400.53</v>
      </c>
      <c r="R131" s="278"/>
      <c r="S131" s="204">
        <f t="shared" si="33"/>
        <v>-7999.18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22566.640515903309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23116.89</v>
      </c>
      <c r="M132" s="228"/>
      <c r="N132" s="230">
        <f t="shared" si="29"/>
        <v>550.24948409669014</v>
      </c>
      <c r="O132" s="228"/>
      <c r="P132" s="183"/>
      <c r="Q132" s="185" cm="1">
        <f t="array" ref="Q132">+SUMPRODUCT(('Réel 2023'!$A$8:$A$501=$A132)*('Réel 2023'!$C$3:$AO$3=Q$2),'Réel 2023'!$C$8:$AO$501)</f>
        <v>20857.149999999998</v>
      </c>
      <c r="R132" s="228"/>
      <c r="S132" s="202">
        <f t="shared" si="33"/>
        <v>2259.7400000000016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5095.6930197201009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4106.05</v>
      </c>
      <c r="M133" s="228"/>
      <c r="N133" s="230">
        <f t="shared" si="29"/>
        <v>-989.64301972010071</v>
      </c>
      <c r="O133" s="228"/>
      <c r="P133" s="183"/>
      <c r="Q133" s="185" cm="1">
        <f t="array" ref="Q133">+SUMPRODUCT(('Réel 2023'!$A$8:$A$501=$A133)*('Réel 2023'!$C$3:$AO$3=Q$2),'Réel 2023'!$C$8:$AO$501)</f>
        <v>4651.6499999999996</v>
      </c>
      <c r="R133" s="228"/>
      <c r="S133" s="202">
        <f t="shared" si="33"/>
        <v>-545.59999999999945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0.26971748025534731</v>
      </c>
      <c r="F135" s="41">
        <f>+SUM(F123:F134)</f>
        <v>228875.51080768133</v>
      </c>
      <c r="G135" s="42"/>
      <c r="H135" s="40"/>
      <c r="I135" s="41"/>
      <c r="J135" s="42" t="s">
        <v>108</v>
      </c>
      <c r="K135" s="40">
        <f>L135/L$108</f>
        <v>0.31678100197115383</v>
      </c>
      <c r="L135" s="41">
        <f>SUM(L123:L134)</f>
        <v>213414.36</v>
      </c>
      <c r="M135" s="1048"/>
      <c r="N135" s="1049">
        <f t="shared" si="29"/>
        <v>-15461.150807681348</v>
      </c>
      <c r="O135" s="42" t="s">
        <v>108</v>
      </c>
      <c r="P135" s="40">
        <f>Q135/Q$108</f>
        <v>0.26721071604592733</v>
      </c>
      <c r="Q135" s="41">
        <f>+SUM(Q123:Q134)</f>
        <v>215624.06</v>
      </c>
      <c r="R135" s="43"/>
      <c r="S135" s="286">
        <f t="shared" si="33"/>
        <v>-2209.7000000000116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9436.1666666666661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11862.35</v>
      </c>
      <c r="M138" s="283"/>
      <c r="N138" s="284">
        <f t="shared" si="29"/>
        <v>2426.1833333333343</v>
      </c>
      <c r="O138" s="283"/>
      <c r="P138" s="281"/>
      <c r="Q138" s="182" cm="1">
        <f t="array" ref="Q138">+SUMPRODUCT(('Réel 2023'!$A$8:$A$501=$A138)*('Réel 2023'!$C$3:$AO$3=Q$2),'Réel 2023'!$C$8:$AO$501)</f>
        <v>8551.7199999999993</v>
      </c>
      <c r="R138" s="283"/>
      <c r="S138" s="205">
        <f t="shared" si="33"/>
        <v>3310.630000000001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15618.899999999998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16462.86</v>
      </c>
      <c r="M139" s="228"/>
      <c r="N139" s="230">
        <f t="shared" si="29"/>
        <v>843.96000000000276</v>
      </c>
      <c r="O139" s="228"/>
      <c r="P139" s="183"/>
      <c r="Q139" s="185" cm="1">
        <f t="array" ref="Q139">+SUMPRODUCT(('Réel 2023'!$A$8:$A$501=$A139)*('Réel 2023'!$C$3:$AO$3=Q$2),'Réel 2023'!$C$8:$AO$501)</f>
        <v>15488.880000000001</v>
      </c>
      <c r="R139" s="228"/>
      <c r="S139" s="202">
        <f t="shared" si="33"/>
        <v>973.97999999999956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2010.7999999999997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1742</v>
      </c>
      <c r="M140" s="228"/>
      <c r="N140" s="230">
        <f t="shared" si="29"/>
        <v>-268.79999999999973</v>
      </c>
      <c r="O140" s="228"/>
      <c r="P140" s="183"/>
      <c r="Q140" s="185" cm="1">
        <f t="array" ref="Q140">+SUMPRODUCT(('Réel 2023'!$A$8:$A$501=$A140)*('Réel 2023'!$C$3:$AO$3=Q$2),'Réel 2023'!$C$8:$AO$501)</f>
        <v>2199.9500000000003</v>
      </c>
      <c r="R140" s="228"/>
      <c r="S140" s="202">
        <f t="shared" si="33"/>
        <v>-457.95000000000027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6733.1000000000013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9538.41</v>
      </c>
      <c r="M141" s="283"/>
      <c r="N141" s="284">
        <f t="shared" si="29"/>
        <v>2805.3099999999986</v>
      </c>
      <c r="O141" s="283"/>
      <c r="P141" s="281"/>
      <c r="Q141" s="182" cm="1">
        <f t="array" ref="Q141">+SUMPRODUCT(('Réel 2023'!$A$8:$A$501=$A141)*('Réel 2023'!$C$3:$AO$3=Q$2),'Réel 2023'!$C$8:$AO$501)</f>
        <v>7069.6799999999994</v>
      </c>
      <c r="R141" s="283"/>
      <c r="S141" s="205">
        <f t="shared" si="33"/>
        <v>2468.7300000000005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427.94117647058829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175.34</v>
      </c>
      <c r="M142" s="228"/>
      <c r="N142" s="230">
        <f t="shared" si="29"/>
        <v>-252.60117647058829</v>
      </c>
      <c r="O142" s="228"/>
      <c r="P142" s="183"/>
      <c r="Q142" s="185" cm="1">
        <f t="array" ref="Q142">+SUMPRODUCT(('Réel 2023'!$A$8:$A$501=$A142)*('Réel 2023'!$C$3:$AO$3=Q$2),'Réel 2023'!$C$8:$AO$501)</f>
        <v>407.18</v>
      </c>
      <c r="R142" s="228"/>
      <c r="S142" s="202">
        <f t="shared" si="33"/>
        <v>-231.84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55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130.07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1925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1885.75</v>
      </c>
      <c r="M144" s="228"/>
      <c r="N144" s="230">
        <f t="shared" si="29"/>
        <v>-39.25</v>
      </c>
      <c r="O144" s="228"/>
      <c r="P144" s="183"/>
      <c r="Q144" s="478" cm="1">
        <f t="array" ref="Q144">+SUMPRODUCT(('Réel 2023'!$A$8:$A$501=$A144)*('Réel 2023'!$C$3:$AO$3=Q$2),'Réel 2023'!$C$8:$AO$501)</f>
        <v>2769.19</v>
      </c>
      <c r="R144" s="228"/>
      <c r="S144" s="202">
        <f t="shared" si="33"/>
        <v>-883.44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695.2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944.31</v>
      </c>
      <c r="M145" s="228"/>
      <c r="N145" s="230">
        <f t="shared" si="29"/>
        <v>249.1099999999999</v>
      </c>
      <c r="O145" s="228"/>
      <c r="P145" s="183"/>
      <c r="Q145" s="185" cm="1">
        <f t="array" ref="Q145">+SUMPRODUCT(('Réel 2023'!$A$8:$A$501=$A145)*('Réel 2023'!$C$3:$AO$3=Q$2),'Réel 2023'!$C$8:$AO$501)</f>
        <v>764.09000000000015</v>
      </c>
      <c r="R145" s="228"/>
      <c r="S145" s="202">
        <f t="shared" si="33"/>
        <v>180.2199999999998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550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1730.79</v>
      </c>
      <c r="M146" s="228"/>
      <c r="N146" s="230">
        <f t="shared" si="29"/>
        <v>1180.79</v>
      </c>
      <c r="O146" s="228"/>
      <c r="P146" s="183"/>
      <c r="Q146" s="185" cm="1">
        <f t="array" ref="Q146">+SUMPRODUCT(('Réel 2023'!$A$8:$A$501=$A146)*('Réel 2023'!$C$3:$AO$3=Q$2),'Réel 2023'!$C$8:$AO$501)</f>
        <v>1220.3700000000001</v>
      </c>
      <c r="R146" s="228"/>
      <c r="S146" s="202">
        <f t="shared" si="33"/>
        <v>510.41999999999985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2043.7999999999997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1777.88</v>
      </c>
      <c r="M147" s="228"/>
      <c r="N147" s="230">
        <f t="shared" si="29"/>
        <v>-265.91999999999962</v>
      </c>
      <c r="O147" s="228"/>
      <c r="P147" s="183"/>
      <c r="Q147" s="185" cm="1">
        <f t="array" ref="Q147">+SUMPRODUCT(('Réel 2023'!$A$8:$A$501=$A147)*('Réel 2023'!$C$3:$AO$3=Q$2),'Réel 2023'!$C$8:$AO$501)</f>
        <v>2679.7099999999996</v>
      </c>
      <c r="R147" s="228"/>
      <c r="S147" s="202">
        <f t="shared" si="33"/>
        <v>-901.82999999999947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1509.641173333333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655.74</v>
      </c>
      <c r="M148" s="228"/>
      <c r="N148" s="230">
        <f t="shared" si="29"/>
        <v>-853.90117333333296</v>
      </c>
      <c r="O148" s="228"/>
      <c r="P148" s="183"/>
      <c r="Q148" s="185" cm="1">
        <f t="array" ref="Q148">+SUMPRODUCT(('Réel 2023'!$A$8:$A$501=$A148)*('Réel 2023'!$C$3:$AO$3=Q$2),'Réel 2023'!$C$8:$AO$501)</f>
        <v>1931.54</v>
      </c>
      <c r="R148" s="228"/>
      <c r="S148" s="202">
        <f t="shared" si="33"/>
        <v>-1275.8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6429.160884682261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7405.91</v>
      </c>
      <c r="M149" s="228"/>
      <c r="N149" s="230">
        <f t="shared" si="29"/>
        <v>976.74911531773887</v>
      </c>
      <c r="O149" s="228"/>
      <c r="P149" s="183"/>
      <c r="Q149" s="185" cm="1">
        <f t="array" ref="Q149">+SUMPRODUCT(('Réel 2023'!$A$8:$A$501=$A149)*('Réel 2023'!$C$3:$AO$3=Q$2),'Réel 2023'!$C$8:$AO$501)</f>
        <v>6559.49</v>
      </c>
      <c r="R149" s="228"/>
      <c r="S149" s="202">
        <f>L149-Q149</f>
        <v>846.42000000000007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5.5899254516280646E-2</v>
      </c>
      <c r="F153" s="41">
        <f>+SUM(F136:F152)</f>
        <v>47434.709901152848</v>
      </c>
      <c r="G153" s="42"/>
      <c r="H153" s="40"/>
      <c r="I153" s="41"/>
      <c r="J153" s="42" t="s">
        <v>108</v>
      </c>
      <c r="K153" s="40">
        <f>L153/L$108</f>
        <v>8.0698626996677056E-2</v>
      </c>
      <c r="L153" s="41">
        <f>+SUM(L136:L152)</f>
        <v>54366.409999999989</v>
      </c>
      <c r="M153" s="44"/>
      <c r="N153" s="41">
        <f t="shared" si="29"/>
        <v>6931.7000988471409</v>
      </c>
      <c r="O153" s="42" t="s">
        <v>108</v>
      </c>
      <c r="P153" s="40">
        <f>Q153/Q$108</f>
        <v>6.1560982596671525E-2</v>
      </c>
      <c r="Q153" s="41">
        <f>+SUM(Q136:Q152)</f>
        <v>49676.259999999995</v>
      </c>
      <c r="R153" s="44"/>
      <c r="S153" s="290">
        <f t="shared" si="33"/>
        <v>4690.1499999999942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0.86218248827340815</v>
      </c>
      <c r="F155" s="41">
        <f>F122+F135+F153</f>
        <v>731626.50498660735</v>
      </c>
      <c r="G155" s="42"/>
      <c r="H155" s="40"/>
      <c r="I155" s="41"/>
      <c r="J155" s="42" t="s">
        <v>108</v>
      </c>
      <c r="K155" s="40">
        <f>L155/L$108</f>
        <v>1.003441206581881</v>
      </c>
      <c r="L155" s="41">
        <f>L122+L135+L153</f>
        <v>676015.17</v>
      </c>
      <c r="M155" s="44"/>
      <c r="N155" s="46">
        <f t="shared" ref="N155:N162" si="34">L155-F155</f>
        <v>-55611.334986607311</v>
      </c>
      <c r="O155" s="42" t="s">
        <v>108</v>
      </c>
      <c r="P155" s="40">
        <f>Q155/Q$108</f>
        <v>0.83897919249430986</v>
      </c>
      <c r="Q155" s="41">
        <f>Q122+Q135+Q153</f>
        <v>677009.15</v>
      </c>
      <c r="R155" s="44"/>
      <c r="S155" s="286">
        <f t="shared" ref="S155:S162" si="35">L155-Q155</f>
        <v>-993.97999999998137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24375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16050</v>
      </c>
      <c r="M156" s="228"/>
      <c r="N156" s="230">
        <f t="shared" si="34"/>
        <v>-8325</v>
      </c>
      <c r="O156" s="366"/>
      <c r="P156" s="365"/>
      <c r="Q156" s="185" cm="1">
        <f t="array" ref="Q156">+SUMPRODUCT(('Réel 2023'!$A$8:$A$501=$A156)*('Réel 2023'!$C$3:$AO$3=Q$2),'Réel 2023'!$C$8:$AO$501)</f>
        <v>22025</v>
      </c>
      <c r="R156" s="228"/>
      <c r="S156" s="202">
        <f t="shared" si="35"/>
        <v>-5975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16832.352941176476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9242.6470588235243</v>
      </c>
      <c r="O157" s="366"/>
      <c r="P157" s="365"/>
      <c r="Q157" s="185" cm="1">
        <f t="array" ref="Q157">+SUMPRODUCT(('Réel 2023'!$A$8:$A$501=$A157)*('Réel 2023'!$C$3:$AO$3=Q$2),'Réel 2023'!$C$8:$AO$501)</f>
        <v>8500</v>
      </c>
      <c r="R157" s="228"/>
      <c r="S157" s="202">
        <f t="shared" si="35"/>
        <v>17575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98115.5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92225</v>
      </c>
      <c r="M159" s="228"/>
      <c r="N159" s="230">
        <f t="shared" si="34"/>
        <v>-5890.5</v>
      </c>
      <c r="O159" s="228"/>
      <c r="P159" s="183"/>
      <c r="Q159" s="185" cm="1">
        <f t="array" ref="Q159">+SUMPRODUCT(('Réel 2023'!$A$8:$A$501=$A159)*('Réel 2023'!$C$3:$AO$3=Q$2),'Réel 2023'!$C$8:$AO$501)</f>
        <v>92820</v>
      </c>
      <c r="R159" s="228"/>
      <c r="S159" s="202">
        <f t="shared" si="35"/>
        <v>-595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139322.85294117648</v>
      </c>
      <c r="G163" s="42"/>
      <c r="H163" s="40"/>
      <c r="I163" s="41"/>
      <c r="J163" s="42"/>
      <c r="K163" s="40"/>
      <c r="L163" s="41">
        <f>+SUM(L156:L162)</f>
        <v>134350</v>
      </c>
      <c r="M163" s="44"/>
      <c r="N163" s="41">
        <f>SUM(N156:N159)</f>
        <v>-4972.8529411764757</v>
      </c>
      <c r="O163" s="42"/>
      <c r="P163" s="40"/>
      <c r="Q163" s="41">
        <f>+SUM(Q156:Q162)</f>
        <v>123345</v>
      </c>
      <c r="R163" s="44"/>
      <c r="S163" s="290">
        <f>+SUM(S156:S162)</f>
        <v>11005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256271.34795456912</v>
      </c>
      <c r="G165" s="312"/>
      <c r="H165" s="310"/>
      <c r="I165" s="311"/>
      <c r="J165" s="313"/>
      <c r="K165" s="314"/>
      <c r="L165" s="311">
        <f>L108-L155+L163</f>
        <v>132031.66999999958</v>
      </c>
      <c r="M165" s="313"/>
      <c r="N165" s="311">
        <f>L165-F165</f>
        <v>-124239.67795456955</v>
      </c>
      <c r="O165" s="313"/>
      <c r="P165" s="314"/>
      <c r="Q165" s="311">
        <f>Q108-Q155+Q163</f>
        <v>253279.75999999873</v>
      </c>
      <c r="R165" s="313"/>
      <c r="S165" s="315">
        <f>L165-Q165</f>
        <v>-121248.08999999915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2444</v>
      </c>
      <c r="N170" s="1202"/>
      <c r="O170" s="1200" t="s">
        <v>79</v>
      </c>
      <c r="P170" s="1201"/>
      <c r="Q170" s="1202"/>
      <c r="R170" s="1203" t="s">
        <v>2448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716530.34055982449</v>
      </c>
      <c r="F172" s="200" cm="1">
        <f t="array" ref="F172">+SUMPRODUCT(('Budget original'!$A$8:$A$501=$A172)*('Budget original'!$C$3:$AO$3=F$2),'Budget original'!$C$8:$AO$501)</f>
        <v>570358.15108562028</v>
      </c>
      <c r="G172" s="316"/>
      <c r="H172" s="200"/>
      <c r="I172" s="200"/>
      <c r="J172" s="229">
        <f>-SUMIFS(BV_Data_An_Cour!$P:$P,BV_Data_An_Cour!$U:$U,$B172,BV_Data_An_Cour!$V:$V,$C172,BV_Data_An_Cour!$W:$W,J$2)</f>
        <v>2197</v>
      </c>
      <c r="K172" s="184">
        <f>-SUMIFS(BV_Data_An_Cour!$P:$P,BV_Data_An_Cour!$X:$X,"Oui",BV_Data_An_Cour!$U:$U,$B172,BV_Data_An_Cour!$V:$V,$C172)</f>
        <v>688107.68</v>
      </c>
      <c r="L172" s="185">
        <f>-SUMIFS(BV_Data_An_Cour!$P:$P,BV_Data_An_Cour!$U:$U,$B172,BV_Data_An_Cour!$V:$V,$C172,BV_Data_An_Cour!$W:$W,$L$2)</f>
        <v>544584.14</v>
      </c>
      <c r="M172" s="298">
        <f>(K172-E172)/E172</f>
        <v>-3.9667071931131122E-2</v>
      </c>
      <c r="N172" s="230">
        <f>L172-F172</f>
        <v>-25774.011085620266</v>
      </c>
      <c r="O172" s="229" cm="1">
        <f t="array" ref="O172">+SUMPRODUCT(('Réel 2023'!$A$8:$A$501=$A172)*('Réel 2023'!$C$3:$AO$3=O$2),'Réel 2023'!$C$8:$AO$501)</f>
        <v>2217</v>
      </c>
      <c r="P172" s="184" cm="1">
        <f t="array" ref="P172">+SUMPRODUCT(('Réel 2023'!$A$8:$A$501=$A172)*('Réel 2023'!$C$3:$AO$3=P$2),'Réel 2023'!$C$8:$AO$501)</f>
        <v>674703.45</v>
      </c>
      <c r="Q172" s="185" cm="1">
        <f t="array" ref="Q172">+SUMPRODUCT(('Réel 2023'!$A$8:$A$501=$A172)*('Réel 2023'!$C$3:$AO$3=Q$2),'Réel 2023'!$C$8:$AO$501)</f>
        <v>542985.25999999966</v>
      </c>
      <c r="R172" s="298">
        <f>IF(O172=0,0,J172/O172)</f>
        <v>0.99097880018042395</v>
      </c>
      <c r="S172" s="202">
        <f>L172-Q172</f>
        <v>1598.8800000003539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0.79599999999999993</v>
      </c>
      <c r="G173" s="228"/>
      <c r="H173" s="231"/>
      <c r="I173" s="232"/>
      <c r="J173" s="229"/>
      <c r="K173" s="183"/>
      <c r="L173" s="232">
        <f>IF(L172=0,0,L172/K172)</f>
        <v>0.79142284823793851</v>
      </c>
      <c r="M173" s="298"/>
      <c r="N173" s="230"/>
      <c r="O173" s="229"/>
      <c r="P173" s="183"/>
      <c r="Q173" s="232">
        <f>Q172/P172</f>
        <v>0.80477617240581723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313.2033136094675</v>
      </c>
      <c r="L174" s="323"/>
      <c r="M174" s="325"/>
      <c r="N174" s="284"/>
      <c r="O174" s="307"/>
      <c r="P174" s="502">
        <f>IFERROR(P172/O172,0)</f>
        <v>304.33173207036532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337690.18878853426</v>
      </c>
      <c r="F175" s="200" cm="1">
        <f t="array" ref="F175">+SUMPRODUCT(('Budget original'!$A$8:$A$501=$A175)*('Budget original'!$C$3:$AO$3=F$2),'Budget original'!$C$8:$AO$501)</f>
        <v>243474.62611653312</v>
      </c>
      <c r="G175" s="319"/>
      <c r="H175" s="200"/>
      <c r="I175" s="200"/>
      <c r="J175" s="319">
        <f>-SUMIFS(BV_Data_An_Cour!$P:$P,BV_Data_An_Cour!$U:$U,$B175,BV_Data_An_Cour!$V:$V,$C175,BV_Data_An_Cour!$W:$W,J$2)</f>
        <v>1810</v>
      </c>
      <c r="K175" s="191">
        <f>-SUMIFS(BV_Data_An_Cour!$P:$P,BV_Data_An_Cour!$X:$X,"Oui",BV_Data_An_Cour!$U:$U,$B175,BV_Data_An_Cour!$V:$V,$C175)</f>
        <v>283107.38</v>
      </c>
      <c r="L175" s="185">
        <f>-SUMIFS(BV_Data_An_Cour!$P:$P,BV_Data_An_Cour!$U:$U,$B175,BV_Data_An_Cour!$V:$V,$C175,BV_Data_An_Cour!$W:$W,$L$2)</f>
        <v>190413.24</v>
      </c>
      <c r="M175" s="298">
        <f>(K175-E175)/E175</f>
        <v>-0.16163575549633358</v>
      </c>
      <c r="N175" s="279">
        <f>L175-F175</f>
        <v>-53061.386116533133</v>
      </c>
      <c r="O175" s="319" cm="1">
        <f t="array" ref="O175">+SUMPRODUCT(('Réel 2023'!$A$8:$A$501=$A175)*('Réel 2023'!$C$3:$AO$3=O$2),'Réel 2023'!$C$8:$AO$501)</f>
        <v>2283</v>
      </c>
      <c r="P175" s="191" cm="1">
        <f t="array" ref="P175">+SUMPRODUCT(('Réel 2023'!$A$8:$A$501=$A175)*('Réel 2023'!$C$3:$AO$3=P$2),'Réel 2023'!$C$8:$AO$501)</f>
        <v>336889.58999999968</v>
      </c>
      <c r="Q175" s="185" cm="1">
        <f t="array" ref="Q175">+SUMPRODUCT(('Réel 2023'!$A$8:$A$501=$A175)*('Réel 2023'!$C$3:$AO$3=Q$2),'Réel 2023'!$C$8:$AO$501)</f>
        <v>246189.08999999959</v>
      </c>
      <c r="R175" s="298">
        <f>IF(O175=0,0,J175/O175)</f>
        <v>0.79281646955759966</v>
      </c>
      <c r="S175" s="202">
        <f>L175-Q175</f>
        <v>-55775.849999999598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0.6725831025669482</v>
      </c>
      <c r="M176" s="240"/>
      <c r="N176" s="239"/>
      <c r="O176" s="228"/>
      <c r="P176" s="183"/>
      <c r="Q176" s="232">
        <f>Q175/P175</f>
        <v>0.73077084394326286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426515.81278587633</v>
      </c>
      <c r="F178" s="200" cm="1">
        <f t="array" ref="F178">+SUMPRODUCT(('Budget original'!$A$8:$A$501=$A178)*('Budget original'!$C$3:$AO$3=F$2),'Budget original'!$C$8:$AO$501)</f>
        <v>263586.77230167156</v>
      </c>
      <c r="G178" s="228"/>
      <c r="H178" s="200"/>
      <c r="I178" s="200"/>
      <c r="J178" s="229">
        <f>-SUMIFS(BV_Data_An_Cour!$P:$P,BV_Data_An_Cour!$U:$U,$B178,BV_Data_An_Cour!$V:$V,$C178,BV_Data_An_Cour!$W:$W,J$2)</f>
        <v>1846</v>
      </c>
      <c r="K178" s="191">
        <f>-SUMIFS(BV_Data_An_Cour!$P:$P,BV_Data_An_Cour!$X:$X,"Oui",BV_Data_An_Cour!$U:$U,$B178,BV_Data_An_Cour!$V:$V,$C178)</f>
        <v>445130.59</v>
      </c>
      <c r="L178" s="185">
        <f>-SUMIFS(BV_Data_An_Cour!$P:$P,BV_Data_An_Cour!$U:$U,$B178,BV_Data_An_Cour!$V:$V,$C178,BV_Data_An_Cour!$W:$W,$L$2)</f>
        <v>276142.37000000011</v>
      </c>
      <c r="M178" s="298">
        <f>(K178-E178)/E178</f>
        <v>4.3643814967931488E-2</v>
      </c>
      <c r="N178" s="230">
        <f>L178-F178</f>
        <v>12555.597698328551</v>
      </c>
      <c r="O178" s="229" cm="1">
        <f t="array" ref="O178">+SUMPRODUCT(('Réel 2023'!$A$8:$A$501=$A178)*('Réel 2023'!$C$3:$AO$3=O$2),'Réel 2023'!$C$8:$AO$501)</f>
        <v>1959</v>
      </c>
      <c r="P178" s="191" cm="1">
        <f t="array" ref="P178">+SUMPRODUCT(('Réel 2023'!$A$8:$A$501=$A178)*('Réel 2023'!$C$3:$AO$3=P$2),'Réel 2023'!$C$8:$AO$501)</f>
        <v>398449.13999999961</v>
      </c>
      <c r="Q178" s="185" cm="1">
        <f t="array" ref="Q178">+SUMPRODUCT(('Réel 2023'!$A$8:$A$501=$A178)*('Réel 2023'!$C$3:$AO$3=Q$2),'Réel 2023'!$C$8:$AO$501)</f>
        <v>250881.83999999971</v>
      </c>
      <c r="R178" s="298">
        <f>IF(O178=0,0,J178/O178)</f>
        <v>0.94231750893312916</v>
      </c>
      <c r="S178" s="202">
        <f>L178-Q178</f>
        <v>25260.530000000406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0.62036259965867568</v>
      </c>
      <c r="M179" s="298"/>
      <c r="N179" s="230">
        <f>L179-F179</f>
        <v>2.3625996586756903E-3</v>
      </c>
      <c r="O179" s="229"/>
      <c r="P179" s="231"/>
      <c r="Q179" s="232">
        <f>Q178/P178</f>
        <v>0.62964583133496022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114458.89128905631</v>
      </c>
      <c r="F181" s="200" cm="1">
        <f t="array" ref="F181">+SUMPRODUCT(('Budget original'!$A$8:$A$501=$A181)*('Budget original'!$C$3:$AO$3=F$2),'Budget original'!$C$8:$AO$501)</f>
        <v>45783.55651562252</v>
      </c>
      <c r="G181" s="278"/>
      <c r="H181" s="200"/>
      <c r="I181" s="200"/>
      <c r="J181" s="319">
        <f>-SUMIFS(BV_Data_An_Cour!$P:$P,BV_Data_An_Cour!$U:$U,$B181,BV_Data_An_Cour!$V:$V,$C181,BV_Data_An_Cour!$W:$W,J$2)</f>
        <v>642</v>
      </c>
      <c r="K181" s="191">
        <f>-SUMIFS(BV_Data_An_Cour!$P:$P,BV_Data_An_Cour!$X:$X,"Oui",BV_Data_An_Cour!$U:$U,$B181,BV_Data_An_Cour!$V:$V,$C181)</f>
        <v>122458.63</v>
      </c>
      <c r="L181" s="186">
        <f>-SUMIFS(BV_Data_An_Cour!$P:$P,BV_Data_An_Cour!$U:$U,$B181,BV_Data_An_Cour!$V:$V,$C181,BV_Data_An_Cour!$W:$W,$L$2)</f>
        <v>45390.91</v>
      </c>
      <c r="M181" s="320">
        <f>IF(E181=0,0,(K181-E181)/E181)</f>
        <v>6.989180675130803E-2</v>
      </c>
      <c r="N181" s="279">
        <f>L181-F181</f>
        <v>-392.64651562251674</v>
      </c>
      <c r="O181" s="319" cm="1">
        <f t="array" ref="O181">+SUMPRODUCT(('Réel 2023'!$A$8:$A$501=$A181)*('Réel 2023'!$C$3:$AO$3=O$2),'Réel 2023'!$C$8:$AO$501)</f>
        <v>629</v>
      </c>
      <c r="P181" s="191" cm="1">
        <f t="array" ref="P181">+SUMPRODUCT(('Réel 2023'!$A$8:$A$501=$A181)*('Réel 2023'!$C$3:$AO$3=P$2),'Réel 2023'!$C$8:$AO$501)</f>
        <v>111665.77999999988</v>
      </c>
      <c r="Q181" s="186" cm="1">
        <f t="array" ref="Q181">+SUMPRODUCT(('Réel 2023'!$A$8:$A$501=$A181)*('Réel 2023'!$C$3:$AO$3=Q$2),'Réel 2023'!$C$8:$AO$501)</f>
        <v>44976.869999999981</v>
      </c>
      <c r="R181" s="298">
        <f>IF(O181=0,0,J181/O181)</f>
        <v>1.0206677265500794</v>
      </c>
      <c r="S181" s="204">
        <f>L181-Q181</f>
        <v>414.0400000000227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0.39999999999999997</v>
      </c>
      <c r="G182" s="237"/>
      <c r="H182" s="234"/>
      <c r="I182" s="232"/>
      <c r="J182" s="233"/>
      <c r="K182" s="234">
        <f>IF(J181&lt;=0,0,L181/J181)</f>
        <v>70.702352024922121</v>
      </c>
      <c r="L182" s="232">
        <f>IF(L181=0,0,L181/K181)</f>
        <v>0.3706632190805989</v>
      </c>
      <c r="M182" s="229">
        <f>J182-D182</f>
        <v>0</v>
      </c>
      <c r="N182" s="235"/>
      <c r="O182" s="233"/>
      <c r="P182" s="234"/>
      <c r="Q182" s="232">
        <f>IFERROR(Q181/P181,0)</f>
        <v>0.40278113850098057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-23599.606370192181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-28364.280000000002</v>
      </c>
      <c r="M184" s="233"/>
      <c r="N184" s="230">
        <f>L184-F184</f>
        <v>-4764.6736298078213</v>
      </c>
      <c r="O184" s="229"/>
      <c r="P184" s="200"/>
      <c r="Q184" s="200" cm="1">
        <f t="array" ref="Q184">+SUMPRODUCT(('Réel 2023'!$A$8:$A$501=$A184)*('Réel 2023'!$C$3:$AO$3=Q$2),'Réel 2023'!$C$8:$AO$501)</f>
        <v>-32650.1</v>
      </c>
      <c r="R184" s="212"/>
      <c r="S184" s="202">
        <f>L184-Q184</f>
        <v>4285.8199999999961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1595195.2334232912</v>
      </c>
      <c r="F185" s="59">
        <f t="shared" ref="F185" si="38">F172+F175+F178+F181+F184</f>
        <v>1099603.4996492551</v>
      </c>
      <c r="G185" s="60"/>
      <c r="H185" s="58"/>
      <c r="I185" s="59"/>
      <c r="J185" s="60">
        <f>J172+J175+J178+J181+J184</f>
        <v>6495</v>
      </c>
      <c r="K185" s="58">
        <f>K172+K175+K178+K181+K184</f>
        <v>1538804.2800000003</v>
      </c>
      <c r="L185" s="59">
        <f>L172+L175+L178+L181+L184</f>
        <v>1028166.3800000001</v>
      </c>
      <c r="M185" s="61">
        <f>(K185-E185)/E185</f>
        <v>-3.5350502710740875E-2</v>
      </c>
      <c r="N185" s="59">
        <f>L185-F185</f>
        <v>-71437.11964925495</v>
      </c>
      <c r="O185" s="60">
        <f t="shared" ref="O185" si="39">O172+O175+O178+O181+O184</f>
        <v>7088</v>
      </c>
      <c r="P185" s="58">
        <f>P172+P175+P178+P181+P184</f>
        <v>1521707.959999999</v>
      </c>
      <c r="Q185" s="59">
        <f t="shared" ref="Q185" si="40">Q172+Q175+Q178+Q181+Q184</f>
        <v>1052382.9599999988</v>
      </c>
      <c r="R185" s="339">
        <f>IF(O185=0,0,J185/O185)</f>
        <v>0.91633747178329572</v>
      </c>
      <c r="S185" s="340">
        <f>L185-Q185</f>
        <v>-24216.579999998678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0.6893222074701818</v>
      </c>
      <c r="G186" s="64"/>
      <c r="H186" s="62"/>
      <c r="I186" s="239"/>
      <c r="J186" s="64"/>
      <c r="K186" s="65">
        <f>IF(J185=0,0,K185/J185)</f>
        <v>236.92136720554277</v>
      </c>
      <c r="L186" s="239">
        <f>IF(L185=0,0,L185/K185)</f>
        <v>0.66815929313635647</v>
      </c>
      <c r="M186" s="64"/>
      <c r="N186" s="63">
        <f>N185/F185</f>
        <v>-6.4966253446848365E-2</v>
      </c>
      <c r="O186" s="64"/>
      <c r="P186" s="65">
        <f>IF(O185=0,0,P185/O185)</f>
        <v>214.68791760722334</v>
      </c>
      <c r="Q186" s="239">
        <f>Q185/P185</f>
        <v>0.69158011107466344</v>
      </c>
      <c r="R186" s="64"/>
      <c r="S186" s="267">
        <f>IF(R185=0,0,S185/R185)</f>
        <v>-26427.577989221034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50529.101720390827</v>
      </c>
      <c r="F188" s="200" cm="1">
        <f t="array" ref="F188">+SUMPRODUCT(('Budget original'!$A$8:$A$501=$A188)*('Budget original'!$C$3:$AO$3=F$2),'Budget original'!$C$8:$AO$501)</f>
        <v>8640.4763941868332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38818.97</v>
      </c>
      <c r="L188" s="185">
        <f>-SUMIFS(BV_Data_An_Cour!$P:$P,BV_Data_An_Cour!$U:$U,$B188,BV_Data_An_Cour!$V:$V,$C188,BV_Data_An_Cour!$W:$W,$L$2)</f>
        <v>2557.0800000000017</v>
      </c>
      <c r="M188" s="452">
        <f>IF(E188=0,0,(K188-E188)/E188)</f>
        <v>-0.23175024533763375</v>
      </c>
      <c r="N188" s="230">
        <f>L188-F188</f>
        <v>-6083.3963941868315</v>
      </c>
      <c r="O188" s="229"/>
      <c r="P188" s="184" cm="1">
        <f t="array" ref="P188">+SUMPRODUCT(('Réel 2023'!$A$8:$A$501=$A188)*('Réel 2023'!$C$3:$AO$3=P$2),'Réel 2023'!$C$8:$AO$501)</f>
        <v>46517.279999999962</v>
      </c>
      <c r="Q188" s="185" cm="1">
        <f t="array" ref="Q188">+SUMPRODUCT(('Réel 2023'!$A$8:$A$501=$A188)*('Réel 2023'!$C$3:$AO$3=Q$2),'Réel 2023'!$C$8:$AO$501)</f>
        <v>2168.8299999999967</v>
      </c>
      <c r="R188" s="298">
        <f>IF(O188=0,0,J188/O188)</f>
        <v>0</v>
      </c>
      <c r="S188" s="202">
        <f>L188-Q188</f>
        <v>388.250000000005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6.5871917776283137E-2</v>
      </c>
      <c r="M189" s="233"/>
      <c r="N189" s="235"/>
      <c r="O189" s="233"/>
      <c r="P189" s="234"/>
      <c r="Q189" s="232">
        <f>IFERROR(Q188/P188,0)</f>
        <v>4.6624179229739972E-2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1645724.3351436821</v>
      </c>
      <c r="F194" s="28">
        <f t="shared" si="41"/>
        <v>1108243.9760434418</v>
      </c>
      <c r="G194" s="29"/>
      <c r="H194" s="26"/>
      <c r="I194" s="28"/>
      <c r="J194" s="29"/>
      <c r="K194" s="26">
        <f>K185+K188+K191</f>
        <v>1577623.2500000002</v>
      </c>
      <c r="L194" s="28">
        <f>L185+L188+L191</f>
        <v>1030723.4600000001</v>
      </c>
      <c r="M194" s="70">
        <f>L195-F195</f>
        <v>-2.0068605556598951E-2</v>
      </c>
      <c r="N194" s="28">
        <f>L194-F194</f>
        <v>-77520.516043441719</v>
      </c>
      <c r="O194" s="29"/>
      <c r="P194" s="26">
        <f t="shared" ref="P194:Q194" si="42">P185+P188+P191</f>
        <v>1568225.2399999991</v>
      </c>
      <c r="Q194" s="28">
        <f t="shared" si="42"/>
        <v>1054551.7899999989</v>
      </c>
      <c r="R194" s="70">
        <f>L195-Q195</f>
        <v>-1.9109767935960198E-2</v>
      </c>
      <c r="S194" s="326">
        <f>L194-Q194</f>
        <v>-23828.329999998794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0.67340802610583328</v>
      </c>
      <c r="G195" s="31"/>
      <c r="H195" s="328"/>
      <c r="I195" s="34"/>
      <c r="J195" s="31"/>
      <c r="K195" s="328"/>
      <c r="L195" s="34">
        <f>L194/K194</f>
        <v>0.65333942054923433</v>
      </c>
      <c r="M195" s="33"/>
      <c r="N195" s="34">
        <f>N194/F194</f>
        <v>-6.9948962249448771E-2</v>
      </c>
      <c r="O195" s="31"/>
      <c r="P195" s="328"/>
      <c r="Q195" s="34">
        <f>Q194/P194</f>
        <v>0.67244918848519453</v>
      </c>
      <c r="R195" s="33"/>
      <c r="S195" s="264">
        <f>L194/S194</f>
        <v>-43.256218962892163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106358.13594147583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96344.45</v>
      </c>
      <c r="M198" s="228"/>
      <c r="N198" s="230">
        <f t="shared" ref="N198:N229" si="43">L198-F198</f>
        <v>-10013.685941475836</v>
      </c>
      <c r="O198" s="228"/>
      <c r="P198" s="183"/>
      <c r="Q198" s="185" cm="1">
        <f t="array" ref="Q198">+SUMPRODUCT(('Réel 2023'!$A$8:$A$501=$A198)*('Réel 2023'!$C$3:$AO$3=Q$2),'Réel 2023'!$C$8:$AO$501)</f>
        <v>93743.349999999991</v>
      </c>
      <c r="R198" s="228"/>
      <c r="S198" s="202">
        <f>L198-Q198</f>
        <v>2601.1000000000058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55594.123918575067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52757.16</v>
      </c>
      <c r="M199" s="228"/>
      <c r="N199" s="230">
        <f t="shared" si="43"/>
        <v>-2836.9639185750639</v>
      </c>
      <c r="O199" s="228"/>
      <c r="P199" s="183"/>
      <c r="Q199" s="185" cm="1">
        <f t="array" ref="Q199">+SUMPRODUCT(('Réel 2023'!$A$8:$A$501=$A199)*('Réel 2023'!$C$3:$AO$3=Q$2),'Réel 2023'!$C$8:$AO$501)</f>
        <v>51781.710000000006</v>
      </c>
      <c r="R199" s="228"/>
      <c r="S199" s="202">
        <f t="shared" ref="S199:S229" si="44">L199-Q199</f>
        <v>975.44999999999709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56593.824427480919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63073.75</v>
      </c>
      <c r="M200" s="278"/>
      <c r="N200" s="279">
        <f t="shared" si="43"/>
        <v>6479.9255725190815</v>
      </c>
      <c r="O200" s="278"/>
      <c r="P200" s="276"/>
      <c r="Q200" s="186" cm="1">
        <f t="array" ref="Q200">+SUMPRODUCT(('Réel 2023'!$A$8:$A$501=$A200)*('Réel 2023'!$C$3:$AO$3=Q$2),'Réel 2023'!$C$8:$AO$501)</f>
        <v>50852.810000000005</v>
      </c>
      <c r="R200" s="278"/>
      <c r="S200" s="204">
        <f t="shared" si="44"/>
        <v>12220.939999999995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135157.6730279898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128732.63</v>
      </c>
      <c r="M201" s="228"/>
      <c r="N201" s="230">
        <f t="shared" si="43"/>
        <v>-6425.0430279897992</v>
      </c>
      <c r="O201" s="228"/>
      <c r="P201" s="183"/>
      <c r="Q201" s="185" cm="1">
        <f t="array" ref="Q201">+SUMPRODUCT(('Réel 2023'!$A$8:$A$501=$A201)*('Réel 2023'!$C$3:$AO$3=Q$2),'Réel 2023'!$C$8:$AO$501)</f>
        <v>112545.31</v>
      </c>
      <c r="R201" s="228"/>
      <c r="S201" s="202">
        <f t="shared" si="44"/>
        <v>16187.320000000007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79711.362436180192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78253.58</v>
      </c>
      <c r="M205" s="228"/>
      <c r="N205" s="230">
        <f t="shared" si="43"/>
        <v>-1457.7824361801904</v>
      </c>
      <c r="O205" s="228"/>
      <c r="P205" s="183"/>
      <c r="Q205" s="185" cm="1">
        <f t="array" ref="Q205">+SUMPRODUCT(('Réel 2023'!$A$8:$A$501=$A205)*('Réel 2023'!$C$3:$AO$3=Q$2),'Réel 2023'!$C$8:$AO$501)</f>
        <v>72824.12000000001</v>
      </c>
      <c r="R205" s="228"/>
      <c r="S205" s="202">
        <f>L205-Q205</f>
        <v>5429.4599999999919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106606.89360864475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109296.95</v>
      </c>
      <c r="M206" s="278"/>
      <c r="N206" s="279">
        <f t="shared" si="43"/>
        <v>2690.0563913552469</v>
      </c>
      <c r="O206" s="278"/>
      <c r="P206" s="276"/>
      <c r="Q206" s="186" cm="1">
        <f t="array" ref="Q206">+SUMPRODUCT(('Réel 2023'!$A$8:$A$501=$A206)*('Réel 2023'!$C$3:$AO$3=Q$2),'Réel 2023'!$C$8:$AO$501)</f>
        <v>105037.98999999999</v>
      </c>
      <c r="R206" s="278"/>
      <c r="S206" s="204">
        <f t="shared" si="44"/>
        <v>4258.9600000000064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49246.931993312275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47227.38</v>
      </c>
      <c r="M207" s="228"/>
      <c r="N207" s="230">
        <f t="shared" si="43"/>
        <v>-2019.5519933122778</v>
      </c>
      <c r="O207" s="228"/>
      <c r="P207" s="183"/>
      <c r="Q207" s="185" cm="1">
        <f t="array" ref="Q207">+SUMPRODUCT(('Réel 2023'!$A$8:$A$501=$A207)*('Réel 2023'!$C$3:$AO$3=Q$2),'Réel 2023'!$C$8:$AO$501)</f>
        <v>48111.62</v>
      </c>
      <c r="R207" s="228"/>
      <c r="S207" s="202">
        <f t="shared" si="44"/>
        <v>-884.24000000000524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11120.274966231807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13328.65</v>
      </c>
      <c r="M208" s="763"/>
      <c r="N208" s="199">
        <f t="shared" si="43"/>
        <v>2208.3750337681922</v>
      </c>
      <c r="O208" s="763"/>
      <c r="P208" s="764"/>
      <c r="Q208" s="182" cm="1">
        <f t="array" ref="Q208">+SUMPRODUCT(('Réel 2023'!$A$8:$A$501=$A208)*('Réel 2023'!$C$3:$AO$3=Q$2),'Réel 2023'!$C$8:$AO$501)</f>
        <v>11674.51</v>
      </c>
      <c r="R208" s="763"/>
      <c r="S208" s="765">
        <f t="shared" si="44"/>
        <v>1654.1399999999994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0.54174823711954567</v>
      </c>
      <c r="F210" s="41">
        <f>+SUM(F198:F209)</f>
        <v>600389.22031989065</v>
      </c>
      <c r="G210" s="42"/>
      <c r="H210" s="40"/>
      <c r="I210" s="41"/>
      <c r="J210" s="42" t="s">
        <v>162</v>
      </c>
      <c r="K210" s="40">
        <f>L210/L$194</f>
        <v>0.57145740138678902</v>
      </c>
      <c r="L210" s="41">
        <f>+SUM(L198:L209)</f>
        <v>589014.55000000005</v>
      </c>
      <c r="M210" s="43"/>
      <c r="N210" s="46">
        <f t="shared" si="43"/>
        <v>-11374.670319890603</v>
      </c>
      <c r="O210" s="42" t="s">
        <v>162</v>
      </c>
      <c r="P210" s="40">
        <f>Q210/Q$194</f>
        <v>0.51829737067726245</v>
      </c>
      <c r="Q210" s="41">
        <f>+SUM(Q198:Q209)</f>
        <v>546571.42000000004</v>
      </c>
      <c r="R210" s="43"/>
      <c r="S210" s="286">
        <f t="shared" si="44"/>
        <v>42443.130000000005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54625.254150103974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69860.52</v>
      </c>
      <c r="M211" s="228"/>
      <c r="N211" s="230">
        <f t="shared" si="43"/>
        <v>15235.26584989603</v>
      </c>
      <c r="O211" s="228"/>
      <c r="P211" s="183"/>
      <c r="Q211" s="185" cm="1">
        <f t="array" ref="Q211">+SUMPRODUCT(('Réel 2023'!$A$8:$A$501=$A211)*('Réel 2023'!$C$3:$AO$3=Q$2),'Réel 2023'!$C$8:$AO$501)</f>
        <v>62078.000000000007</v>
      </c>
      <c r="R211" s="228"/>
      <c r="S211" s="202">
        <f t="shared" si="44"/>
        <v>7782.5199999999968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40700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33138.759999999995</v>
      </c>
      <c r="M212" s="228"/>
      <c r="N212" s="230">
        <f t="shared" si="43"/>
        <v>-7561.2400000000052</v>
      </c>
      <c r="O212" s="228"/>
      <c r="P212" s="183"/>
      <c r="Q212" s="185" cm="1">
        <f t="array" ref="Q212">+SUMPRODUCT(('Réel 2023'!$A$8:$A$501=$A212)*('Réel 2023'!$C$3:$AO$3=Q$2),'Réel 2023'!$C$8:$AO$501)</f>
        <v>44447.799999999981</v>
      </c>
      <c r="R212" s="228"/>
      <c r="S212" s="202">
        <f t="shared" si="44"/>
        <v>-11309.039999999986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53049.791666666686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51929.630000000005</v>
      </c>
      <c r="M213" s="283"/>
      <c r="N213" s="284">
        <f t="shared" si="43"/>
        <v>-1120.1616666666814</v>
      </c>
      <c r="O213" s="283"/>
      <c r="P213" s="281"/>
      <c r="Q213" s="185" cm="1">
        <f t="array" ref="Q213">+SUMPRODUCT(('Réel 2023'!$A$8:$A$501=$A213)*('Réel 2023'!$C$3:$AO$3=Q$2),'Réel 2023'!$C$8:$AO$501)</f>
        <v>63313.159999999967</v>
      </c>
      <c r="R213" s="283"/>
      <c r="S213" s="205">
        <f t="shared" si="44"/>
        <v>-11383.529999999962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60797.275000000009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62315.21</v>
      </c>
      <c r="M214" s="228"/>
      <c r="N214" s="230">
        <f t="shared" si="43"/>
        <v>1517.9349999999904</v>
      </c>
      <c r="O214" s="228"/>
      <c r="P214" s="183"/>
      <c r="Q214" s="186" cm="1">
        <f t="array" ref="Q214">+SUMPRODUCT(('Réel 2023'!$A$8:$A$501=$A214)*('Réel 2023'!$C$3:$AO$3=Q$2),'Réel 2023'!$C$8:$AO$501)</f>
        <v>60221.69</v>
      </c>
      <c r="R214" s="228"/>
      <c r="S214" s="202">
        <f t="shared" si="44"/>
        <v>2093.5199999999968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4524.3000000000011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7255.34</v>
      </c>
      <c r="M215" s="228"/>
      <c r="N215" s="230">
        <f t="shared" si="43"/>
        <v>2731.0399999999991</v>
      </c>
      <c r="O215" s="228"/>
      <c r="P215" s="183"/>
      <c r="Q215" s="185" cm="1">
        <f t="array" ref="Q215">+SUMPRODUCT(('Réel 2023'!$A$8:$A$501=$A215)*('Réel 2023'!$C$3:$AO$3=Q$2),'Réel 2023'!$C$8:$AO$501)</f>
        <v>6388.1100000000006</v>
      </c>
      <c r="R215" s="228"/>
      <c r="S215" s="202">
        <f t="shared" si="44"/>
        <v>867.22999999999956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59974.474999999991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65614.94</v>
      </c>
      <c r="M216" s="283"/>
      <c r="N216" s="284">
        <f t="shared" si="43"/>
        <v>5640.4650000000111</v>
      </c>
      <c r="O216" s="283"/>
      <c r="P216" s="281"/>
      <c r="Q216" s="185" cm="1">
        <f t="array" ref="Q216">+SUMPRODUCT(('Réel 2023'!$A$8:$A$501=$A216)*('Réel 2023'!$C$3:$AO$3=Q$2),'Réel 2023'!$C$8:$AO$501)</f>
        <v>60592.13</v>
      </c>
      <c r="R216" s="283"/>
      <c r="S216" s="205">
        <f t="shared" si="44"/>
        <v>5022.8100000000049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13544.578313253009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11479.58</v>
      </c>
      <c r="M218" s="228"/>
      <c r="N218" s="230">
        <f t="shared" si="43"/>
        <v>-2064.9983132530087</v>
      </c>
      <c r="O218" s="228"/>
      <c r="P218" s="183"/>
      <c r="Q218" s="185" cm="1">
        <f t="array" ref="Q218">+SUMPRODUCT(('Réel 2023'!$A$8:$A$501=$A218)*('Réel 2023'!$C$3:$AO$3=Q$2),'Réel 2023'!$C$8:$AO$501)</f>
        <v>16596.91</v>
      </c>
      <c r="R218" s="228"/>
      <c r="S218" s="202">
        <f t="shared" si="44"/>
        <v>-5117.33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10450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12301.13</v>
      </c>
      <c r="M219" s="228"/>
      <c r="N219" s="230">
        <f t="shared" si="43"/>
        <v>1851.1299999999992</v>
      </c>
      <c r="O219" s="228"/>
      <c r="P219" s="183"/>
      <c r="Q219" s="185" cm="1">
        <f t="array" ref="Q219">+SUMPRODUCT(('Réel 2023'!$A$8:$A$501=$A219)*('Réel 2023'!$C$3:$AO$3=Q$2),'Réel 2023'!$C$8:$AO$501)</f>
        <v>9775.32</v>
      </c>
      <c r="R219" s="228"/>
      <c r="S219" s="202">
        <f t="shared" si="44"/>
        <v>2525.8099999999995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4331.25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3875.3</v>
      </c>
      <c r="M220" s="228"/>
      <c r="N220" s="230">
        <f t="shared" si="43"/>
        <v>-455.94999999999982</v>
      </c>
      <c r="O220" s="228"/>
      <c r="P220" s="183"/>
      <c r="Q220" s="478" cm="1">
        <f t="array" ref="Q220">+SUMPRODUCT(('Réel 2023'!$A$8:$A$501=$A220)*('Réel 2023'!$C$3:$AO$3=Q$2),'Réel 2023'!$C$8:$AO$501)</f>
        <v>5535.5800000000008</v>
      </c>
      <c r="R220" s="228"/>
      <c r="S220" s="202">
        <f t="shared" si="44"/>
        <v>-1660.2800000000007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1223.2000000000003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1271.47</v>
      </c>
      <c r="M221" s="228"/>
      <c r="N221" s="230">
        <f t="shared" si="43"/>
        <v>48.269999999999754</v>
      </c>
      <c r="O221" s="228"/>
      <c r="P221" s="183"/>
      <c r="Q221" s="185" cm="1">
        <f t="array" ref="Q221">+SUMPRODUCT(('Réel 2023'!$A$8:$A$501=$A221)*('Réel 2023'!$C$3:$AO$3=Q$2),'Réel 2023'!$C$8:$AO$501)</f>
        <v>1091.18</v>
      </c>
      <c r="R221" s="228"/>
      <c r="S221" s="202">
        <f t="shared" si="44"/>
        <v>180.28999999999996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1237.5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1344.49</v>
      </c>
      <c r="M222" s="228"/>
      <c r="N222" s="230">
        <f t="shared" si="43"/>
        <v>106.99000000000001</v>
      </c>
      <c r="O222" s="228"/>
      <c r="P222" s="183"/>
      <c r="Q222" s="185" cm="1">
        <f t="array" ref="Q222">+SUMPRODUCT(('Réel 2023'!$A$8:$A$501=$A222)*('Réel 2023'!$C$3:$AO$3=Q$2),'Réel 2023'!$C$8:$AO$501)</f>
        <v>1427.5600000000002</v>
      </c>
      <c r="R222" s="228"/>
      <c r="S222" s="202">
        <f t="shared" si="44"/>
        <v>-83.070000000000164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4598.5500000000011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4890.3500000000004</v>
      </c>
      <c r="M223" s="228"/>
      <c r="N223" s="230">
        <f t="shared" si="43"/>
        <v>291.79999999999927</v>
      </c>
      <c r="O223" s="228"/>
      <c r="P223" s="183"/>
      <c r="Q223" s="185" cm="1">
        <f t="array" ref="Q223">+SUMPRODUCT(('Réel 2023'!$A$8:$A$501=$A223)*('Réel 2023'!$C$3:$AO$3=Q$2),'Réel 2023'!$C$8:$AO$501)</f>
        <v>4490.0199999999995</v>
      </c>
      <c r="R223" s="228"/>
      <c r="S223" s="202">
        <f t="shared" si="44"/>
        <v>400.33000000000084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19014.400973333333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12492.36</v>
      </c>
      <c r="M224" s="228"/>
      <c r="N224" s="230">
        <f t="shared" si="43"/>
        <v>-6522.0409733333327</v>
      </c>
      <c r="O224" s="228"/>
      <c r="P224" s="183"/>
      <c r="Q224" s="185" cm="1">
        <f t="array" ref="Q224">+SUMPRODUCT(('Réel 2023'!$A$8:$A$501=$A224)*('Réel 2023'!$C$3:$AO$3=Q$2),'Réel 2023'!$C$8:$AO$501)</f>
        <v>23308.350000000002</v>
      </c>
      <c r="R224" s="228"/>
      <c r="S224" s="202">
        <f t="shared" si="44"/>
        <v>-10815.990000000002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14465.611990535088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16663.34</v>
      </c>
      <c r="M225" s="228"/>
      <c r="N225" s="230">
        <f t="shared" si="43"/>
        <v>2197.7280094649122</v>
      </c>
      <c r="O225" s="228"/>
      <c r="P225" s="183"/>
      <c r="Q225" s="185" cm="1">
        <f t="array" ref="Q225">+SUMPRODUCT(('Réel 2023'!$A$8:$A$501=$A225)*('Réel 2023'!$C$3:$AO$3=Q$2),'Réel 2023'!$C$8:$AO$501)</f>
        <v>14758.8</v>
      </c>
      <c r="R225" s="228"/>
      <c r="S225" s="202">
        <f t="shared" si="44"/>
        <v>1904.5400000000009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0.30908012540414215</v>
      </c>
      <c r="F229" s="41">
        <f>+SUM(F211:F228)</f>
        <v>342536.18709389208</v>
      </c>
      <c r="G229" s="42"/>
      <c r="H229" s="40"/>
      <c r="I229" s="41"/>
      <c r="J229" s="42" t="s">
        <v>162</v>
      </c>
      <c r="K229" s="40">
        <f>L229/L$194</f>
        <v>0.34386761702309554</v>
      </c>
      <c r="L229" s="41">
        <f>+SUM(L211:L228)</f>
        <v>354432.42</v>
      </c>
      <c r="M229" s="44"/>
      <c r="N229" s="41">
        <f t="shared" si="43"/>
        <v>11896.232906107907</v>
      </c>
      <c r="O229" s="42" t="s">
        <v>162</v>
      </c>
      <c r="P229" s="40">
        <f>Q229/Q$194</f>
        <v>0.35467637867268742</v>
      </c>
      <c r="Q229" s="41">
        <f>+SUM(Q211:Q228)</f>
        <v>374024.60999999993</v>
      </c>
      <c r="R229" s="44"/>
      <c r="S229" s="290">
        <f t="shared" si="44"/>
        <v>-19592.189999999944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0.85082836252368788</v>
      </c>
      <c r="F231" s="41">
        <f>F210+F229</f>
        <v>942925.40741378278</v>
      </c>
      <c r="G231" s="42"/>
      <c r="H231" s="40"/>
      <c r="I231" s="41"/>
      <c r="J231" s="42" t="s">
        <v>108</v>
      </c>
      <c r="K231" s="40">
        <f>L231/L$194</f>
        <v>0.91532501840988456</v>
      </c>
      <c r="L231" s="41">
        <f>L210+L229</f>
        <v>943446.97</v>
      </c>
      <c r="M231" s="44"/>
      <c r="N231" s="46">
        <f>L231-F231</f>
        <v>521.56258621718735</v>
      </c>
      <c r="O231" s="42" t="s">
        <v>108</v>
      </c>
      <c r="P231" s="40">
        <f>Q231/Q$194</f>
        <v>0.87297374934994987</v>
      </c>
      <c r="Q231" s="41">
        <f>Q210+Q229</f>
        <v>920596.03</v>
      </c>
      <c r="R231" s="44"/>
      <c r="S231" s="286">
        <f>L231-Q231</f>
        <v>22850.939999999944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165318.56862965901</v>
      </c>
      <c r="G233" s="312"/>
      <c r="H233" s="310"/>
      <c r="I233" s="311"/>
      <c r="J233" s="313"/>
      <c r="K233" s="314"/>
      <c r="L233" s="311">
        <f>L194-L231</f>
        <v>87276.490000000107</v>
      </c>
      <c r="M233" s="313"/>
      <c r="N233" s="311">
        <f>L233-F233</f>
        <v>-78042.078629658907</v>
      </c>
      <c r="O233" s="313"/>
      <c r="P233" s="314"/>
      <c r="Q233" s="311">
        <f>Q194-Q231</f>
        <v>133955.75999999885</v>
      </c>
      <c r="R233" s="313"/>
      <c r="S233" s="315">
        <f>L233-Q233</f>
        <v>-46679.269999998738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2444</v>
      </c>
      <c r="N238" s="1202"/>
      <c r="O238" s="1200" t="s">
        <v>79</v>
      </c>
      <c r="P238" s="1201"/>
      <c r="Q238" s="1202"/>
      <c r="R238" s="1203" t="s">
        <v>2448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27291.442957661016</v>
      </c>
      <c r="F241" s="200" cm="1">
        <f t="array" ref="F241">+SUMPRODUCT(('Budget original'!$A$8:$A$501=$A241)*('Budget original'!$C$3:$AO$3=F$2),'Budget original'!$C$8:$AO$501)</f>
        <v>4912.4597323789822</v>
      </c>
      <c r="G241" s="316"/>
      <c r="H241" s="200"/>
      <c r="I241" s="200"/>
      <c r="J241" s="229">
        <f>-SUMIFS(BV_Data_An_Cour!$P:$P,BV_Data_An_Cour!$U:$U,$B241,BV_Data_An_Cour!$V:$V,$C241,BV_Data_An_Cour!$W:$W,J$2)</f>
        <v>90</v>
      </c>
      <c r="K241" s="184">
        <f>-SUMIFS(BV_Data_An_Cour!$P:$P,BV_Data_An_Cour!$X:$X,"Oui",BV_Data_An_Cour!$U:$U,$B241,BV_Data_An_Cour!$V:$V,$C241)</f>
        <v>28483.08</v>
      </c>
      <c r="L241" s="185">
        <f>-SUMIFS(BV_Data_An_Cour!$P:$P,BV_Data_An_Cour!$U:$U,$B241,BV_Data_An_Cour!$V:$V,$C241,BV_Data_An_Cour!$W:$W,$L$2)</f>
        <v>4378.5500000000029</v>
      </c>
      <c r="M241" s="298">
        <f>IFERROR((K241-E241)/E241,0)</f>
        <v>4.3663394573443738E-2</v>
      </c>
      <c r="N241" s="230">
        <f>L241-F241</f>
        <v>-533.90973237897924</v>
      </c>
      <c r="O241" s="229" cm="1">
        <f t="array" ref="O241">+SUMPRODUCT(('Réel 2023'!$A$8:$A$501=$A241)*('Réel 2023'!$C$3:$AO$3=O$2),'Réel 2023'!$C$8:$AO$501)</f>
        <v>112</v>
      </c>
      <c r="P241" s="184" cm="1">
        <f t="array" ref="P241">+SUMPRODUCT(('Réel 2023'!$A$8:$A$501=$A241)*('Réel 2023'!$C$3:$AO$3=P$2),'Réel 2023'!$C$8:$AO$501)</f>
        <v>42500.43</v>
      </c>
      <c r="Q241" s="185" cm="1">
        <f t="array" ref="Q241">+SUMPRODUCT(('Réel 2023'!$A$8:$A$501=$A241)*('Réel 2023'!$C$3:$AO$3=Q$2),'Réel 2023'!$C$8:$AO$501)</f>
        <v>3530.6699999999942</v>
      </c>
      <c r="R241" s="298">
        <f>IF(O241=0,0,J241/O241)</f>
        <v>0.8035714285714286</v>
      </c>
      <c r="S241" s="202">
        <f>L241-Q241</f>
        <v>847.88000000000875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0.17999999999999997</v>
      </c>
      <c r="G242" s="228"/>
      <c r="H242" s="231"/>
      <c r="I242" s="232"/>
      <c r="J242" s="229"/>
      <c r="K242" s="183"/>
      <c r="L242" s="232">
        <f>IFERROR(L241/K241,0)</f>
        <v>0.15372459719946027</v>
      </c>
      <c r="M242" s="298"/>
      <c r="N242" s="1038">
        <f>IFERROR(N241/M241,0)</f>
        <v>-12227.856711436389</v>
      </c>
      <c r="O242" s="229"/>
      <c r="P242" s="183"/>
      <c r="Q242" s="232">
        <f>IFERROR(Q241/P241,0)</f>
        <v>8.3073747724434654E-2</v>
      </c>
      <c r="R242" s="229"/>
      <c r="S242" s="202">
        <f>IFERROR(S241/R241,0)</f>
        <v>1055.1395555555664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27291.442957661016</v>
      </c>
      <c r="F250" s="28">
        <f t="shared" si="46"/>
        <v>4912.4597323789822</v>
      </c>
      <c r="G250" s="29"/>
      <c r="H250" s="26"/>
      <c r="I250" s="28"/>
      <c r="J250" s="29"/>
      <c r="K250" s="26">
        <f>K244+K247+K241</f>
        <v>28483.08</v>
      </c>
      <c r="L250" s="28">
        <f>L244+L247+L241</f>
        <v>4378.5500000000029</v>
      </c>
      <c r="M250" s="70">
        <f>L251-F251</f>
        <v>-2.6275402800539693E-2</v>
      </c>
      <c r="N250" s="28">
        <f>L250-F250</f>
        <v>-533.90973237897924</v>
      </c>
      <c r="O250" s="29"/>
      <c r="P250" s="26">
        <f t="shared" ref="P250:Q250" si="47">P244+P247+P241</f>
        <v>42500.43</v>
      </c>
      <c r="Q250" s="28">
        <f t="shared" si="47"/>
        <v>3530.6699999999942</v>
      </c>
      <c r="R250" s="70">
        <f>L251-Q251</f>
        <v>7.0650849475025618E-2</v>
      </c>
      <c r="S250" s="326">
        <f>L250-Q250</f>
        <v>847.88000000000875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0.17999999999999997</v>
      </c>
      <c r="G251" s="31"/>
      <c r="H251" s="328"/>
      <c r="I251" s="34"/>
      <c r="J251" s="31"/>
      <c r="K251" s="328"/>
      <c r="L251" s="34">
        <f>IF(K250=0,0,L250/K250)</f>
        <v>0.15372459719946027</v>
      </c>
      <c r="M251" s="33"/>
      <c r="N251" s="34">
        <f>N250/F250</f>
        <v>-0.10868480587431095</v>
      </c>
      <c r="O251" s="31"/>
      <c r="P251" s="328"/>
      <c r="Q251" s="34">
        <f>Q250/P250</f>
        <v>8.3073747724434654E-2</v>
      </c>
      <c r="R251" s="33"/>
      <c r="S251" s="264">
        <f>IF(R250=0,0,S250/R250)</f>
        <v>12000.988046148348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3347.0250000000005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3346.97</v>
      </c>
      <c r="M254" s="228"/>
      <c r="N254" s="230">
        <f t="shared" ref="N254:N284" si="48">L254-F254</f>
        <v>-5.5000000000745786E-2</v>
      </c>
      <c r="O254" s="228"/>
      <c r="P254" s="183"/>
      <c r="Q254" s="185" cm="1">
        <f t="array" ref="Q254">+SUMPRODUCT(('Réel 2023'!$A$8:$A$501=$A254)*('Réel 2023'!$C$3:$AO$3=Q$2),'Réel 2023'!$C$8:$AO$501)</f>
        <v>3346.97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3793.6896946564889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3720.45</v>
      </c>
      <c r="M255" s="228"/>
      <c r="N255" s="230">
        <f t="shared" si="48"/>
        <v>-73.239694656489064</v>
      </c>
      <c r="O255" s="228"/>
      <c r="P255" s="183"/>
      <c r="Q255" s="185" cm="1">
        <f t="array" ref="Q255">+SUMPRODUCT(('Réel 2023'!$A$8:$A$501=$A255)*('Réel 2023'!$C$3:$AO$3=Q$2),'Réel 2023'!$C$8:$AO$501)</f>
        <v>3719.74</v>
      </c>
      <c r="R255" s="228"/>
      <c r="S255" s="202">
        <f>L255-Q255</f>
        <v>0.71000000000003638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209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209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209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1151.9867027375724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1147.3399999999999</v>
      </c>
      <c r="M261" s="228"/>
      <c r="N261" s="230">
        <f t="shared" si="48"/>
        <v>-4.6467027375724683</v>
      </c>
      <c r="O261" s="228"/>
      <c r="P261" s="183"/>
      <c r="Q261" s="185" cm="1">
        <f t="array" ref="Q261">+SUMPRODUCT(('Réel 2023'!$A$8:$A$501=$A261)*('Réel 2023'!$C$3:$AO$3=Q$2),'Réel 2023'!$C$8:$AO$501)</f>
        <v>804.2700000000001</v>
      </c>
      <c r="R261" s="228"/>
      <c r="S261" s="202">
        <f t="shared" si="49"/>
        <v>343.06999999999982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1541.3883633616401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3044.36</v>
      </c>
      <c r="M262" s="278"/>
      <c r="N262" s="279">
        <f t="shared" si="48"/>
        <v>1502.97163663836</v>
      </c>
      <c r="O262" s="278"/>
      <c r="P262" s="276"/>
      <c r="Q262" s="186" cm="1">
        <f t="array" ref="Q262">+SUMPRODUCT(('Réel 2023'!$A$8:$A$501=$A262)*('Réel 2023'!$C$3:$AO$3=Q$2),'Réel 2023'!$C$8:$AO$501)</f>
        <v>2391</v>
      </c>
      <c r="R262" s="278"/>
      <c r="S262" s="204">
        <f t="shared" si="49"/>
        <v>653.36000000000013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711.38648648218839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413.27</v>
      </c>
      <c r="M263" s="228"/>
      <c r="N263" s="230">
        <f t="shared" si="48"/>
        <v>-298.11648648218841</v>
      </c>
      <c r="O263" s="228"/>
      <c r="P263" s="183"/>
      <c r="Q263" s="185" cm="1">
        <f t="array" ref="Q263">+SUMPRODUCT(('Réel 2023'!$A$8:$A$501=$A263)*('Réel 2023'!$C$3:$AO$3=Q$2),'Réel 2023'!$C$8:$AO$501)</f>
        <v>393.47</v>
      </c>
      <c r="R263" s="228"/>
      <c r="S263" s="202">
        <f t="shared" si="49"/>
        <v>19.799999999999955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160.63565823791353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50.22</v>
      </c>
      <c r="M264" s="763"/>
      <c r="N264" s="199">
        <f t="shared" si="48"/>
        <v>-110.41565823791353</v>
      </c>
      <c r="O264" s="228"/>
      <c r="P264" s="183"/>
      <c r="Q264" s="185" cm="1">
        <f t="array" ref="Q264">+SUMPRODUCT(('Réel 2023'!$A$8:$A$501=$A264)*('Réel 2023'!$C$3:$AO$3=Q$2),'Réel 2023'!$C$8:$AO$501)</f>
        <v>78.83</v>
      </c>
      <c r="R264" s="228"/>
      <c r="S264" s="202">
        <f t="shared" si="49"/>
        <v>-28.61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10915.111905475806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11931.61</v>
      </c>
      <c r="M266" s="43"/>
      <c r="N266" s="46">
        <f t="shared" si="48"/>
        <v>1016.498094524195</v>
      </c>
      <c r="O266" s="42" t="s">
        <v>108</v>
      </c>
      <c r="P266" s="40" t="e">
        <f>Q266/Q$244</f>
        <v>#DIV/0!</v>
      </c>
      <c r="Q266" s="41">
        <f>+SUM(Q254:Q265)</f>
        <v>10943.279999999999</v>
      </c>
      <c r="R266" s="43"/>
      <c r="S266" s="286">
        <f t="shared" si="49"/>
        <v>988.33000000000175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152.22999999999999</v>
      </c>
      <c r="M267" s="228"/>
      <c r="N267" s="230">
        <f t="shared" si="48"/>
        <v>152.22999999999999</v>
      </c>
      <c r="O267" s="228"/>
      <c r="P267" s="183"/>
      <c r="Q267" s="185" cm="1">
        <f t="array" ref="Q267">+SUMPRODUCT(('Réel 2023'!$A$8:$A$501=$A267)*('Réel 2023'!$C$3:$AO$3=Q$2),'Réel 2023'!$C$8:$AO$501)</f>
        <v>40.67</v>
      </c>
      <c r="R267" s="228"/>
      <c r="S267" s="202">
        <f t="shared" si="49"/>
        <v>111.55999999999999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223.74</v>
      </c>
      <c r="M268" s="228"/>
      <c r="N268" s="230">
        <f t="shared" si="48"/>
        <v>223.74</v>
      </c>
      <c r="O268" s="228"/>
      <c r="P268" s="183"/>
      <c r="Q268" s="185" cm="1">
        <f t="array" ref="Q268">+SUMPRODUCT(('Réel 2023'!$A$8:$A$501=$A268)*('Réel 2023'!$C$3:$AO$3=Q$2),'Réel 2023'!$C$8:$AO$501)</f>
        <v>104.38</v>
      </c>
      <c r="R268" s="228"/>
      <c r="S268" s="202">
        <f t="shared" si="49"/>
        <v>119.36000000000001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1313.125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1678.16</v>
      </c>
      <c r="M269" s="283"/>
      <c r="N269" s="284">
        <f t="shared" si="48"/>
        <v>365.03500000000008</v>
      </c>
      <c r="O269" s="283"/>
      <c r="P269" s="281"/>
      <c r="Q269" s="185" cm="1">
        <f t="array" ref="Q269">+SUMPRODUCT(('Réel 2023'!$A$8:$A$501=$A269)*('Réel 2023'!$C$3:$AO$3=Q$2),'Réel 2023'!$C$8:$AO$501)</f>
        <v>1490.1</v>
      </c>
      <c r="R269" s="283"/>
      <c r="S269" s="205">
        <f t="shared" si="49"/>
        <v>188.06000000000017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2631.4749999999995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2369.7800000000002</v>
      </c>
      <c r="M270" s="228"/>
      <c r="N270" s="230">
        <f t="shared" si="48"/>
        <v>-261.69499999999925</v>
      </c>
      <c r="O270" s="228"/>
      <c r="P270" s="183"/>
      <c r="Q270" s="186" cm="1">
        <f t="array" ref="Q270">+SUMPRODUCT(('Réel 2023'!$A$8:$A$501=$A270)*('Réel 2023'!$C$3:$AO$3=Q$2),'Réel 2023'!$C$8:$AO$501)</f>
        <v>2447.61</v>
      </c>
      <c r="R270" s="228"/>
      <c r="S270" s="202">
        <f t="shared" si="49"/>
        <v>-77.829999999999927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502.69999999999993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325.05</v>
      </c>
      <c r="M271" s="228"/>
      <c r="N271" s="230">
        <f t="shared" si="48"/>
        <v>-177.64999999999992</v>
      </c>
      <c r="O271" s="228"/>
      <c r="P271" s="183"/>
      <c r="Q271" s="185" cm="1">
        <f t="array" ref="Q271">+SUMPRODUCT(('Réel 2023'!$A$8:$A$501=$A271)*('Réel 2023'!$C$3:$AO$3=Q$2),'Réel 2023'!$C$8:$AO$501)</f>
        <v>244.92000000000004</v>
      </c>
      <c r="R271" s="228"/>
      <c r="S271" s="202">
        <f t="shared" si="49"/>
        <v>80.129999999999967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1683.2750000000003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1863.08</v>
      </c>
      <c r="M272" s="283"/>
      <c r="N272" s="284">
        <f t="shared" si="48"/>
        <v>179.80499999999961</v>
      </c>
      <c r="O272" s="283"/>
      <c r="P272" s="281"/>
      <c r="Q272" s="182" cm="1">
        <f t="array" ref="Q272">+SUMPRODUCT(('Réel 2023'!$A$8:$A$501=$A272)*('Réel 2023'!$C$3:$AO$3=Q$2),'Réel 2023'!$C$8:$AO$501)</f>
        <v>1628.7600000000002</v>
      </c>
      <c r="R272" s="283"/>
      <c r="S272" s="205">
        <f t="shared" si="49"/>
        <v>234.31999999999971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27.831325301204817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0.81</v>
      </c>
      <c r="M274" s="228"/>
      <c r="N274" s="230">
        <f t="shared" si="48"/>
        <v>-27.021325301204818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-17.73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481.25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328.92</v>
      </c>
      <c r="M276" s="228"/>
      <c r="N276" s="230">
        <f t="shared" si="48"/>
        <v>-152.32999999999998</v>
      </c>
      <c r="O276" s="228"/>
      <c r="P276" s="183"/>
      <c r="Q276" s="478" cm="1">
        <f t="array" ref="Q276">+SUMPRODUCT(('Réel 2023'!$A$8:$A$501=$A276)*('Réel 2023'!$C$3:$AO$3=Q$2),'Réel 2023'!$C$8:$AO$501)</f>
        <v>342.96999999999997</v>
      </c>
      <c r="R276" s="228"/>
      <c r="S276" s="202">
        <f t="shared" si="49"/>
        <v>-14.049999999999955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96.799999999999983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104.9</v>
      </c>
      <c r="M277" s="228"/>
      <c r="N277" s="230">
        <f t="shared" si="48"/>
        <v>8.1000000000000227</v>
      </c>
      <c r="O277" s="228"/>
      <c r="P277" s="183"/>
      <c r="Q277" s="185" cm="1">
        <f t="array" ref="Q277">+SUMPRODUCT(('Réel 2023'!$A$8:$A$501=$A277)*('Réel 2023'!$C$3:$AO$3=Q$2),'Réel 2023'!$C$8:$AO$501)</f>
        <v>93.81</v>
      </c>
      <c r="R277" s="228"/>
      <c r="S277" s="202">
        <f t="shared" si="49"/>
        <v>11.090000000000003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137.5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56.63</v>
      </c>
      <c r="M278" s="228"/>
      <c r="N278" s="230">
        <f t="shared" si="48"/>
        <v>-80.87</v>
      </c>
      <c r="O278" s="228"/>
      <c r="P278" s="183"/>
      <c r="Q278" s="185" cm="1">
        <f t="array" ref="Q278">+SUMPRODUCT(('Réel 2023'!$A$8:$A$501=$A278)*('Réel 2023'!$C$3:$AO$3=Q$2),'Réel 2023'!$C$8:$AO$501)</f>
        <v>98.330000000000013</v>
      </c>
      <c r="R278" s="228"/>
      <c r="S278" s="202">
        <f t="shared" si="49"/>
        <v>-41.70000000000001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510.94999999999993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444.34999999999997</v>
      </c>
      <c r="M279" s="228"/>
      <c r="N279" s="230">
        <f t="shared" si="48"/>
        <v>-66.599999999999966</v>
      </c>
      <c r="O279" s="228"/>
      <c r="P279" s="183"/>
      <c r="Q279" s="185" cm="1">
        <f t="array" ref="Q279">+SUMPRODUCT(('Réel 2023'!$A$8:$A$501=$A279)*('Réel 2023'!$C$3:$AO$3=Q$2),'Réel 2023'!$C$8:$AO$501)</f>
        <v>479.22999999999956</v>
      </c>
      <c r="R279" s="228"/>
      <c r="S279" s="202">
        <f t="shared" si="49"/>
        <v>-34.879999999999598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228.45195999999999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80.11</v>
      </c>
      <c r="M280" s="228"/>
      <c r="N280" s="230">
        <f t="shared" si="48"/>
        <v>-148.34195999999997</v>
      </c>
      <c r="O280" s="228"/>
      <c r="P280" s="183"/>
      <c r="Q280" s="185" cm="1">
        <f t="array" ref="Q280">+SUMPRODUCT(('Réel 2023'!$A$8:$A$501=$A280)*('Réel 2023'!$C$3:$AO$3=Q$2),'Réel 2023'!$C$8:$AO$501)</f>
        <v>206.56</v>
      </c>
      <c r="R280" s="228"/>
      <c r="S280" s="202">
        <f t="shared" si="49"/>
        <v>-126.45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1607.2902211705652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1851.45</v>
      </c>
      <c r="M281" s="228"/>
      <c r="N281" s="230">
        <f t="shared" si="48"/>
        <v>244.1597788294348</v>
      </c>
      <c r="O281" s="228"/>
      <c r="P281" s="183"/>
      <c r="Q281" s="185" cm="1">
        <f t="array" ref="Q281">+SUMPRODUCT(('Réel 2023'!$A$8:$A$501=$A281)*('Réel 2023'!$C$3:$AO$3=Q$2),'Réel 2023'!$C$8:$AO$501)</f>
        <v>1639.83</v>
      </c>
      <c r="R281" s="228"/>
      <c r="S281" s="202">
        <f t="shared" si="49"/>
        <v>211.62000000000012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>
        <f>IF(F250=0,0,F285/F$250)</f>
        <v>1.876992180861387</v>
      </c>
      <c r="F285" s="41">
        <f>+SUM(F267:F284)</f>
        <v>9220.6485064717708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9502.2900000000009</v>
      </c>
      <c r="M285" s="44"/>
      <c r="N285" s="41">
        <f>+SUM(N267:N284)</f>
        <v>281.64149352823063</v>
      </c>
      <c r="O285" s="42" t="s">
        <v>108</v>
      </c>
      <c r="P285" s="40">
        <f>IF(Q250=0,0,Q285/Q$250)</f>
        <v>2.5049948026861801</v>
      </c>
      <c r="Q285" s="41">
        <f>+SUM(Q267:Q284)</f>
        <v>8844.3100000000013</v>
      </c>
      <c r="R285" s="44"/>
      <c r="S285" s="290">
        <f t="shared" si="49"/>
        <v>657.97999999999956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>
        <f>IF(F250=0,0,F287/F$250)</f>
        <v>4.0989161253025328</v>
      </c>
      <c r="F287" s="41">
        <f>F266+F285</f>
        <v>20135.760411947576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21433.9</v>
      </c>
      <c r="M287" s="44"/>
      <c r="N287" s="46">
        <f>L287-F287</f>
        <v>1298.1395880524251</v>
      </c>
      <c r="O287" s="42" t="s">
        <v>108</v>
      </c>
      <c r="P287" s="40">
        <f>IF(Q250=0,0,Q287/Q$250)</f>
        <v>5.6044858341334738</v>
      </c>
      <c r="Q287" s="41">
        <f>Q266+Q285</f>
        <v>19787.59</v>
      </c>
      <c r="R287" s="44"/>
      <c r="S287" s="286">
        <f>L287-Q287</f>
        <v>1646.3100000000013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-15223.300679568594</v>
      </c>
      <c r="G289" s="312"/>
      <c r="H289" s="310"/>
      <c r="I289" s="311"/>
      <c r="J289" s="313"/>
      <c r="K289" s="314"/>
      <c r="L289" s="311">
        <f>L250-L287</f>
        <v>-17055.349999999999</v>
      </c>
      <c r="M289" s="313"/>
      <c r="N289" s="311">
        <f>L289-F289</f>
        <v>-1832.0493204314043</v>
      </c>
      <c r="O289" s="313"/>
      <c r="P289" s="314"/>
      <c r="Q289" s="311">
        <f>Q250-Q287</f>
        <v>-16256.920000000006</v>
      </c>
      <c r="R289" s="313"/>
      <c r="S289" s="315">
        <f>L289-Q289</f>
        <v>-798.42999999999302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2444</v>
      </c>
      <c r="N293" s="1202"/>
      <c r="O293" s="1200" t="s">
        <v>79</v>
      </c>
      <c r="P293" s="1201"/>
      <c r="Q293" s="1202"/>
      <c r="R293" s="1203" t="s">
        <v>2448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663989.672978997</v>
      </c>
      <c r="E295" s="213">
        <f t="shared" ref="E295:E303" si="51">IF(D295=0,0,F295/D295)</f>
        <v>0.41799999999999998</v>
      </c>
      <c r="F295" s="202" cm="1">
        <f t="array" ref="F295">+SUMPRODUCT(('Budget original'!$A$8:$A$501=$A295)*('Budget original'!$C$3:$AO$3=F$2),'Budget original'!$C$8:$AO$501)</f>
        <v>277547.68330522074</v>
      </c>
      <c r="G295" s="200"/>
      <c r="H295" s="213"/>
      <c r="I295" s="202"/>
      <c r="J295" s="184">
        <f>-SUMIFS(BV_Data_An_Cour!$P:$P,BV_Data_An_Cour!$X:$X,"Oui",BV_Data_An_Cour!$U:$U,$B295,BV_Data_An_Cour!$V:$V,$C295)</f>
        <v>658246.1</v>
      </c>
      <c r="K295" s="213">
        <f t="shared" ref="K295:K304" si="52">IF(J295&lt;=0,0,L295/J295)</f>
        <v>0.39753376434740739</v>
      </c>
      <c r="L295" s="185">
        <f>-SUMIFS(BV_Data_An_Cour!$P:$P,BV_Data_An_Cour!$U:$U,$B295,BV_Data_An_Cour!$V:$V,$C295,BV_Data_An_Cour!$W:$W,$L$2)</f>
        <v>261675.04999999996</v>
      </c>
      <c r="M295" s="298">
        <f t="shared" ref="M295:M301" si="53">(+J295-D295)/D295</f>
        <v>-8.6500938384002531E-3</v>
      </c>
      <c r="N295" s="230">
        <f t="shared" ref="N295:N304" si="54">L295-F295</f>
        <v>-15872.633305220777</v>
      </c>
      <c r="O295" s="184" cm="1">
        <f t="array" ref="O295">+SUMPRODUCT(('Réel 2023'!$A$8:$A$501=$A295)*('Réel 2023'!$C$3:$AO$3=O$2),'Réel 2023'!$C$8:$AO$501)</f>
        <v>627308.35</v>
      </c>
      <c r="P295" s="213">
        <f t="shared" ref="P295:P303" si="55">IF(O295=0,0,Q295/O295)</f>
        <v>0.40552689917167495</v>
      </c>
      <c r="Q295" s="185" cm="1">
        <f t="array" ref="Q295">+SUMPRODUCT(('Réel 2023'!$A$8:$A$501=$A295)*('Réel 2023'!$C$3:$AO$3=Q$2),'Réel 2023'!$C$8:$AO$501)</f>
        <v>254390.40999999977</v>
      </c>
      <c r="R295" s="298">
        <f>IF(O295=0,0,(J295-O295)/O295)</f>
        <v>4.9318249948370689E-2</v>
      </c>
      <c r="S295" s="202">
        <f t="shared" ref="S295:S304" si="56">L295-Q295</f>
        <v>7284.6400000001886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9167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3116.78</v>
      </c>
      <c r="G296" s="200"/>
      <c r="H296" s="213"/>
      <c r="I296" s="202"/>
      <c r="J296" s="184">
        <f>-SUMIFS(BV_Data_An_Cour!$P:$P,BV_Data_An_Cour!$X:$X,"Oui",BV_Data_An_Cour!$U:$U,$B296,BV_Data_An_Cour!$V:$V,$C296)</f>
        <v>7465.0599999999995</v>
      </c>
      <c r="K296" s="213">
        <f t="shared" si="52"/>
        <v>0.32626127586382431</v>
      </c>
      <c r="L296" s="185">
        <f>-SUMIFS(BV_Data_An_Cour!$P:$P,BV_Data_An_Cour!$U:$U,$B296,BV_Data_An_Cour!$V:$V,$C296,BV_Data_An_Cour!$W:$W,$L$2)</f>
        <v>2435.56</v>
      </c>
      <c r="M296" s="298">
        <f t="shared" si="53"/>
        <v>-0.1856594305661613</v>
      </c>
      <c r="N296" s="230">
        <f t="shared" si="54"/>
        <v>-681.22000000000025</v>
      </c>
      <c r="O296" s="184" cm="1">
        <f t="array" ref="O296">+SUMPRODUCT(('Réel 2023'!$A$8:$A$501=$A296)*('Réel 2023'!$C$3:$AO$3=O$2),'Réel 2023'!$C$8:$AO$501)</f>
        <v>17653.429999999989</v>
      </c>
      <c r="P296" s="213">
        <f t="shared" si="55"/>
        <v>0.29515510583495624</v>
      </c>
      <c r="Q296" s="185" cm="1">
        <f t="array" ref="Q296">+SUMPRODUCT(('Réel 2023'!$A$8:$A$501=$A296)*('Réel 2023'!$C$3:$AO$3=Q$2),'Réel 2023'!$C$8:$AO$501)</f>
        <v>5210.4999999999882</v>
      </c>
      <c r="R296" s="298">
        <f t="shared" ref="R296:R303" si="57">IF(O296=0,0,(J296-O296)/O296)</f>
        <v>-0.57713260255938903</v>
      </c>
      <c r="S296" s="202">
        <f t="shared" si="56"/>
        <v>-2774.9399999999882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668685.02659576433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192581.28765958012</v>
      </c>
      <c r="G297" s="200"/>
      <c r="H297" s="213"/>
      <c r="I297" s="202"/>
      <c r="J297" s="184">
        <f>-SUMIFS(BV_Data_An_Cour!$P:$P,BV_Data_An_Cour!$X:$X,"Oui",BV_Data_An_Cour!$U:$U,$B297,BV_Data_An_Cour!$V:$V,$C297)</f>
        <v>648402.77</v>
      </c>
      <c r="K297" s="213">
        <f t="shared" si="52"/>
        <v>0.28149128665813705</v>
      </c>
      <c r="L297" s="185">
        <f>-SUMIFS(BV_Data_An_Cour!$P:$P,BV_Data_An_Cour!$U:$U,$B297,BV_Data_An_Cour!$V:$V,$C297,BV_Data_An_Cour!$W:$W,$L$2)</f>
        <v>182519.73000000013</v>
      </c>
      <c r="M297" s="298">
        <f t="shared" si="53"/>
        <v>-3.0331554901146914E-2</v>
      </c>
      <c r="N297" s="230">
        <f t="shared" si="54"/>
        <v>-10061.557659579994</v>
      </c>
      <c r="O297" s="184" cm="1">
        <f t="array" ref="O297">+SUMPRODUCT(('Réel 2023'!$A$8:$A$501=$A297)*('Réel 2023'!$C$3:$AO$3=O$2),'Réel 2023'!$C$8:$AO$501)</f>
        <v>694798.65999999968</v>
      </c>
      <c r="P297" s="213">
        <f t="shared" si="55"/>
        <v>0.28456514294371216</v>
      </c>
      <c r="Q297" s="185" cm="1">
        <f t="array" ref="Q297">+SUMPRODUCT(('Réel 2023'!$A$8:$A$501=$A297)*('Réel 2023'!$C$3:$AO$3=Q$2),'Réel 2023'!$C$8:$AO$501)</f>
        <v>197715.47999999957</v>
      </c>
      <c r="R297" s="298">
        <f t="shared" si="57"/>
        <v>-6.6776021128192281E-2</v>
      </c>
      <c r="S297" s="202">
        <f t="shared" si="56"/>
        <v>-15195.749999999447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213938.00806194896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82366.133103850356</v>
      </c>
      <c r="G298" s="200"/>
      <c r="H298" s="213"/>
      <c r="I298" s="202"/>
      <c r="J298" s="184">
        <f>-SUMIFS(BV_Data_An_Cour!$P:$P,BV_Data_An_Cour!$X:$X,"Oui",BV_Data_An_Cour!$U:$U,$B298,BV_Data_An_Cour!$V:$V,$C298)</f>
        <v>192183.88999999998</v>
      </c>
      <c r="K298" s="213">
        <f t="shared" si="52"/>
        <v>0.33071403643666486</v>
      </c>
      <c r="L298" s="185">
        <f>-SUMIFS(BV_Data_An_Cour!$P:$P,BV_Data_An_Cour!$U:$U,$B298,BV_Data_An_Cour!$V:$V,$C298,BV_Data_An_Cour!$W:$W,$L$2)</f>
        <v>63557.909999999989</v>
      </c>
      <c r="M298" s="298">
        <f t="shared" si="53"/>
        <v>-0.1016842133804001</v>
      </c>
      <c r="N298" s="230">
        <f t="shared" si="54"/>
        <v>-18808.223103850367</v>
      </c>
      <c r="O298" s="184" cm="1">
        <f t="array" ref="O298">+SUMPRODUCT(('Réel 2023'!$A$8:$A$501=$A298)*('Réel 2023'!$C$3:$AO$3=O$2),'Réel 2023'!$C$8:$AO$501)</f>
        <v>207734.73999999979</v>
      </c>
      <c r="P298" s="213">
        <f t="shared" si="55"/>
        <v>0.34279841686566265</v>
      </c>
      <c r="Q298" s="185" cm="1">
        <f t="array" ref="Q298">+SUMPRODUCT(('Réel 2023'!$A$8:$A$501=$A298)*('Réel 2023'!$C$3:$AO$3=Q$2),'Réel 2023'!$C$8:$AO$501)</f>
        <v>71211.13999999997</v>
      </c>
      <c r="R298" s="298">
        <f t="shared" si="57"/>
        <v>-7.4859168957487884E-2</v>
      </c>
      <c r="S298" s="202">
        <f t="shared" si="56"/>
        <v>-7653.2299999999814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286685.70890248107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88872.569759769132</v>
      </c>
      <c r="G299" s="200"/>
      <c r="H299" s="213"/>
      <c r="I299" s="202"/>
      <c r="J299" s="184">
        <f>-SUMIFS(BV_Data_An_Cour!$P:$P,BV_Data_An_Cour!$X:$X,"Oui",BV_Data_An_Cour!$U:$U,$B299,BV_Data_An_Cour!$V:$V,$C299)</f>
        <v>295840.65000000002</v>
      </c>
      <c r="K299" s="213">
        <f t="shared" si="52"/>
        <v>0.27840325526596854</v>
      </c>
      <c r="L299" s="185">
        <f>-SUMIFS(BV_Data_An_Cour!$P:$P,BV_Data_An_Cour!$U:$U,$B299,BV_Data_An_Cour!$V:$V,$C299,BV_Data_An_Cour!$W:$W,$L$2)</f>
        <v>82363.000000000058</v>
      </c>
      <c r="M299" s="298">
        <f t="shared" si="53"/>
        <v>3.1933719795684323E-2</v>
      </c>
      <c r="N299" s="230">
        <f t="shared" si="54"/>
        <v>-6509.5697597690742</v>
      </c>
      <c r="O299" s="184" cm="1">
        <f t="array" ref="O299">+SUMPRODUCT(('Réel 2023'!$A$8:$A$501=$A299)*('Réel 2023'!$C$3:$AO$3=O$2),'Réel 2023'!$C$8:$AO$501)</f>
        <v>273146.40000000002</v>
      </c>
      <c r="P299" s="213">
        <f t="shared" si="55"/>
        <v>0.29260872557719952</v>
      </c>
      <c r="Q299" s="185" cm="1">
        <f t="array" ref="Q299">+SUMPRODUCT(('Réel 2023'!$A$8:$A$501=$A299)*('Réel 2023'!$C$3:$AO$3=Q$2),'Réel 2023'!$C$8:$AO$501)</f>
        <v>79925.019999999975</v>
      </c>
      <c r="R299" s="298">
        <f t="shared" si="57"/>
        <v>8.3084565639525168E-2</v>
      </c>
      <c r="S299" s="202">
        <f t="shared" si="56"/>
        <v>2437.9800000000832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718112.28204047354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152957.91607462088</v>
      </c>
      <c r="G300" s="200"/>
      <c r="H300" s="213"/>
      <c r="I300" s="202"/>
      <c r="J300" s="184">
        <f>-SUMIFS(BV_Data_An_Cour!$P:$P,BV_Data_An_Cour!$X:$X,"Oui",BV_Data_An_Cour!$U:$U,$B300,BV_Data_An_Cour!$V:$V,$C300)</f>
        <v>498337.62</v>
      </c>
      <c r="K300" s="213">
        <f t="shared" si="52"/>
        <v>0.20703514215924543</v>
      </c>
      <c r="L300" s="185">
        <f>-SUMIFS(BV_Data_An_Cour!$P:$P,BV_Data_An_Cour!$U:$U,$B300,BV_Data_An_Cour!$V:$V,$C300,BV_Data_An_Cour!$W:$W,$L$2)</f>
        <v>103173.40000000002</v>
      </c>
      <c r="M300" s="298">
        <f t="shared" si="53"/>
        <v>-0.3060449842411786</v>
      </c>
      <c r="N300" s="230">
        <f t="shared" si="54"/>
        <v>-49784.516074620857</v>
      </c>
      <c r="O300" s="184" cm="1">
        <f t="array" ref="O300">+SUMPRODUCT(('Réel 2023'!$A$8:$A$501=$A300)*('Réel 2023'!$C$3:$AO$3=O$2),'Réel 2023'!$C$8:$AO$501)</f>
        <v>620500.3899999999</v>
      </c>
      <c r="P300" s="213">
        <f t="shared" si="55"/>
        <v>0.20112875352100873</v>
      </c>
      <c r="Q300" s="185" cm="1">
        <f t="array" ref="Q300">+SUMPRODUCT(('Réel 2023'!$A$8:$A$501=$A300)*('Réel 2023'!$C$3:$AO$3=Q$2),'Réel 2023'!$C$8:$AO$501)</f>
        <v>124800.46999999977</v>
      </c>
      <c r="R300" s="298">
        <f t="shared" si="57"/>
        <v>-0.19687782952078389</v>
      </c>
      <c r="S300" s="202">
        <f t="shared" si="56"/>
        <v>-21627.069999999745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63663.35777090209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53383.17</v>
      </c>
      <c r="M302" s="298"/>
      <c r="N302" s="230">
        <f t="shared" si="54"/>
        <v>-10280.187770902092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63983.99</v>
      </c>
      <c r="R302" s="298">
        <f t="shared" si="57"/>
        <v>0</v>
      </c>
      <c r="S302" s="202">
        <f t="shared" si="56"/>
        <v>-10600.82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2560577.6985796648</v>
      </c>
      <c r="E304" s="300">
        <f>IF(D304&lt;=0,0,F304/D304)</f>
        <v>0.33629353569375886</v>
      </c>
      <c r="F304" s="203">
        <f t="shared" ref="F304" si="58">SUM(F295:F303)</f>
        <v>861105.72767394339</v>
      </c>
      <c r="G304" s="201"/>
      <c r="H304" s="300"/>
      <c r="I304" s="203"/>
      <c r="J304" s="201">
        <f>SUM(J295:J303)</f>
        <v>2300476.0900000003</v>
      </c>
      <c r="K304" s="300">
        <f t="shared" si="52"/>
        <v>0.32563164783860027</v>
      </c>
      <c r="L304" s="226">
        <f>SUM(L295:L303)</f>
        <v>749107.82000000018</v>
      </c>
      <c r="M304" s="301">
        <f>(+J304-D304)/D304</f>
        <v>-0.10157926811748033</v>
      </c>
      <c r="N304" s="226">
        <f t="shared" si="54"/>
        <v>-111997.90767394321</v>
      </c>
      <c r="O304" s="201">
        <f>SUM(O295:O303)</f>
        <v>2441141.9699999988</v>
      </c>
      <c r="P304" s="300">
        <f>IF(O304&lt;=0,0,Q304/O304)</f>
        <v>0.32658363167628446</v>
      </c>
      <c r="Q304" s="226">
        <f t="shared" ref="Q304" si="59">SUM(Q295:Q303)</f>
        <v>797237.00999999908</v>
      </c>
      <c r="R304" s="301">
        <f>IF(O304=0,0,(J304-O304)/O304)</f>
        <v>-5.7622982083257765E-2</v>
      </c>
      <c r="S304" s="203">
        <f t="shared" si="56"/>
        <v>-48129.189999998896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-0.13006289944961447</v>
      </c>
      <c r="O305" s="228"/>
      <c r="P305" s="183"/>
      <c r="Q305" s="270"/>
      <c r="R305" s="228"/>
      <c r="S305" s="267">
        <f>IF(Q304=0,0,S304/Q304)</f>
        <v>-6.0369989596944264E-2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699145.6295980385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174786.40739950963</v>
      </c>
      <c r="G307" s="200"/>
      <c r="H307" s="213"/>
      <c r="I307" s="204"/>
      <c r="J307" s="184">
        <f>-SUMIFS(BV_Data_An_Cour!$P:$P,BV_Data_An_Cour!$X:$X,"Oui",BV_Data_An_Cour!$U:$U,$B307,BV_Data_An_Cour!$V:$V,$C307)</f>
        <v>739544.84</v>
      </c>
      <c r="K307" s="213">
        <f>IF(J307&lt;=0,0,L307/J307)</f>
        <v>0.24754715346266223</v>
      </c>
      <c r="L307" s="185">
        <f>-SUMIFS(BV_Data_An_Cour!$P:$P,BV_Data_An_Cour!$U:$U,$B307,BV_Data_An_Cour!$V:$V,$C307,BV_Data_An_Cour!$W:$W,$L$2)</f>
        <v>183072.21999999997</v>
      </c>
      <c r="M307" s="298">
        <f>(+J307-D307)/D307</f>
        <v>5.7783684388026967E-2</v>
      </c>
      <c r="N307" s="230">
        <f>L307-F307</f>
        <v>8285.8126004903461</v>
      </c>
      <c r="O307" s="184" cm="1">
        <f t="array" ref="O307">+SUMPRODUCT(('Réel 2023'!$A$8:$A$501=$A307)*('Réel 2023'!$C$3:$AO$3=O$2),'Réel 2023'!$C$8:$AO$501)</f>
        <v>702338.88000000012</v>
      </c>
      <c r="P307" s="213">
        <f t="shared" ref="P307:P308" si="61">IF(O307=0,0,Q307/O307)</f>
        <v>0.25566846021681106</v>
      </c>
      <c r="Q307" s="185" cm="1">
        <f t="array" ref="Q307">+SUMPRODUCT(('Réel 2023'!$A$8:$A$501=$A307)*('Réel 2023'!$C$3:$AO$3=Q$2),'Réel 2023'!$C$8:$AO$501)</f>
        <v>179565.89999999967</v>
      </c>
      <c r="R307" s="298">
        <f>IF(O307=0,0,(J307-O307)/O307)</f>
        <v>5.2974370434967007E-2</v>
      </c>
      <c r="S307" s="202">
        <f>L307-Q307</f>
        <v>3506.320000000298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122024.98126205878</v>
      </c>
      <c r="E308" s="213">
        <f t="shared" si="60"/>
        <v>0.35000000000000009</v>
      </c>
      <c r="F308" s="205" cm="1">
        <f t="array" ref="F308">+SUMPRODUCT(('Budget original'!$A$8:$A$501=$A308)*('Budget original'!$C$3:$AO$3=F$2),'Budget original'!$C$8:$AO$501)</f>
        <v>42708.74344172058</v>
      </c>
      <c r="G308" s="200"/>
      <c r="H308" s="213"/>
      <c r="I308" s="205"/>
      <c r="J308" s="184">
        <f>-SUMIFS(BV_Data_An_Cour!$P:$P,BV_Data_An_Cour!$X:$X,"Oui",BV_Data_An_Cour!$U:$U,$B308,BV_Data_An_Cour!$V:$V,$C308)</f>
        <v>122894.34</v>
      </c>
      <c r="K308" s="213">
        <f>IF(J308&lt;=0,0,L308/J308)</f>
        <v>0.34659203995887844</v>
      </c>
      <c r="L308" s="185">
        <f>-SUMIFS(BV_Data_An_Cour!$P:$P,BV_Data_An_Cour!$U:$U,$B308,BV_Data_An_Cour!$V:$V,$C308,BV_Data_An_Cour!$W:$W,$L$2)</f>
        <v>42594.19999999999</v>
      </c>
      <c r="M308" s="298">
        <f>(+J308-D308)/D308</f>
        <v>7.1244324641542055E-3</v>
      </c>
      <c r="N308" s="230">
        <f>L308-F308</f>
        <v>-114.54344172059064</v>
      </c>
      <c r="O308" s="184" cm="1">
        <f t="array" ref="O308">+SUMPRODUCT(('Réel 2023'!$A$8:$A$501=$A308)*('Réel 2023'!$C$3:$AO$3=O$2),'Réel 2023'!$C$8:$AO$501)</f>
        <v>122987.54999999977</v>
      </c>
      <c r="P308" s="213">
        <f t="shared" si="61"/>
        <v>0.34202372516567758</v>
      </c>
      <c r="Q308" s="185" cm="1">
        <f t="array" ref="Q308">+SUMPRODUCT(('Réel 2023'!$A$8:$A$501=$A308)*('Réel 2023'!$C$3:$AO$3=Q$2),'Réel 2023'!$C$8:$AO$501)</f>
        <v>42064.659999999953</v>
      </c>
      <c r="R308" s="298">
        <f>IF(O308=0,0,(J308-O308)/O308)</f>
        <v>-7.5788159045182824E-4</v>
      </c>
      <c r="S308" s="202">
        <f>L308-Q308</f>
        <v>529.54000000003725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3381748.3094397625</v>
      </c>
      <c r="E309" s="300">
        <f>IF(D309&lt;=0,0,F309/D309)</f>
        <v>0.3189477098293752</v>
      </c>
      <c r="F309" s="226">
        <f t="shared" ref="F309" si="62">F304+F307+F308</f>
        <v>1078600.8785151734</v>
      </c>
      <c r="G309" s="227"/>
      <c r="H309" s="300"/>
      <c r="I309" s="226"/>
      <c r="J309" s="227">
        <f>J304+J307+J308</f>
        <v>3162915.27</v>
      </c>
      <c r="K309" s="300">
        <f>IF(J309&lt;=0,0,L309/J309)</f>
        <v>0.30818854025134862</v>
      </c>
      <c r="L309" s="226">
        <f>L304+L307+L308</f>
        <v>974774.24000000011</v>
      </c>
      <c r="M309" s="301">
        <f>(+J309-D309)/D309</f>
        <v>-6.4710031444065536E-2</v>
      </c>
      <c r="N309" s="226">
        <f>L309-F309</f>
        <v>-103826.63851517334</v>
      </c>
      <c r="O309" s="227">
        <f>O304+O307+O308</f>
        <v>3266468.3999999985</v>
      </c>
      <c r="P309" s="300">
        <f>IF(O309&lt;=0,0,Q309/O309)</f>
        <v>0.31191716717663615</v>
      </c>
      <c r="Q309" s="226">
        <f t="shared" ref="Q309" si="63">Q304+Q307+Q308</f>
        <v>1018867.5699999987</v>
      </c>
      <c r="R309" s="301">
        <f>IF(O309=0,0,(J309-O309)/O309)</f>
        <v>-3.1701861864023705E-2</v>
      </c>
      <c r="S309" s="203">
        <f>L309-Q309</f>
        <v>-44093.329999998561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-9.6260480204784796E-2</v>
      </c>
      <c r="O310" s="228"/>
      <c r="P310" s="183"/>
      <c r="Q310" s="270"/>
      <c r="R310" s="228"/>
      <c r="S310" s="267">
        <f>IF(Q309=0,0,S309/Q309)</f>
        <v>-4.3276801910574716E-2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3381748.3094397625</v>
      </c>
      <c r="E314" s="71">
        <f>IF(D314&lt;=0,0,F314/D314)</f>
        <v>0.3189477098293752</v>
      </c>
      <c r="F314" s="28">
        <f t="shared" ref="F314" si="64">F309+F312</f>
        <v>1078600.8785151734</v>
      </c>
      <c r="G314" s="29"/>
      <c r="H314" s="71"/>
      <c r="I314" s="28"/>
      <c r="J314" s="29">
        <f>J309+J312</f>
        <v>3162915.27</v>
      </c>
      <c r="K314" s="71">
        <f>IF(J314&lt;=0,0,L314/J314)</f>
        <v>0.30818854025134862</v>
      </c>
      <c r="L314" s="28">
        <f>L309+L312</f>
        <v>974774.24000000011</v>
      </c>
      <c r="M314" s="72">
        <f>(+J314-D314)/D314</f>
        <v>-6.4710031444065536E-2</v>
      </c>
      <c r="N314" s="73">
        <f>L314-F314</f>
        <v>-103826.63851517334</v>
      </c>
      <c r="O314" s="29">
        <f>O309+O312</f>
        <v>3266468.3999999985</v>
      </c>
      <c r="P314" s="71">
        <f>IF(O314&lt;=0,0,Q314/O314)</f>
        <v>0.31191716717663615</v>
      </c>
      <c r="Q314" s="28">
        <f t="shared" ref="Q314" si="65">Q309+Q312</f>
        <v>1018867.5699999987</v>
      </c>
      <c r="R314" s="72">
        <f>IF(O314=0,0,(J314-O314)/O314)</f>
        <v>-3.1701861864023705E-2</v>
      </c>
      <c r="S314" s="262">
        <f>L314-Q314</f>
        <v>-44093.329999998561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-9.6260480204784796E-2</v>
      </c>
      <c r="O315" s="77"/>
      <c r="P315" s="75"/>
      <c r="Q315" s="76"/>
      <c r="R315" s="78"/>
      <c r="S315" s="264">
        <f>IF(Q314=0,0,S314/Q314)</f>
        <v>-4.3276801910574716E-2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45834.927735368961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36481.379999999997</v>
      </c>
      <c r="M318" s="228"/>
      <c r="N318" s="230">
        <f t="shared" ref="N318:N348" si="66">L318-F318</f>
        <v>-9353.5477353689639</v>
      </c>
      <c r="O318" s="228"/>
      <c r="P318" s="183"/>
      <c r="Q318" s="185" cm="1">
        <f t="array" ref="Q318">+SUMPRODUCT(('Réel 2023'!$A$8:$A$501=$A318)*('Réel 2023'!$C$3:$AO$3=Q$2),'Réel 2023'!$C$8:$AO$501)</f>
        <v>41718.79</v>
      </c>
      <c r="R318" s="228"/>
      <c r="S318" s="202">
        <f>L318-Q318</f>
        <v>-5237.4100000000035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30349.517557251911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29765.03</v>
      </c>
      <c r="M319" s="228"/>
      <c r="N319" s="230">
        <f t="shared" si="66"/>
        <v>-584.48755725191222</v>
      </c>
      <c r="O319" s="228"/>
      <c r="P319" s="183"/>
      <c r="Q319" s="185" cm="1">
        <f t="array" ref="Q319">+SUMPRODUCT(('Réel 2023'!$A$8:$A$501=$A319)*('Réel 2023'!$C$3:$AO$3=Q$2),'Réel 2023'!$C$8:$AO$501)</f>
        <v>29760.239999999998</v>
      </c>
      <c r="R319" s="228"/>
      <c r="S319" s="202">
        <f t="shared" ref="S319:S343" si="67">L319-Q319</f>
        <v>4.7900000000008731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153983.56488549619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141248.23000000001</v>
      </c>
      <c r="M320" s="278"/>
      <c r="N320" s="279">
        <f t="shared" si="66"/>
        <v>-12735.334885496181</v>
      </c>
      <c r="O320" s="278"/>
      <c r="P320" s="276"/>
      <c r="Q320" s="186" cm="1">
        <f t="array" ref="Q320">+SUMPRODUCT(('Réel 2023'!$A$8:$A$501=$A320)*('Réel 2023'!$C$3:$AO$3=Q$2),'Réel 2023'!$C$8:$AO$501)</f>
        <v>144359.66</v>
      </c>
      <c r="R320" s="278"/>
      <c r="S320" s="204">
        <f t="shared" si="67"/>
        <v>-3111.429999999993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26426.706263017422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28864.17</v>
      </c>
      <c r="M325" s="228"/>
      <c r="N325" s="230">
        <f t="shared" si="66"/>
        <v>2437.4637369825759</v>
      </c>
      <c r="O325" s="228"/>
      <c r="P325" s="183"/>
      <c r="Q325" s="185" cm="1">
        <f t="array" ref="Q325">+SUMPRODUCT(('Réel 2023'!$A$8:$A$501=$A325)*('Réel 2023'!$C$3:$AO$3=Q$2),'Réel 2023'!$C$8:$AO$501)</f>
        <v>20793.16</v>
      </c>
      <c r="R325" s="228"/>
      <c r="S325" s="202">
        <f t="shared" si="67"/>
        <v>8071.0099999999984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35347.548662226065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37391.019999999997</v>
      </c>
      <c r="M326" s="278"/>
      <c r="N326" s="279">
        <f t="shared" si="66"/>
        <v>2043.4713377739317</v>
      </c>
      <c r="O326" s="278"/>
      <c r="P326" s="276"/>
      <c r="Q326" s="186" cm="1">
        <f t="array" ref="Q326">+SUMPRODUCT(('Réel 2023'!$A$8:$A$501=$A326)*('Réel 2023'!$C$3:$AO$3=Q$2),'Réel 2023'!$C$8:$AO$501)</f>
        <v>36222.93</v>
      </c>
      <c r="R326" s="278"/>
      <c r="S326" s="204">
        <f t="shared" si="67"/>
        <v>1168.0899999999965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16316.050034351147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18499.150000000001</v>
      </c>
      <c r="M327" s="228"/>
      <c r="N327" s="230">
        <f t="shared" si="66"/>
        <v>2183.0999656488548</v>
      </c>
      <c r="O327" s="228"/>
      <c r="P327" s="183"/>
      <c r="Q327" s="185" cm="1">
        <f t="array" ref="Q327">+SUMPRODUCT(('Réel 2023'!$A$8:$A$501=$A327)*('Réel 2023'!$C$3:$AO$3=Q$2),'Réel 2023'!$C$8:$AO$501)</f>
        <v>18465.329999999998</v>
      </c>
      <c r="R327" s="228"/>
      <c r="S327" s="202">
        <f t="shared" si="67"/>
        <v>33.820000000003347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3684.2693625954194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3194.18</v>
      </c>
      <c r="M328" s="763"/>
      <c r="N328" s="199">
        <f t="shared" si="66"/>
        <v>-490.08936259541952</v>
      </c>
      <c r="O328" s="228"/>
      <c r="P328" s="183"/>
      <c r="Q328" s="185" cm="1">
        <f t="array" ref="Q328">+SUMPRODUCT(('Réel 2023'!$A$8:$A$501=$A328)*('Réel 2023'!$C$3:$AO$3=Q$2),'Réel 2023'!$C$8:$AO$501)</f>
        <v>3098.1800000000003</v>
      </c>
      <c r="R328" s="228"/>
      <c r="S328" s="202">
        <f t="shared" si="67"/>
        <v>95.999999999999545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0.2892103934958169</v>
      </c>
      <c r="F330" s="41">
        <f>+SUM(F318:F329)</f>
        <v>311942.5845003071</v>
      </c>
      <c r="G330" s="42"/>
      <c r="H330" s="40"/>
      <c r="I330" s="41"/>
      <c r="J330" s="42" t="s">
        <v>108</v>
      </c>
      <c r="K330" s="40">
        <f>L330/L$314</f>
        <v>0.30308880546535577</v>
      </c>
      <c r="L330" s="41">
        <f>+SUM(L318:L329)</f>
        <v>295443.16000000003</v>
      </c>
      <c r="M330" s="43"/>
      <c r="N330" s="46">
        <f t="shared" si="66"/>
        <v>-16499.424500307068</v>
      </c>
      <c r="O330" s="42" t="s">
        <v>108</v>
      </c>
      <c r="P330" s="40">
        <f>Q330/Q$314</f>
        <v>0.28896619999397999</v>
      </c>
      <c r="Q330" s="41">
        <f>+SUM(Q318:Q329)</f>
        <v>294418.29000000004</v>
      </c>
      <c r="R330" s="43"/>
      <c r="S330" s="286">
        <f t="shared" si="67"/>
        <v>1024.8699999999953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29413.598388517519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35302.949999999997</v>
      </c>
      <c r="M331" s="228"/>
      <c r="N331" s="230">
        <f t="shared" si="66"/>
        <v>5889.3516114824779</v>
      </c>
      <c r="O331" s="228"/>
      <c r="P331" s="183"/>
      <c r="Q331" s="185" cm="1">
        <f t="array" ref="Q331">+SUMPRODUCT(('Réel 2023'!$A$8:$A$501=$A331)*('Réel 2023'!$C$3:$AO$3=Q$2),'Réel 2023'!$C$8:$AO$501)</f>
        <v>31088.33</v>
      </c>
      <c r="R331" s="228"/>
      <c r="S331" s="202">
        <f t="shared" si="67"/>
        <v>4214.6199999999953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2915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7576.4500000000007</v>
      </c>
      <c r="M332" s="228"/>
      <c r="N332" s="230">
        <f t="shared" si="66"/>
        <v>4661.4500000000007</v>
      </c>
      <c r="O332" s="228"/>
      <c r="P332" s="183"/>
      <c r="Q332" s="185" cm="1">
        <f t="array" ref="Q332">+SUMPRODUCT(('Réel 2023'!$A$8:$A$501=$A332)*('Réel 2023'!$C$3:$AO$3=Q$2),'Réel 2023'!$C$8:$AO$501)</f>
        <v>3912.9399999999905</v>
      </c>
      <c r="R332" s="228"/>
      <c r="S332" s="202">
        <f t="shared" si="67"/>
        <v>3663.5100000000102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48656.666666666686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50870.310000000005</v>
      </c>
      <c r="M333" s="283"/>
      <c r="N333" s="284">
        <f t="shared" si="66"/>
        <v>2213.6433333333189</v>
      </c>
      <c r="O333" s="283"/>
      <c r="P333" s="281"/>
      <c r="Q333" s="185" cm="1">
        <f t="array" ref="Q333">+SUMPRODUCT(('Réel 2023'!$A$8:$A$501=$A333)*('Réel 2023'!$C$3:$AO$3=Q$2),'Réel 2023'!$C$8:$AO$501)</f>
        <v>48823.470000000008</v>
      </c>
      <c r="R333" s="283"/>
      <c r="S333" s="205">
        <f t="shared" si="67"/>
        <v>2046.8399999999965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21051.799999999996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19529.53</v>
      </c>
      <c r="M334" s="228"/>
      <c r="N334" s="230">
        <f t="shared" si="66"/>
        <v>-1522.2699999999968</v>
      </c>
      <c r="O334" s="228"/>
      <c r="P334" s="183"/>
      <c r="Q334" s="186" cm="1">
        <f t="array" ref="Q334">+SUMPRODUCT(('Réel 2023'!$A$8:$A$501=$A334)*('Réel 2023'!$C$3:$AO$3=Q$2),'Réel 2023'!$C$8:$AO$501)</f>
        <v>20545.46</v>
      </c>
      <c r="R334" s="228"/>
      <c r="S334" s="202">
        <f t="shared" si="67"/>
        <v>-1015.9300000000003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4021.5999999999995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2761.68</v>
      </c>
      <c r="M335" s="228"/>
      <c r="N335" s="230">
        <f t="shared" si="66"/>
        <v>-1259.9199999999996</v>
      </c>
      <c r="O335" s="228"/>
      <c r="P335" s="183"/>
      <c r="Q335" s="185" cm="1">
        <f t="array" ref="Q335">+SUMPRODUCT(('Réel 2023'!$A$8:$A$501=$A335)*('Réel 2023'!$C$3:$AO$3=Q$2),'Réel 2023'!$C$8:$AO$501)</f>
        <v>2298.8500000000004</v>
      </c>
      <c r="R335" s="228"/>
      <c r="S335" s="202">
        <f t="shared" si="67"/>
        <v>462.82999999999947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21936.200000000004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19361.010000000002</v>
      </c>
      <c r="M336" s="283"/>
      <c r="N336" s="284">
        <f t="shared" si="66"/>
        <v>-2575.1900000000023</v>
      </c>
      <c r="O336" s="283"/>
      <c r="P336" s="281"/>
      <c r="Q336" s="355" cm="1">
        <f t="array" ref="Q336">+SUMPRODUCT(('Réel 2023'!$A$8:$A$501=$A336)*('Réel 2023'!$C$3:$AO$3=Q$2),'Réel 2023'!$C$8:$AO$501)</f>
        <v>18733.930000000004</v>
      </c>
      <c r="R336" s="283"/>
      <c r="S336" s="205">
        <f t="shared" si="67"/>
        <v>627.07999999999811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324.69879518072293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73.61</v>
      </c>
      <c r="M338" s="228"/>
      <c r="N338" s="230">
        <f t="shared" si="66"/>
        <v>-251.08879518072291</v>
      </c>
      <c r="O338" s="228"/>
      <c r="P338" s="183"/>
      <c r="Q338" s="185" cm="1">
        <f t="array" ref="Q338">+SUMPRODUCT(('Réel 2023'!$A$8:$A$501=$A338)*('Réel 2023'!$C$3:$AO$3=Q$2),'Réel 2023'!$C$8:$AO$501)</f>
        <v>201.56</v>
      </c>
      <c r="R338" s="228"/>
      <c r="S338" s="202">
        <f t="shared" si="67"/>
        <v>-127.95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363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-178.3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3850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3321.17</v>
      </c>
      <c r="M340" s="228"/>
      <c r="N340" s="230">
        <f t="shared" si="66"/>
        <v>-528.82999999999993</v>
      </c>
      <c r="O340" s="228"/>
      <c r="P340" s="183"/>
      <c r="Q340" s="478" cm="1">
        <f t="array" ref="Q340">+SUMPRODUCT(('Réel 2023'!$A$8:$A$501=$A340)*('Réel 2023'!$C$3:$AO$3=Q$2),'Réel 2023'!$C$8:$AO$501)</f>
        <v>2788.4900000000007</v>
      </c>
      <c r="R340" s="228"/>
      <c r="S340" s="202">
        <f t="shared" si="67"/>
        <v>532.67999999999938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1302.4000000000001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1325.34</v>
      </c>
      <c r="M341" s="228"/>
      <c r="N341" s="230">
        <f t="shared" si="66"/>
        <v>22.939999999999827</v>
      </c>
      <c r="O341" s="228"/>
      <c r="P341" s="183"/>
      <c r="Q341" s="185" cm="1">
        <f t="array" ref="Q341">+SUMPRODUCT(('Réel 2023'!$A$8:$A$501=$A341)*('Réel 2023'!$C$3:$AO$3=Q$2),'Réel 2023'!$C$8:$AO$501)</f>
        <v>1180.0300000000002</v>
      </c>
      <c r="R341" s="228"/>
      <c r="S341" s="202">
        <f t="shared" si="67"/>
        <v>145.30999999999972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5225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5545.75</v>
      </c>
      <c r="M342" s="228"/>
      <c r="N342" s="230">
        <f t="shared" si="66"/>
        <v>320.75</v>
      </c>
      <c r="O342" s="228"/>
      <c r="P342" s="183"/>
      <c r="Q342" s="185" cm="1">
        <f t="array" ref="Q342">+SUMPRODUCT(('Réel 2023'!$A$8:$A$501=$A342)*('Réel 2023'!$C$3:$AO$3=Q$2),'Réel 2023'!$C$8:$AO$501)</f>
        <v>5805.5400000000009</v>
      </c>
      <c r="R342" s="228"/>
      <c r="S342" s="202">
        <f t="shared" si="67"/>
        <v>-259.79000000000087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4087.5999999999995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3555.76</v>
      </c>
      <c r="M343" s="228"/>
      <c r="N343" s="230">
        <f t="shared" si="66"/>
        <v>-531.83999999999924</v>
      </c>
      <c r="O343" s="228"/>
      <c r="P343" s="183"/>
      <c r="Q343" s="185" cm="1">
        <f t="array" ref="Q343">+SUMPRODUCT(('Réel 2023'!$A$8:$A$501=$A343)*('Réel 2023'!$C$3:$AO$3=Q$2),'Réel 2023'!$C$8:$AO$501)</f>
        <v>3835.42</v>
      </c>
      <c r="R343" s="228"/>
      <c r="S343" s="202">
        <f t="shared" si="67"/>
        <v>-279.65999999999985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2652.6156799999994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641.36</v>
      </c>
      <c r="M344" s="228"/>
      <c r="N344" s="230">
        <f t="shared" si="66"/>
        <v>-2011.2556799999993</v>
      </c>
      <c r="O344" s="228"/>
      <c r="P344" s="183"/>
      <c r="Q344" s="185" cm="1">
        <f t="array" ref="Q344">+SUMPRODUCT(('Réel 2023'!$A$8:$A$501=$A344)*('Réel 2023'!$C$3:$AO$3=Q$2),'Réel 2023'!$C$8:$AO$501)</f>
        <v>1653.9400000000003</v>
      </c>
      <c r="R344" s="228"/>
      <c r="S344" s="202">
        <f>L344-Q344</f>
        <v>-1012.5800000000003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12858.321769364522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14811.8</v>
      </c>
      <c r="M345" s="228"/>
      <c r="N345" s="230">
        <f t="shared" si="66"/>
        <v>1953.4782306354773</v>
      </c>
      <c r="O345" s="228"/>
      <c r="P345" s="183"/>
      <c r="Q345" s="185" cm="1">
        <f t="array" ref="Q345">+SUMPRODUCT(('Réel 2023'!$A$8:$A$501=$A345)*('Réel 2023'!$C$3:$AO$3=Q$2),'Réel 2023'!$C$8:$AO$501)</f>
        <v>13118.919999999998</v>
      </c>
      <c r="R345" s="228"/>
      <c r="S345" s="202">
        <f>L345-Q345</f>
        <v>1692.880000000001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0.14709658082064828</v>
      </c>
      <c r="F349" s="41">
        <f>+SUM(F331:F348)</f>
        <v>158658.50129972945</v>
      </c>
      <c r="G349" s="42"/>
      <c r="H349" s="40"/>
      <c r="I349" s="41"/>
      <c r="J349" s="42" t="s">
        <v>108</v>
      </c>
      <c r="K349" s="40">
        <f>L349/L$314</f>
        <v>0.16912779722205212</v>
      </c>
      <c r="L349" s="41">
        <f>+SUM(L331:L348)</f>
        <v>164861.41999999998</v>
      </c>
      <c r="M349" s="44"/>
      <c r="N349" s="41">
        <f>+SUM(N331:N348)</f>
        <v>6202.9187002705539</v>
      </c>
      <c r="O349" s="42" t="s">
        <v>108</v>
      </c>
      <c r="P349" s="40">
        <f>Q349/Q$314</f>
        <v>0.15141685194671592</v>
      </c>
      <c r="Q349" s="41">
        <f>+SUM(Q331:Q348)</f>
        <v>154273.72000000003</v>
      </c>
      <c r="R349" s="44"/>
      <c r="S349" s="290">
        <f>+SUM(S331:S348)</f>
        <v>10587.699999999997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0.4363069743164652</v>
      </c>
      <c r="F351" s="41">
        <f>F330+F349</f>
        <v>470601.08580003656</v>
      </c>
      <c r="G351" s="42"/>
      <c r="H351" s="40"/>
      <c r="I351" s="41"/>
      <c r="J351" s="42" t="s">
        <v>108</v>
      </c>
      <c r="K351" s="40">
        <f>L351/L$314</f>
        <v>0.47221660268740789</v>
      </c>
      <c r="L351" s="41">
        <f>L330+L349</f>
        <v>460304.58</v>
      </c>
      <c r="M351" s="44"/>
      <c r="N351" s="46">
        <f>L351-F351</f>
        <v>-10296.505800036539</v>
      </c>
      <c r="O351" s="42" t="s">
        <v>108</v>
      </c>
      <c r="P351" s="40">
        <f>Q351/Q$314</f>
        <v>0.44038305194069594</v>
      </c>
      <c r="Q351" s="41">
        <f>Q330+Q349</f>
        <v>448692.01000000007</v>
      </c>
      <c r="R351" s="44"/>
      <c r="S351" s="286">
        <f>L351-Q351</f>
        <v>11612.569999999949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607999.79271513689</v>
      </c>
      <c r="G353" s="312"/>
      <c r="H353" s="310"/>
      <c r="I353" s="311"/>
      <c r="J353" s="313"/>
      <c r="K353" s="314"/>
      <c r="L353" s="311">
        <f>L314-L351</f>
        <v>514469.66000000009</v>
      </c>
      <c r="M353" s="313"/>
      <c r="N353" s="311">
        <f>L353-F353</f>
        <v>-93530.132715136802</v>
      </c>
      <c r="O353" s="313"/>
      <c r="P353" s="314"/>
      <c r="Q353" s="311">
        <f>Q314-Q351</f>
        <v>570175.55999999866</v>
      </c>
      <c r="R353" s="313"/>
      <c r="S353" s="315">
        <f>L353-Q353</f>
        <v>-55705.899999998568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758095.06066522736</v>
      </c>
      <c r="G401" s="25"/>
      <c r="H401" s="25"/>
      <c r="I401" s="25"/>
      <c r="J401" s="25"/>
      <c r="K401" s="25"/>
      <c r="L401" s="37">
        <f>L353+L289+L233</f>
        <v>584690.80000000028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2444</v>
      </c>
      <c r="AH404" s="1207"/>
      <c r="AI404" s="1211"/>
      <c r="AJ404" s="1206" t="s">
        <v>2337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42577224.401869275</v>
      </c>
      <c r="AA406" s="393"/>
      <c r="AB406" s="393"/>
      <c r="AC406" s="394"/>
      <c r="AD406" s="395"/>
      <c r="AE406" s="396"/>
      <c r="AF406" s="396">
        <f>L5+L93+K194+K250+J314+J362</f>
        <v>42374863.489999987</v>
      </c>
      <c r="AG406" s="395"/>
      <c r="AH406" s="396"/>
      <c r="AI406" s="397"/>
      <c r="AJ406" s="395"/>
      <c r="AK406" s="396"/>
      <c r="AL406" s="396">
        <f>Q5+Q93+P194+P250+O314+O362</f>
        <v>56803733.149999961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4679178.1303651165</v>
      </c>
      <c r="AA407" s="81"/>
      <c r="AB407" s="81"/>
      <c r="AC407" s="82"/>
      <c r="AD407" s="83"/>
      <c r="AE407" s="84"/>
      <c r="AF407" s="84">
        <f>L27+L108+L194+L250+L314+L362</f>
        <v>4147755.6999999993</v>
      </c>
      <c r="AG407" s="83"/>
      <c r="AH407" s="84">
        <f>AF407-Z407</f>
        <v>-531422.43036511727</v>
      </c>
      <c r="AI407" s="85">
        <f>AH407/Z407</f>
        <v>-0.11357174605439745</v>
      </c>
      <c r="AJ407" s="83">
        <f>+AL407/AL406</f>
        <v>8.0343395000967432E-2</v>
      </c>
      <c r="AK407" s="84"/>
      <c r="AL407" s="84">
        <f>Q27+Q108+Q194+Q250+Q314+Q362</f>
        <v>4563804.7699999949</v>
      </c>
      <c r="AM407" s="86"/>
      <c r="AN407" s="84">
        <f>AF407-AL407</f>
        <v>-416049.06999999564</v>
      </c>
      <c r="AO407" s="401">
        <f>IF(AL407=0,0,AN407/AL407)</f>
        <v>-9.116276680695877E-2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1237.3602250781116</v>
      </c>
      <c r="Z409" s="87">
        <f t="shared" ref="Z409:Z418" si="74">+SUMIF($C:$C,$V409,F:F)</f>
        <v>508555.05250710389</v>
      </c>
      <c r="AA409" s="403"/>
      <c r="AB409" s="409"/>
      <c r="AC409" s="87"/>
      <c r="AD409" s="410"/>
      <c r="AE409" s="409">
        <f t="shared" ref="AE409:AE414" si="75">IF(AF409=0,0,AF409/(J$13+J$97))</f>
        <v>1081.7749360613811</v>
      </c>
      <c r="AF409" s="87">
        <f t="shared" ref="AF409:AF418" si="76">+SUMIF($C:$C,$V409,L:L)</f>
        <v>422974</v>
      </c>
      <c r="AG409" s="404">
        <f t="shared" ref="AG409:AG418" si="77">AE409-Y409</f>
        <v>-155.58528901673048</v>
      </c>
      <c r="AH409" s="405">
        <f t="shared" ref="AH409:AH418" si="78">AF409-Z409</f>
        <v>-85581.052507103886</v>
      </c>
      <c r="AI409" s="406">
        <f t="shared" ref="AI409:AI418" si="79">IF(Z409=0,0,AH409/Z409)</f>
        <v>-0.16828276916176824</v>
      </c>
      <c r="AJ409" s="410"/>
      <c r="AK409" s="405">
        <f t="shared" ref="AK409:AK418" si="80">AL409/(O$13+O$97)</f>
        <v>1324.0519897959184</v>
      </c>
      <c r="AL409" s="87">
        <f t="shared" ref="AL409:AL418" si="81">+SUMIF($C:$C,$V409,Q:Q)</f>
        <v>519028.38</v>
      </c>
      <c r="AM409" s="407">
        <f t="shared" ref="AM409:AM414" si="82">AE409-Y409</f>
        <v>-155.58528901673048</v>
      </c>
      <c r="AN409" s="405">
        <f t="shared" ref="AN409:AN431" si="83">AF409-AL409</f>
        <v>-96054.38</v>
      </c>
      <c r="AO409" s="217">
        <f t="shared" ref="AO409:AO419" si="84">IF(AL409=0,0,AN409/AL409)</f>
        <v>-0.18506575690523899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428.28467153284669</v>
      </c>
      <c r="Z410" s="394">
        <f t="shared" si="74"/>
        <v>176025</v>
      </c>
      <c r="AA410" s="393"/>
      <c r="AB410" s="412"/>
      <c r="AC410" s="394"/>
      <c r="AD410" s="413"/>
      <c r="AE410" s="412">
        <f t="shared" si="75"/>
        <v>598.66186700767253</v>
      </c>
      <c r="AF410" s="394">
        <f t="shared" si="76"/>
        <v>234076.78999999998</v>
      </c>
      <c r="AG410" s="395">
        <f t="shared" si="77"/>
        <v>170.37719547482584</v>
      </c>
      <c r="AH410" s="396">
        <f t="shared" si="78"/>
        <v>58051.789999999979</v>
      </c>
      <c r="AI410" s="414">
        <f t="shared" si="79"/>
        <v>0.32979287033091881</v>
      </c>
      <c r="AJ410" s="413"/>
      <c r="AK410" s="396">
        <f t="shared" si="80"/>
        <v>393.73813775510212</v>
      </c>
      <c r="AL410" s="394">
        <f t="shared" si="81"/>
        <v>154345.35000000003</v>
      </c>
      <c r="AM410" s="398">
        <f t="shared" si="82"/>
        <v>170.37719547482584</v>
      </c>
      <c r="AN410" s="396">
        <f t="shared" si="83"/>
        <v>79731.439999999944</v>
      </c>
      <c r="AO410" s="218">
        <f t="shared" si="84"/>
        <v>0.51657818003587364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110.31630170316302</v>
      </c>
      <c r="Z411" s="87">
        <f t="shared" si="74"/>
        <v>45340</v>
      </c>
      <c r="AA411" s="403"/>
      <c r="AB411" s="409"/>
      <c r="AC411" s="87"/>
      <c r="AD411" s="410"/>
      <c r="AE411" s="409">
        <f t="shared" si="75"/>
        <v>119.44608695652174</v>
      </c>
      <c r="AF411" s="87">
        <f t="shared" si="76"/>
        <v>46703.42</v>
      </c>
      <c r="AG411" s="404">
        <f t="shared" si="77"/>
        <v>9.1297852533587189</v>
      </c>
      <c r="AH411" s="405">
        <f t="shared" si="78"/>
        <v>1363.4199999999983</v>
      </c>
      <c r="AI411" s="406">
        <f t="shared" si="79"/>
        <v>3.0071018967798815E-2</v>
      </c>
      <c r="AJ411" s="410"/>
      <c r="AK411" s="405">
        <f t="shared" si="80"/>
        <v>104.58221938775509</v>
      </c>
      <c r="AL411" s="87">
        <f t="shared" si="81"/>
        <v>40996.229999999996</v>
      </c>
      <c r="AM411" s="407">
        <f t="shared" si="82"/>
        <v>9.1297852533587189</v>
      </c>
      <c r="AN411" s="405">
        <f t="shared" si="83"/>
        <v>5707.1900000000023</v>
      </c>
      <c r="AO411" s="217">
        <f t="shared" si="84"/>
        <v>0.1392125568619359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68.759124087591246</v>
      </c>
      <c r="Z412" s="87">
        <f t="shared" si="74"/>
        <v>28260</v>
      </c>
      <c r="AA412" s="403"/>
      <c r="AB412" s="409"/>
      <c r="AC412" s="87"/>
      <c r="AD412" s="410"/>
      <c r="AE412" s="409">
        <f t="shared" si="75"/>
        <v>72.385780051150903</v>
      </c>
      <c r="AF412" s="87">
        <f t="shared" si="76"/>
        <v>28302.840000000004</v>
      </c>
      <c r="AG412" s="404">
        <f t="shared" si="77"/>
        <v>3.6266559635596565</v>
      </c>
      <c r="AH412" s="405">
        <f t="shared" si="78"/>
        <v>42.840000000003783</v>
      </c>
      <c r="AI412" s="406">
        <f t="shared" si="79"/>
        <v>1.5159235668791148E-3</v>
      </c>
      <c r="AJ412" s="410"/>
      <c r="AK412" s="405">
        <f t="shared" si="80"/>
        <v>65.273622448979594</v>
      </c>
      <c r="AL412" s="87">
        <f t="shared" si="81"/>
        <v>25587.26</v>
      </c>
      <c r="AM412" s="407">
        <f t="shared" si="82"/>
        <v>3.6266559635596565</v>
      </c>
      <c r="AN412" s="405">
        <f t="shared" si="83"/>
        <v>2715.5800000000054</v>
      </c>
      <c r="AO412" s="219">
        <f t="shared" si="84"/>
        <v>0.10613016008748125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81.995133819951334</v>
      </c>
      <c r="Z413" s="394">
        <f t="shared" si="74"/>
        <v>33700</v>
      </c>
      <c r="AA413" s="393"/>
      <c r="AB413" s="412"/>
      <c r="AC413" s="394"/>
      <c r="AD413" s="413"/>
      <c r="AE413" s="412">
        <f t="shared" si="75"/>
        <v>89.057698209718666</v>
      </c>
      <c r="AF413" s="394">
        <f t="shared" si="76"/>
        <v>34821.56</v>
      </c>
      <c r="AG413" s="395">
        <f t="shared" si="77"/>
        <v>7.0625643897673314</v>
      </c>
      <c r="AH413" s="396">
        <f t="shared" si="78"/>
        <v>1121.5599999999977</v>
      </c>
      <c r="AI413" s="414">
        <f t="shared" si="79"/>
        <v>3.3280712166172038E-2</v>
      </c>
      <c r="AJ413" s="413"/>
      <c r="AK413" s="396">
        <f t="shared" si="80"/>
        <v>76.360969387755105</v>
      </c>
      <c r="AL413" s="394">
        <f t="shared" si="81"/>
        <v>29933.500000000004</v>
      </c>
      <c r="AM413" s="398">
        <f t="shared" si="82"/>
        <v>7.0625643897673314</v>
      </c>
      <c r="AN413" s="396">
        <f t="shared" si="83"/>
        <v>4888.059999999994</v>
      </c>
      <c r="AO413" s="218">
        <f t="shared" si="84"/>
        <v>0.16329730903502743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468.57218167072187</v>
      </c>
      <c r="Z414" s="87">
        <f t="shared" si="74"/>
        <v>192583.16666666669</v>
      </c>
      <c r="AA414" s="406"/>
      <c r="AB414" s="409"/>
      <c r="AC414" s="87"/>
      <c r="AD414" s="410"/>
      <c r="AE414" s="409">
        <f t="shared" si="75"/>
        <v>563.59455242966749</v>
      </c>
      <c r="AF414" s="87">
        <f t="shared" si="76"/>
        <v>220365.47</v>
      </c>
      <c r="AG414" s="404">
        <f t="shared" si="77"/>
        <v>95.022370758945613</v>
      </c>
      <c r="AH414" s="405">
        <f t="shared" si="78"/>
        <v>27782.303333333315</v>
      </c>
      <c r="AI414" s="406">
        <f t="shared" si="79"/>
        <v>0.14426132778998499</v>
      </c>
      <c r="AJ414" s="410"/>
      <c r="AK414" s="405">
        <f t="shared" si="80"/>
        <v>510.70145408163256</v>
      </c>
      <c r="AL414" s="87">
        <f t="shared" si="81"/>
        <v>200194.96999999997</v>
      </c>
      <c r="AM414" s="407">
        <f t="shared" si="82"/>
        <v>95.022370758945613</v>
      </c>
      <c r="AN414" s="405">
        <f t="shared" si="83"/>
        <v>20170.500000000029</v>
      </c>
      <c r="AO414" s="217">
        <f t="shared" si="84"/>
        <v>0.10075427969044393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941.18670920211559</v>
      </c>
      <c r="Z415" s="87">
        <f t="shared" si="74"/>
        <v>386827.73748206953</v>
      </c>
      <c r="AA415" s="403"/>
      <c r="AB415" s="409"/>
      <c r="AC415" s="87"/>
      <c r="AD415" s="410"/>
      <c r="AE415" s="409">
        <f>IF(AF415=0,0,AF415/(J$13+J$13))</f>
        <v>1012.581359223301</v>
      </c>
      <c r="AF415" s="87">
        <f t="shared" si="76"/>
        <v>417183.52</v>
      </c>
      <c r="AG415" s="404">
        <f t="shared" si="77"/>
        <v>71.394650021185385</v>
      </c>
      <c r="AH415" s="405">
        <f t="shared" si="78"/>
        <v>30355.782517930493</v>
      </c>
      <c r="AI415" s="406">
        <f t="shared" si="79"/>
        <v>7.847364492402141E-2</v>
      </c>
      <c r="AJ415" s="410"/>
      <c r="AK415" s="405">
        <f t="shared" si="80"/>
        <v>424.61321428571432</v>
      </c>
      <c r="AL415" s="87">
        <f t="shared" si="81"/>
        <v>166448.38</v>
      </c>
      <c r="AM415" s="407">
        <f>AE415-Y415</f>
        <v>71.394650021185385</v>
      </c>
      <c r="AN415" s="405">
        <f>AF415-AL415</f>
        <v>250735.14</v>
      </c>
      <c r="AO415" s="217">
        <f t="shared" si="84"/>
        <v>1.5063837809656062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0.29306235378323547</v>
      </c>
      <c r="Y419" s="88"/>
      <c r="Z419" s="90">
        <f>SUM(Z409:Z418)</f>
        <v>1371290.9566558402</v>
      </c>
      <c r="AA419" s="89"/>
      <c r="AB419" s="88"/>
      <c r="AC419" s="90"/>
      <c r="AD419" s="91">
        <f>AF419/AF407</f>
        <v>0.33859940208146788</v>
      </c>
      <c r="AE419" s="88"/>
      <c r="AF419" s="90">
        <f>SUM(AF409:AF418)</f>
        <v>1404427.6</v>
      </c>
      <c r="AG419" s="92"/>
      <c r="AH419" s="93">
        <f t="shared" ref="AH419:AH451" si="85">AF419-Z419</f>
        <v>33136.643344159937</v>
      </c>
      <c r="AI419" s="89">
        <f>AH419/Z419</f>
        <v>2.4164560542986508E-2</v>
      </c>
      <c r="AJ419" s="91">
        <f>IF($AL$407=0,0,AL419/$AL$407)</f>
        <v>0.24903214034723073</v>
      </c>
      <c r="AK419" s="88"/>
      <c r="AL419" s="90">
        <f>SUM(AL409:AL418)</f>
        <v>1136534.0699999998</v>
      </c>
      <c r="AM419" s="94"/>
      <c r="AN419" s="93">
        <f t="shared" si="83"/>
        <v>267893.53000000026</v>
      </c>
      <c r="AO419" s="401">
        <f t="shared" si="84"/>
        <v>0.23571095409396772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164970.43575063613</v>
      </c>
      <c r="AA420" s="403"/>
      <c r="AB420" s="403"/>
      <c r="AC420" s="87"/>
      <c r="AD420" s="410"/>
      <c r="AE420" s="409"/>
      <c r="AF420" s="87">
        <f>SUMIFS(BV_Data_An_Cour!$P:$P,BV_Data_An_Cour!$V:$V,$V420)</f>
        <v>147455.29999999999</v>
      </c>
      <c r="AG420" s="404"/>
      <c r="AH420" s="405">
        <f t="shared" si="85"/>
        <v>-17515.135750636138</v>
      </c>
      <c r="AI420" s="406">
        <f t="shared" ref="AI420:AI432" si="86">IF(Z420=0,0,AH420/Z420)</f>
        <v>-0.10617136137720724</v>
      </c>
      <c r="AJ420" s="410"/>
      <c r="AK420" s="403"/>
      <c r="AL420" s="87" cm="1">
        <f t="array" ref="AL420">+SUMPRODUCT(('Réel 2023'!$A$8:$A$501=$A420)*('Réel 2023'!$C$3:$AO$3=Z$2),'Réel 2023'!$C$8:$AO$501)</f>
        <v>148060.42999999982</v>
      </c>
      <c r="AM420" s="407"/>
      <c r="AN420" s="405">
        <f t="shared" si="83"/>
        <v>-605.12999999983003</v>
      </c>
      <c r="AO420" s="217">
        <f t="shared" ref="AO420:AO431" si="87">IF(AL420=0,0,AN420/AL420)</f>
        <v>-4.0870474305648771E-3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348290.41475826979</v>
      </c>
      <c r="AA421" s="403"/>
      <c r="AB421" s="403"/>
      <c r="AC421" s="87"/>
      <c r="AD421" s="410"/>
      <c r="AE421" s="409"/>
      <c r="AF421" s="87">
        <f t="shared" ref="AF421:AF432" si="89">+SUMIF($C:$C,$V421,L:L)</f>
        <v>317943.23</v>
      </c>
      <c r="AG421" s="404"/>
      <c r="AH421" s="405">
        <f t="shared" si="85"/>
        <v>-30347.18475826981</v>
      </c>
      <c r="AI421" s="406">
        <f t="shared" si="86"/>
        <v>-8.7131840189550461E-2</v>
      </c>
      <c r="AJ421" s="410"/>
      <c r="AK421" s="403"/>
      <c r="AL421" s="87">
        <f t="shared" ref="AL421:AL432" si="90">+SUMIF($C:$C,$V421,Q:Q)</f>
        <v>328351.73</v>
      </c>
      <c r="AM421" s="407"/>
      <c r="AN421" s="405">
        <f t="shared" si="83"/>
        <v>-10408.5</v>
      </c>
      <c r="AO421" s="217">
        <f t="shared" si="87"/>
        <v>-3.1699239105577426E-2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214918.19910941477</v>
      </c>
      <c r="AA422" s="393"/>
      <c r="AB422" s="393"/>
      <c r="AC422" s="394"/>
      <c r="AD422" s="413"/>
      <c r="AE422" s="412"/>
      <c r="AF422" s="394">
        <f t="shared" si="89"/>
        <v>216688.27000000002</v>
      </c>
      <c r="AG422" s="395"/>
      <c r="AH422" s="396">
        <f t="shared" si="85"/>
        <v>1770.0708905852516</v>
      </c>
      <c r="AI422" s="414">
        <f t="shared" si="86"/>
        <v>8.2360214161487054E-3</v>
      </c>
      <c r="AJ422" s="413"/>
      <c r="AK422" s="393"/>
      <c r="AL422" s="394">
        <f t="shared" si="90"/>
        <v>213795.52999999997</v>
      </c>
      <c r="AM422" s="398"/>
      <c r="AN422" s="396">
        <f t="shared" si="83"/>
        <v>2892.7400000000489</v>
      </c>
      <c r="AO422" s="399">
        <f t="shared" si="87"/>
        <v>1.3530404494425347E-2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245447.38931297712</v>
      </c>
      <c r="AA423" s="403"/>
      <c r="AB423" s="403"/>
      <c r="AC423" s="87"/>
      <c r="AD423" s="410"/>
      <c r="AE423" s="409"/>
      <c r="AF423" s="87">
        <f t="shared" si="89"/>
        <v>239191.98</v>
      </c>
      <c r="AG423" s="404"/>
      <c r="AH423" s="405">
        <f t="shared" si="85"/>
        <v>-6255.4093129771063</v>
      </c>
      <c r="AI423" s="406">
        <f t="shared" si="86"/>
        <v>-2.5485743932687144E-2</v>
      </c>
      <c r="AJ423" s="410"/>
      <c r="AK423" s="403"/>
      <c r="AL423" s="87">
        <f t="shared" si="90"/>
        <v>230082.47</v>
      </c>
      <c r="AM423" s="407"/>
      <c r="AN423" s="405">
        <f t="shared" si="83"/>
        <v>9109.5100000000093</v>
      </c>
      <c r="AO423" s="217">
        <f t="shared" si="87"/>
        <v>3.9592368771075907E-2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135157.6730279898</v>
      </c>
      <c r="AA424" s="403"/>
      <c r="AB424" s="403"/>
      <c r="AC424" s="87"/>
      <c r="AD424" s="410"/>
      <c r="AE424" s="409"/>
      <c r="AF424" s="87">
        <f t="shared" si="89"/>
        <v>128732.63</v>
      </c>
      <c r="AG424" s="404"/>
      <c r="AH424" s="405">
        <f t="shared" si="85"/>
        <v>-6425.0430279897992</v>
      </c>
      <c r="AI424" s="406">
        <f t="shared" si="86"/>
        <v>-4.7537390101849687E-2</v>
      </c>
      <c r="AJ424" s="410"/>
      <c r="AK424" s="403"/>
      <c r="AL424" s="87">
        <f t="shared" si="90"/>
        <v>112545.31</v>
      </c>
      <c r="AM424" s="407"/>
      <c r="AN424" s="405">
        <f t="shared" si="83"/>
        <v>16187.320000000007</v>
      </c>
      <c r="AO424" s="217">
        <f t="shared" si="87"/>
        <v>0.1438293608147688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220499.27698923473</v>
      </c>
      <c r="AA428" s="393"/>
      <c r="AB428" s="393"/>
      <c r="AC428" s="394"/>
      <c r="AD428" s="413"/>
      <c r="AE428" s="412"/>
      <c r="AF428" s="394">
        <f t="shared" si="89"/>
        <v>233224.47999999998</v>
      </c>
      <c r="AG428" s="395"/>
      <c r="AH428" s="396">
        <f t="shared" si="85"/>
        <v>12725.203010765254</v>
      </c>
      <c r="AI428" s="414">
        <f t="shared" si="86"/>
        <v>5.7710860482261477E-2</v>
      </c>
      <c r="AJ428" s="413"/>
      <c r="AK428" s="393"/>
      <c r="AL428" s="394">
        <f t="shared" si="90"/>
        <v>201586.16999999998</v>
      </c>
      <c r="AM428" s="398"/>
      <c r="AN428" s="396">
        <f t="shared" si="83"/>
        <v>31638.309999999998</v>
      </c>
      <c r="AO428" s="218">
        <f t="shared" si="87"/>
        <v>0.15694682824719572</v>
      </c>
      <c r="AP428" s="722"/>
      <c r="AQ428" s="1133">
        <f>AF428/($AF$420+$AF$421+$AF$422+$AF$423+$AF$424+$AF$409+$AF$410+$K$185-$L$185)</f>
        <v>0.10516502208752208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295031.00521745963</v>
      </c>
      <c r="AA429" s="403"/>
      <c r="AB429" s="403"/>
      <c r="AC429" s="87"/>
      <c r="AD429" s="410"/>
      <c r="AE429" s="409"/>
      <c r="AF429" s="87">
        <f t="shared" si="89"/>
        <v>281677.56</v>
      </c>
      <c r="AG429" s="404"/>
      <c r="AH429" s="405">
        <f t="shared" si="85"/>
        <v>-13353.445217459637</v>
      </c>
      <c r="AI429" s="406">
        <f t="shared" si="86"/>
        <v>-4.5261158933506539E-2</v>
      </c>
      <c r="AJ429" s="410"/>
      <c r="AK429" s="403"/>
      <c r="AL429" s="87">
        <f t="shared" si="90"/>
        <v>274821.47000000003</v>
      </c>
      <c r="AM429" s="407"/>
      <c r="AN429" s="405">
        <f t="shared" si="83"/>
        <v>6856.0899999999674</v>
      </c>
      <c r="AO429" s="217">
        <f t="shared" si="87"/>
        <v>2.4947432236644272E-2</v>
      </c>
      <c r="AP429" s="722"/>
      <c r="AQ429" s="721">
        <f>AF429/($AF$420+$AF$421+$AF$422+$AF$423+$AF$424+$AF$409+$AF$410+$K$185-$L$185)</f>
        <v>0.12701336848927405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136204.53965794484</v>
      </c>
      <c r="AA430" s="403"/>
      <c r="AB430" s="403"/>
      <c r="AC430" s="87"/>
      <c r="AD430" s="410"/>
      <c r="AE430" s="409"/>
      <c r="AF430" s="87">
        <f t="shared" si="89"/>
        <v>136557.46000000002</v>
      </c>
      <c r="AG430" s="404"/>
      <c r="AH430" s="405">
        <f t="shared" si="85"/>
        <v>352.92034205517848</v>
      </c>
      <c r="AI430" s="406">
        <f t="shared" si="86"/>
        <v>2.5911055750526342E-3</v>
      </c>
      <c r="AJ430" s="410"/>
      <c r="AK430" s="403"/>
      <c r="AL430" s="87">
        <f t="shared" si="90"/>
        <v>125526.21999999999</v>
      </c>
      <c r="AM430" s="407"/>
      <c r="AN430" s="405">
        <f t="shared" si="83"/>
        <v>11031.240000000034</v>
      </c>
      <c r="AO430" s="217">
        <f t="shared" si="87"/>
        <v>8.787996643251135E-2</v>
      </c>
      <c r="AP430" s="722"/>
      <c r="AQ430" s="721">
        <f>AF430/($AF$420+$AF$421+$AF$422+$AF$423+$AF$424+$AF$409+$AF$410+$K$185-$L$185)</f>
        <v>6.1576161718169188E-2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30755.863793729481</v>
      </c>
      <c r="AA431" s="403"/>
      <c r="AB431" s="403"/>
      <c r="AC431" s="87"/>
      <c r="AD431" s="410"/>
      <c r="AE431" s="409"/>
      <c r="AF431" s="87">
        <f t="shared" si="89"/>
        <v>28833.760000000002</v>
      </c>
      <c r="AG431" s="404"/>
      <c r="AH431" s="405">
        <f t="shared" si="85"/>
        <v>-1922.1037937294786</v>
      </c>
      <c r="AI431" s="97">
        <f t="shared" si="86"/>
        <v>-6.2495523020275501E-2</v>
      </c>
      <c r="AJ431" s="410"/>
      <c r="AK431" s="403"/>
      <c r="AL431" s="87">
        <f t="shared" si="90"/>
        <v>26201.450000000004</v>
      </c>
      <c r="AM431" s="407"/>
      <c r="AN431" s="405">
        <f t="shared" si="83"/>
        <v>2632.3099999999977</v>
      </c>
      <c r="AO431" s="218">
        <f t="shared" si="87"/>
        <v>0.10046428728181063</v>
      </c>
      <c r="AP431" s="722"/>
      <c r="AQ431" s="721">
        <f>AF431/($AF$420+$AF$421+$AF$422+$AF$423+$AF$424+$AF$409+$AF$410+$K$185-$L$185)</f>
        <v>1.300164977221221E-2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0.38281825305887279</v>
      </c>
      <c r="Y433" s="88"/>
      <c r="Z433" s="90">
        <f>SUM(Z420:Z432)</f>
        <v>1791274.7976176564</v>
      </c>
      <c r="AA433" s="89"/>
      <c r="AB433" s="88"/>
      <c r="AC433" s="90"/>
      <c r="AD433" s="91">
        <f>AF433/AF407</f>
        <v>0.41716648596251715</v>
      </c>
      <c r="AE433" s="98"/>
      <c r="AF433" s="90">
        <f>SUM(AF420:AF432)</f>
        <v>1730304.6700000002</v>
      </c>
      <c r="AG433" s="99"/>
      <c r="AH433" s="93">
        <f t="shared" si="85"/>
        <v>-60970.127617656253</v>
      </c>
      <c r="AI433" s="89">
        <f>AH433/Z433</f>
        <v>-3.4037283223514757E-2</v>
      </c>
      <c r="AJ433" s="91">
        <f>IF($AL$407=0,0,AL433/$AL$407)</f>
        <v>0.36394431043990549</v>
      </c>
      <c r="AK433" s="88"/>
      <c r="AL433" s="90">
        <f>SUM(AL420:AL432)</f>
        <v>1660970.7799999996</v>
      </c>
      <c r="AM433" s="100"/>
      <c r="AN433" s="93">
        <f t="shared" ref="AN433:AN447" si="91">AF433-AL433</f>
        <v>69333.890000000596</v>
      </c>
      <c r="AO433" s="401">
        <f>IF(AL433=0,0,AN433/AL433)</f>
        <v>4.1742992010973617E-2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84038.85253862149</v>
      </c>
      <c r="AA434" s="417"/>
      <c r="AB434" s="417"/>
      <c r="AC434" s="243"/>
      <c r="AD434" s="418"/>
      <c r="AE434" s="419"/>
      <c r="AF434" s="243">
        <f t="shared" ref="AF434:AF451" si="93">+SUMIF($C:$C,$V434,L:L)</f>
        <v>105315.7</v>
      </c>
      <c r="AG434" s="418"/>
      <c r="AH434" s="420">
        <f t="shared" si="85"/>
        <v>21276.847461378507</v>
      </c>
      <c r="AI434" s="421">
        <f t="shared" ref="AI434:AI451" si="94">IF(Z434=0,0,AH434/Z434)</f>
        <v>0.25317870031126816</v>
      </c>
      <c r="AJ434" s="418"/>
      <c r="AK434" s="417"/>
      <c r="AL434" s="243">
        <f t="shared" ref="AL434:AL447" si="95">+SUMIF($C:$C,$V434,Q:Q)</f>
        <v>93207</v>
      </c>
      <c r="AM434" s="422"/>
      <c r="AN434" s="420">
        <f t="shared" si="91"/>
        <v>12108.699999999997</v>
      </c>
      <c r="AO434" s="216">
        <f t="shared" ref="AO434:AO447" si="96">IF(AL434=0,0,AN434/AL434)</f>
        <v>0.1299119164869591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43615</v>
      </c>
      <c r="AA435" s="403"/>
      <c r="AB435" s="403"/>
      <c r="AC435" s="87"/>
      <c r="AD435" s="410"/>
      <c r="AE435" s="409"/>
      <c r="AF435" s="87">
        <f t="shared" si="93"/>
        <v>40938.949999999997</v>
      </c>
      <c r="AG435" s="404"/>
      <c r="AH435" s="405">
        <f t="shared" si="85"/>
        <v>-2676.0500000000029</v>
      </c>
      <c r="AI435" s="406">
        <f t="shared" si="94"/>
        <v>-6.135618479880782E-2</v>
      </c>
      <c r="AJ435" s="410"/>
      <c r="AK435" s="403"/>
      <c r="AL435" s="87">
        <f t="shared" si="95"/>
        <v>48465.119999999966</v>
      </c>
      <c r="AM435" s="407"/>
      <c r="AN435" s="405">
        <f t="shared" si="91"/>
        <v>-7526.1699999999691</v>
      </c>
      <c r="AO435" s="217">
        <f t="shared" si="96"/>
        <v>-0.15529044393163524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168336.66666666672</v>
      </c>
      <c r="AA436" s="393"/>
      <c r="AB436" s="393"/>
      <c r="AC436" s="394"/>
      <c r="AD436" s="413"/>
      <c r="AE436" s="412"/>
      <c r="AF436" s="394">
        <f t="shared" si="93"/>
        <v>194569.72</v>
      </c>
      <c r="AG436" s="395"/>
      <c r="AH436" s="396">
        <f t="shared" si="85"/>
        <v>26233.053333333286</v>
      </c>
      <c r="AI436" s="414">
        <f t="shared" si="94"/>
        <v>0.15583683491415978</v>
      </c>
      <c r="AJ436" s="413"/>
      <c r="AK436" s="393"/>
      <c r="AL436" s="394">
        <f t="shared" si="95"/>
        <v>175803.90999999997</v>
      </c>
      <c r="AM436" s="398"/>
      <c r="AN436" s="396">
        <f t="shared" si="91"/>
        <v>18765.810000000027</v>
      </c>
      <c r="AO436" s="399">
        <f t="shared" si="96"/>
        <v>0.10674284775577533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155023.00000000003</v>
      </c>
      <c r="AA437" s="403"/>
      <c r="AB437" s="403"/>
      <c r="AC437" s="87"/>
      <c r="AD437" s="410"/>
      <c r="AE437" s="409"/>
      <c r="AF437" s="87">
        <f t="shared" si="93"/>
        <v>151015.04999999999</v>
      </c>
      <c r="AG437" s="404"/>
      <c r="AH437" s="405">
        <f t="shared" si="85"/>
        <v>-4007.9500000000407</v>
      </c>
      <c r="AI437" s="406">
        <f t="shared" si="94"/>
        <v>-2.5853905549499366E-2</v>
      </c>
      <c r="AJ437" s="410"/>
      <c r="AK437" s="403"/>
      <c r="AL437" s="87">
        <f t="shared" si="95"/>
        <v>151343.43</v>
      </c>
      <c r="AM437" s="407"/>
      <c r="AN437" s="405">
        <f t="shared" si="91"/>
        <v>-328.38000000000466</v>
      </c>
      <c r="AO437" s="217">
        <f t="shared" si="96"/>
        <v>-2.1697671316158532E-3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20108.000000000004</v>
      </c>
      <c r="AA438" s="403"/>
      <c r="AB438" s="403"/>
      <c r="AC438" s="87"/>
      <c r="AD438" s="410"/>
      <c r="AE438" s="409"/>
      <c r="AF438" s="87">
        <f t="shared" si="93"/>
        <v>26018.639999999999</v>
      </c>
      <c r="AG438" s="404"/>
      <c r="AH438" s="405">
        <f t="shared" si="85"/>
        <v>5910.6399999999958</v>
      </c>
      <c r="AI438" s="406">
        <f t="shared" si="94"/>
        <v>0.29394469862741174</v>
      </c>
      <c r="AJ438" s="410"/>
      <c r="AK438" s="403"/>
      <c r="AL438" s="87">
        <f t="shared" si="95"/>
        <v>20403.53</v>
      </c>
      <c r="AM438" s="407"/>
      <c r="AN438" s="405">
        <f t="shared" si="91"/>
        <v>5615.1100000000006</v>
      </c>
      <c r="AO438" s="217">
        <f t="shared" si="96"/>
        <v>0.27520286930741888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120626</v>
      </c>
      <c r="AA439" s="403"/>
      <c r="AB439" s="403"/>
      <c r="AC439" s="87"/>
      <c r="AD439" s="410"/>
      <c r="AE439" s="409"/>
      <c r="AF439" s="87">
        <f t="shared" si="93"/>
        <v>133031.92000000001</v>
      </c>
      <c r="AG439" s="404"/>
      <c r="AH439" s="405">
        <f t="shared" si="85"/>
        <v>12405.920000000013</v>
      </c>
      <c r="AI439" s="406">
        <f t="shared" si="94"/>
        <v>0.10284615257075599</v>
      </c>
      <c r="AJ439" s="410"/>
      <c r="AK439" s="403"/>
      <c r="AL439" s="87">
        <f t="shared" si="95"/>
        <v>118185.18</v>
      </c>
      <c r="AM439" s="407"/>
      <c r="AN439" s="405">
        <f t="shared" si="91"/>
        <v>14846.74000000002</v>
      </c>
      <c r="AO439" s="217">
        <f t="shared" si="96"/>
        <v>0.12562268805615071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15075.049610205524</v>
      </c>
      <c r="AA441" s="403"/>
      <c r="AB441" s="409"/>
      <c r="AC441" s="87"/>
      <c r="AD441" s="410"/>
      <c r="AE441" s="409"/>
      <c r="AF441" s="87">
        <f t="shared" si="93"/>
        <v>12171.33</v>
      </c>
      <c r="AG441" s="404"/>
      <c r="AH441" s="405">
        <f t="shared" si="85"/>
        <v>-2903.7196102055241</v>
      </c>
      <c r="AI441" s="406">
        <f t="shared" si="94"/>
        <v>-0.1926175823819353</v>
      </c>
      <c r="AJ441" s="410"/>
      <c r="AK441" s="403"/>
      <c r="AL441" s="87">
        <f t="shared" si="95"/>
        <v>17875.36</v>
      </c>
      <c r="AM441" s="407"/>
      <c r="AN441" s="405">
        <f t="shared" si="91"/>
        <v>-5704.0300000000007</v>
      </c>
      <c r="AO441" s="217">
        <f t="shared" si="96"/>
        <v>-0.31910014679424642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11033</v>
      </c>
      <c r="AA442" s="403"/>
      <c r="AB442" s="403"/>
      <c r="AC442" s="87"/>
      <c r="AD442" s="410"/>
      <c r="AE442" s="409"/>
      <c r="AF442" s="87">
        <f t="shared" si="93"/>
        <v>13248.64</v>
      </c>
      <c r="AG442" s="404"/>
      <c r="AH442" s="405">
        <f t="shared" si="85"/>
        <v>2215.6399999999994</v>
      </c>
      <c r="AI442" s="97">
        <f t="shared" si="94"/>
        <v>0.20081936010151358</v>
      </c>
      <c r="AJ442" s="410"/>
      <c r="AK442" s="403"/>
      <c r="AL442" s="87">
        <f t="shared" si="95"/>
        <v>10260.25</v>
      </c>
      <c r="AM442" s="407"/>
      <c r="AN442" s="405">
        <f t="shared" si="91"/>
        <v>2988.3899999999994</v>
      </c>
      <c r="AO442" s="217">
        <f t="shared" si="96"/>
        <v>0.29125898491752145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19250</v>
      </c>
      <c r="AA443" s="403"/>
      <c r="AB443" s="403"/>
      <c r="AC443" s="87"/>
      <c r="AD443" s="410"/>
      <c r="AE443" s="409"/>
      <c r="AF443" s="87">
        <f t="shared" si="93"/>
        <v>16187.05</v>
      </c>
      <c r="AG443" s="404"/>
      <c r="AH443" s="405">
        <f t="shared" si="85"/>
        <v>-3062.9500000000007</v>
      </c>
      <c r="AI443" s="406">
        <f t="shared" si="94"/>
        <v>-0.15911428571428576</v>
      </c>
      <c r="AJ443" s="410"/>
      <c r="AK443" s="403"/>
      <c r="AL443" s="87">
        <f t="shared" si="95"/>
        <v>18455.73</v>
      </c>
      <c r="AM443" s="407"/>
      <c r="AN443" s="405">
        <f t="shared" si="91"/>
        <v>-2268.6800000000003</v>
      </c>
      <c r="AO443" s="217">
        <f t="shared" si="96"/>
        <v>-0.12292550877153059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5632.0000000000018</v>
      </c>
      <c r="AA444" s="403"/>
      <c r="AB444" s="403"/>
      <c r="AC444" s="87"/>
      <c r="AD444" s="410"/>
      <c r="AE444" s="409"/>
      <c r="AF444" s="87">
        <f t="shared" si="93"/>
        <v>6346.66</v>
      </c>
      <c r="AG444" s="404"/>
      <c r="AH444" s="405">
        <f t="shared" si="85"/>
        <v>714.65999999999804</v>
      </c>
      <c r="AI444" s="97">
        <f t="shared" si="94"/>
        <v>0.12689275568181779</v>
      </c>
      <c r="AJ444" s="410"/>
      <c r="AK444" s="403"/>
      <c r="AL444" s="87">
        <f t="shared" si="95"/>
        <v>5848.9100000000017</v>
      </c>
      <c r="AM444" s="407"/>
      <c r="AN444" s="405">
        <f t="shared" si="91"/>
        <v>497.74999999999818</v>
      </c>
      <c r="AO444" s="217">
        <f t="shared" si="96"/>
        <v>8.5101326571959221E-2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9625</v>
      </c>
      <c r="AA445" s="403"/>
      <c r="AB445" s="403"/>
      <c r="AC445" s="87"/>
      <c r="AD445" s="410"/>
      <c r="AE445" s="409"/>
      <c r="AF445" s="87">
        <f t="shared" si="93"/>
        <v>10458.450000000001</v>
      </c>
      <c r="AG445" s="404"/>
      <c r="AH445" s="405">
        <f t="shared" si="85"/>
        <v>833.45000000000073</v>
      </c>
      <c r="AI445" s="406">
        <f t="shared" si="94"/>
        <v>8.6592207792207873E-2</v>
      </c>
      <c r="AJ445" s="410"/>
      <c r="AK445" s="403"/>
      <c r="AL445" s="87">
        <f t="shared" si="95"/>
        <v>11559.470000000001</v>
      </c>
      <c r="AM445" s="407"/>
      <c r="AN445" s="405">
        <f t="shared" si="91"/>
        <v>-1101.0200000000004</v>
      </c>
      <c r="AO445" s="217">
        <f t="shared" si="96"/>
        <v>-9.5248311557536838E-2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20438.000000000004</v>
      </c>
      <c r="AA446" s="403"/>
      <c r="AB446" s="409"/>
      <c r="AC446" s="87"/>
      <c r="AD446" s="410"/>
      <c r="AE446" s="409"/>
      <c r="AF446" s="87">
        <f t="shared" si="93"/>
        <v>18668.810000000001</v>
      </c>
      <c r="AG446" s="404"/>
      <c r="AH446" s="405">
        <f t="shared" si="85"/>
        <v>-1769.1900000000023</v>
      </c>
      <c r="AI446" s="97">
        <f t="shared" si="94"/>
        <v>-8.6563753791956258E-2</v>
      </c>
      <c r="AJ446" s="410"/>
      <c r="AK446" s="403"/>
      <c r="AL446" s="87">
        <f t="shared" si="95"/>
        <v>20185.099999999999</v>
      </c>
      <c r="AM446" s="407"/>
      <c r="AN446" s="405">
        <f t="shared" si="91"/>
        <v>-1516.2899999999972</v>
      </c>
      <c r="AO446" s="217">
        <f t="shared" si="96"/>
        <v>-7.5119271145547825E-2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28708.911733333331</v>
      </c>
      <c r="AA447" s="403"/>
      <c r="AB447" s="409"/>
      <c r="AC447" s="87"/>
      <c r="AD447" s="410"/>
      <c r="AE447" s="409"/>
      <c r="AF447" s="87">
        <f t="shared" si="93"/>
        <v>17195.95</v>
      </c>
      <c r="AG447" s="404"/>
      <c r="AH447" s="405">
        <f t="shared" si="85"/>
        <v>-11512.96173333333</v>
      </c>
      <c r="AI447" s="406">
        <f t="shared" si="94"/>
        <v>-0.40102396915191546</v>
      </c>
      <c r="AJ447" s="410"/>
      <c r="AK447" s="403"/>
      <c r="AL447" s="87">
        <f t="shared" si="95"/>
        <v>31083.61</v>
      </c>
      <c r="AM447" s="407"/>
      <c r="AN447" s="405">
        <f t="shared" si="91"/>
        <v>-13887.66</v>
      </c>
      <c r="AO447" s="217">
        <f t="shared" si="96"/>
        <v>-0.44678401253908406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64291.608846822608</v>
      </c>
      <c r="AA448" s="403"/>
      <c r="AB448" s="409"/>
      <c r="AC448" s="87"/>
      <c r="AD448" s="410"/>
      <c r="AE448" s="409"/>
      <c r="AF448" s="87">
        <f t="shared" si="93"/>
        <v>74059.08</v>
      </c>
      <c r="AG448" s="404"/>
      <c r="AH448" s="405">
        <f t="shared" si="85"/>
        <v>9767.4711531773937</v>
      </c>
      <c r="AI448" s="406">
        <f t="shared" si="94"/>
        <v>0.15192450972021548</v>
      </c>
      <c r="AJ448" s="410"/>
      <c r="AK448" s="403"/>
      <c r="AL448" s="87" cm="1">
        <f t="array" ref="AL448">+SUMPRODUCT(('Réel 2023'!$A$8:$A$501=$A448)*('Réel 2023'!$C$3:$AO$3=Z$2),'Réel 2023'!$C$8:$AO$501)</f>
        <v>65936.289999999964</v>
      </c>
      <c r="AM448" s="407"/>
      <c r="AN448" s="405">
        <f>AF448-AL448</f>
        <v>8122.7900000000373</v>
      </c>
      <c r="AO448" s="217">
        <f>IF(AL448=0,0,AN448/AL448)</f>
        <v>0.12319149287896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0.16366145251578493</v>
      </c>
      <c r="Y452" s="88"/>
      <c r="Z452" s="90">
        <f>+SUM(Z434:Z451)</f>
        <v>765801.08939564985</v>
      </c>
      <c r="AA452" s="89"/>
      <c r="AB452" s="88"/>
      <c r="AC452" s="90"/>
      <c r="AD452" s="91">
        <f>AF452/AF407</f>
        <v>0.19751065618450001</v>
      </c>
      <c r="AE452" s="88"/>
      <c r="AF452" s="90">
        <f>+SUM(AF434:AF451)</f>
        <v>819225.95</v>
      </c>
      <c r="AG452" s="99"/>
      <c r="AH452" s="93">
        <f>+SUM(AH434:AH451)</f>
        <v>53424.860604350295</v>
      </c>
      <c r="AI452" s="89">
        <f>AH452/Z452</f>
        <v>6.9763364591857391E-2</v>
      </c>
      <c r="AJ452" s="91">
        <f>IF($AL$407=0,0,AL452/$AL$407)</f>
        <v>0.17279724478661271</v>
      </c>
      <c r="AK452" s="89"/>
      <c r="AL452" s="90">
        <f>+SUM(AL434:AL451)</f>
        <v>788612.88999999978</v>
      </c>
      <c r="AM452" s="100"/>
      <c r="AN452" s="93">
        <f>+SUM(AN434:AN451)</f>
        <v>30613.060000000118</v>
      </c>
      <c r="AO452" s="558">
        <f>IF(AL452=0,0,AN452/AL452)</f>
        <v>3.8818868405765122E-2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550000</v>
      </c>
      <c r="AA453" s="403"/>
      <c r="AB453" s="409"/>
      <c r="AC453" s="87"/>
      <c r="AD453" s="410"/>
      <c r="AE453" s="409"/>
      <c r="AF453" s="87">
        <f>SUMIFS(BV_Data_An_Cour!$P:$P,BV_Data_An_Cour!$V:$V,$V453)</f>
        <v>550000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550000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64593.54</v>
      </c>
      <c r="AA454" s="403"/>
      <c r="AB454" s="409"/>
      <c r="AC454" s="87"/>
      <c r="AD454" s="410"/>
      <c r="AE454" s="409"/>
      <c r="AF454" s="87">
        <f>SUMIFS(BV_Data_An_Cour!$P:$P,BV_Data_An_Cour!$V:$V,$V454)</f>
        <v>62910.39</v>
      </c>
      <c r="AG454" s="404"/>
      <c r="AH454" s="405">
        <f t="shared" si="97"/>
        <v>-1683.1500000000015</v>
      </c>
      <c r="AI454" s="406">
        <f t="shared" si="98"/>
        <v>-2.6057559316303169E-2</v>
      </c>
      <c r="AJ454" s="410"/>
      <c r="AK454" s="403"/>
      <c r="AL454" s="87" cm="1">
        <f t="array" ref="AL454">+SUMPRODUCT(('Réel 2023'!$A$8:$A$501=$A454)*('Réel 2023'!$C$3:$AO$3=Z$2),'Réel 2023'!$C$8:$AO$501)</f>
        <v>60972.220000000016</v>
      </c>
      <c r="AM454" s="407"/>
      <c r="AN454" s="405">
        <f t="shared" si="99"/>
        <v>1938.1699999999837</v>
      </c>
      <c r="AO454" s="217">
        <f t="shared" si="100"/>
        <v>3.1787755144883738E-2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27682.930000000008</v>
      </c>
      <c r="AA455" s="393"/>
      <c r="AB455" s="412"/>
      <c r="AC455" s="394"/>
      <c r="AD455" s="413"/>
      <c r="AE455" s="412"/>
      <c r="AF455" s="394">
        <f>SUMIFS(BV_Data_An_Cour!$P:$P,BV_Data_An_Cour!$V:$V,$V455)</f>
        <v>26961.58</v>
      </c>
      <c r="AG455" s="395"/>
      <c r="AH455" s="396">
        <f t="shared" si="97"/>
        <v>-721.35000000000582</v>
      </c>
      <c r="AI455" s="414">
        <f t="shared" si="98"/>
        <v>-2.6057574107943259E-2</v>
      </c>
      <c r="AJ455" s="413"/>
      <c r="AK455" s="393"/>
      <c r="AL455" s="394" cm="1">
        <f t="array" ref="AL455">+SUMPRODUCT(('Réel 2023'!$A$8:$A$501=$A455)*('Réel 2023'!$C$3:$AO$3=Z$2),'Réel 2023'!$C$8:$AO$501)</f>
        <v>26130.97</v>
      </c>
      <c r="AM455" s="398"/>
      <c r="AN455" s="396">
        <f t="shared" si="99"/>
        <v>830.61000000000058</v>
      </c>
      <c r="AO455" s="399">
        <f t="shared" si="100"/>
        <v>3.1786420481137917E-2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47847.25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49160.7</v>
      </c>
      <c r="AG457" s="395"/>
      <c r="AH457" s="396">
        <f t="shared" si="97"/>
        <v>1313.4499999999971</v>
      </c>
      <c r="AI457" s="414">
        <f t="shared" si="98"/>
        <v>2.7450898431989237E-2</v>
      </c>
      <c r="AJ457" s="413"/>
      <c r="AK457" s="393"/>
      <c r="AL457" s="394" cm="1">
        <f t="array" ref="AL457">+SUMPRODUCT(('Réel 2023'!$A$8:$A$501=$A457)*('Réel 2023'!$C$3:$AO$3=Z$2),'Réel 2023'!$C$8:$AO$501)</f>
        <v>53227.75</v>
      </c>
      <c r="AM457" s="398"/>
      <c r="AN457" s="396">
        <f t="shared" si="99"/>
        <v>-4067.0500000000029</v>
      </c>
      <c r="AO457" s="399">
        <f t="shared" si="100"/>
        <v>-7.6408452358027582E-2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50600</v>
      </c>
      <c r="AA458" s="249"/>
      <c r="AB458" s="242"/>
      <c r="AC458" s="87"/>
      <c r="AD458" s="410"/>
      <c r="AE458" s="409"/>
      <c r="AF458" s="87">
        <f>SUMIFS(BV_Data_An_Cour!$P:$P,BV_Data_An_Cour!$V:$V,$V458)</f>
        <v>53073.86</v>
      </c>
      <c r="AG458" s="404"/>
      <c r="AH458" s="405">
        <f t="shared" si="97"/>
        <v>2473.8600000000006</v>
      </c>
      <c r="AI458" s="406">
        <f t="shared" si="98"/>
        <v>4.8890513833992108E-2</v>
      </c>
      <c r="AJ458" s="410"/>
      <c r="AK458" s="403"/>
      <c r="AL458" s="87" cm="1">
        <f t="array" ref="AL458">+SUMPRODUCT(('Réel 2023'!$A$8:$A$501=$A458)*('Réel 2023'!$C$3:$AO$3=Z$2),'Réel 2023'!$C$8:$AO$501)</f>
        <v>49640.209999999985</v>
      </c>
      <c r="AM458" s="407"/>
      <c r="AN458" s="405">
        <f t="shared" si="99"/>
        <v>3433.650000000016</v>
      </c>
      <c r="AO458" s="217">
        <f t="shared" si="100"/>
        <v>6.9170738802273743E-2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73073</v>
      </c>
      <c r="AA459" s="403"/>
      <c r="AB459" s="409"/>
      <c r="AC459" s="87"/>
      <c r="AD459" s="410"/>
      <c r="AE459" s="409"/>
      <c r="AF459" s="87">
        <f>SUMIFS(BV_Data_An_Cour!$P:$P,BV_Data_An_Cour!$V:$V,$V459)</f>
        <v>69380.63</v>
      </c>
      <c r="AG459" s="404"/>
      <c r="AH459" s="405">
        <f t="shared" si="97"/>
        <v>-3692.3699999999953</v>
      </c>
      <c r="AI459" s="406">
        <f t="shared" si="98"/>
        <v>-5.0529881077826216E-2</v>
      </c>
      <c r="AJ459" s="410"/>
      <c r="AK459" s="403"/>
      <c r="AL459" s="87" cm="1">
        <f t="array" ref="AL459">+SUMPRODUCT(('Réel 2023'!$A$8:$A$501=$A459)*('Réel 2023'!$C$3:$AO$3=Z$2),'Réel 2023'!$C$8:$AO$501)</f>
        <v>71374.05</v>
      </c>
      <c r="AM459" s="407"/>
      <c r="AN459" s="405">
        <f t="shared" si="99"/>
        <v>-1993.4199999999983</v>
      </c>
      <c r="AO459" s="217">
        <f t="shared" si="100"/>
        <v>-2.7929198357105955E-2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5500</v>
      </c>
      <c r="AA460" s="393"/>
      <c r="AB460" s="412"/>
      <c r="AC460" s="394"/>
      <c r="AD460" s="413"/>
      <c r="AE460" s="412"/>
      <c r="AF460" s="394">
        <f>SUMIFS(BV_Data_An_Cour!$P:$P,BV_Data_An_Cour!$V:$V,$V460)</f>
        <v>3957.29</v>
      </c>
      <c r="AG460" s="395"/>
      <c r="AH460" s="396">
        <f t="shared" si="97"/>
        <v>-1542.71</v>
      </c>
      <c r="AI460" s="414">
        <f t="shared" si="98"/>
        <v>-0.28049272727272728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-1990.71</v>
      </c>
      <c r="AO460" s="399">
        <f t="shared" si="100"/>
        <v>-0.33468560860793545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3025</v>
      </c>
      <c r="AA461" s="403"/>
      <c r="AB461" s="409"/>
      <c r="AC461" s="87"/>
      <c r="AD461" s="410"/>
      <c r="AE461" s="409"/>
      <c r="AF461" s="87">
        <f>SUMIFS(BV_Data_An_Cour!$P:$P,BV_Data_An_Cour!$V:$V,$V461)</f>
        <v>2713.82</v>
      </c>
      <c r="AG461" s="404"/>
      <c r="AH461" s="405">
        <f t="shared" si="97"/>
        <v>-311.17999999999984</v>
      </c>
      <c r="AI461" s="423">
        <f t="shared" si="98"/>
        <v>-0.10286942148760325</v>
      </c>
      <c r="AJ461" s="403"/>
      <c r="AK461" s="403"/>
      <c r="AL461" s="87" cm="1">
        <f t="array" ref="AL461">+SUMPRODUCT(('Réel 2023'!$A$8:$A$501=$A461)*('Réel 2023'!$C$3:$AO$3=Z$2),'Réel 2023'!$C$8:$AO$501)</f>
        <v>3063.0799999999972</v>
      </c>
      <c r="AM461" s="407"/>
      <c r="AN461" s="405">
        <f t="shared" si="99"/>
        <v>-349.25999999999704</v>
      </c>
      <c r="AO461" s="217">
        <f t="shared" si="100"/>
        <v>-0.11402248716977596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0.17574063160015546</v>
      </c>
      <c r="Y466" s="88"/>
      <c r="Z466" s="90">
        <f>SUM(Z453:Z465)</f>
        <v>822321.72000000009</v>
      </c>
      <c r="AA466" s="89"/>
      <c r="AB466" s="88"/>
      <c r="AC466" s="90"/>
      <c r="AD466" s="91">
        <f>AF466/AF407</f>
        <v>0.19725324468844682</v>
      </c>
      <c r="AE466" s="88"/>
      <c r="AF466" s="90">
        <f>SUM(AF453:AF465)</f>
        <v>818158.2699999999</v>
      </c>
      <c r="AG466" s="99"/>
      <c r="AH466" s="93">
        <f>SUM(AH453:AH465)</f>
        <v>-4163.4500000000044</v>
      </c>
      <c r="AI466" s="89">
        <f>IF(Z466=0,0,AH466/Z466)</f>
        <v>-5.0630427225003905E-3</v>
      </c>
      <c r="AJ466" s="91">
        <f>IF($AL$407=0,0,AL466/$AL$407)</f>
        <v>0.17975271102580509</v>
      </c>
      <c r="AK466" s="89"/>
      <c r="AL466" s="90">
        <f>SUM(AL453:AL465)</f>
        <v>820356.27999999991</v>
      </c>
      <c r="AM466" s="100"/>
      <c r="AN466" s="93">
        <f>SUM(AN453:AN465)</f>
        <v>-2198.0099999999979</v>
      </c>
      <c r="AO466" s="558">
        <f t="shared" ref="AO466:AO483" si="101">IF(AL466=0,0,AN466/AL466)</f>
        <v>-2.6793358612431152E-3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1.0152826909580486</v>
      </c>
      <c r="Y468" s="88"/>
      <c r="Z468" s="90">
        <f>Z419+Z433+Z452+Z466</f>
        <v>4750688.563669146</v>
      </c>
      <c r="AA468" s="89"/>
      <c r="AB468" s="88"/>
      <c r="AC468" s="90"/>
      <c r="AD468" s="91">
        <f>AF468/AF407</f>
        <v>1.1505297889169319</v>
      </c>
      <c r="AE468" s="88"/>
      <c r="AF468" s="90">
        <f>AF419+AF433+AF452+AF466</f>
        <v>4772116.49</v>
      </c>
      <c r="AG468" s="99"/>
      <c r="AH468" s="93">
        <f t="shared" si="102"/>
        <v>21427.926330854185</v>
      </c>
      <c r="AI468" s="89">
        <f>AH468/Z468</f>
        <v>4.5104885415398694E-3</v>
      </c>
      <c r="AJ468" s="91">
        <f>IF($AL$407=0,0,AL468/$AL$407)</f>
        <v>0.96552640659955413</v>
      </c>
      <c r="AK468" s="89"/>
      <c r="AL468" s="90">
        <f>AL419+AL433+AL452+AL466</f>
        <v>4406474.0199999996</v>
      </c>
      <c r="AM468" s="100"/>
      <c r="AN468" s="93">
        <f t="shared" si="103"/>
        <v>365642.47000000067</v>
      </c>
      <c r="AO468" s="401">
        <f t="shared" si="101"/>
        <v>8.2978469483862005E-2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9900</v>
      </c>
      <c r="AA469" s="244"/>
      <c r="AB469" s="245"/>
      <c r="AC469" s="243"/>
      <c r="AD469" s="247"/>
      <c r="AE469" s="245"/>
      <c r="AF469" s="87">
        <f>-SUMIFS(BV_Data_An_Cour!$P:$P,BV_Data_An_Cour!$V:$V,$V469)</f>
        <v>176923.28</v>
      </c>
      <c r="AG469" s="246"/>
      <c r="AH469" s="405">
        <f t="shared" si="102"/>
        <v>167023.28</v>
      </c>
      <c r="AI469" s="423">
        <f>IF(AH469=0,0,AH469/Z469)</f>
        <v>16.871038383838382</v>
      </c>
      <c r="AJ469" s="247"/>
      <c r="AK469" s="244"/>
      <c r="AL469" s="426" cm="1">
        <f t="array" ref="AL469">+SUMPRODUCT(('Réel 2023'!$A$8:$A$501=$A469)*('Réel 2023'!$C$3:$AO$3=Z$2),'Réel 2023'!$C$8:$AO$501)</f>
        <v>22322.939999999995</v>
      </c>
      <c r="AM469" s="248"/>
      <c r="AN469" s="405">
        <f t="shared" si="103"/>
        <v>154600.34</v>
      </c>
      <c r="AO469" s="217">
        <f t="shared" si="101"/>
        <v>6.9256262839930596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406028.3126153847</v>
      </c>
      <c r="AA470" s="249"/>
      <c r="AB470" s="242"/>
      <c r="AC470" s="87"/>
      <c r="AD470" s="251"/>
      <c r="AE470" s="242"/>
      <c r="AF470" s="87">
        <f t="shared" ref="AF470:AF476" si="105">+SUMIF($C:$C,$V470,L:L)</f>
        <v>436840.6</v>
      </c>
      <c r="AG470" s="250"/>
      <c r="AH470" s="405">
        <f t="shared" si="102"/>
        <v>30812.28738461528</v>
      </c>
      <c r="AI470" s="97">
        <f>IF(Z470=0,0,AH470/Z470)</f>
        <v>7.5887041438419581E-2</v>
      </c>
      <c r="AJ470" s="251"/>
      <c r="AK470" s="249"/>
      <c r="AL470" s="252">
        <f t="shared" ref="AL470:AL476" si="106">+SUMIF($C:$C,$V470,Q:Q)</f>
        <v>396501.80000000005</v>
      </c>
      <c r="AM470" s="253"/>
      <c r="AN470" s="405">
        <f t="shared" si="103"/>
        <v>40338.79999999993</v>
      </c>
      <c r="AO470" s="217">
        <f t="shared" si="101"/>
        <v>0.10173673864784454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355274.77353846165</v>
      </c>
      <c r="AA471" s="249"/>
      <c r="AB471" s="242"/>
      <c r="AC471" s="87"/>
      <c r="AD471" s="251"/>
      <c r="AE471" s="242"/>
      <c r="AF471" s="87">
        <f t="shared" si="105"/>
        <v>381369.73</v>
      </c>
      <c r="AG471" s="250"/>
      <c r="AH471" s="405">
        <f t="shared" si="102"/>
        <v>26094.956461538328</v>
      </c>
      <c r="AI471" s="97">
        <f t="shared" ref="AI471:AI480" si="107">IF(AH471=0,0,AH471/Z471)</f>
        <v>7.3450068524815532E-2</v>
      </c>
      <c r="AJ471" s="251"/>
      <c r="AK471" s="249"/>
      <c r="AL471" s="252">
        <f t="shared" si="106"/>
        <v>408431.24</v>
      </c>
      <c r="AM471" s="253"/>
      <c r="AN471" s="405">
        <f t="shared" si="103"/>
        <v>-27061.510000000009</v>
      </c>
      <c r="AO471" s="217">
        <f t="shared" si="101"/>
        <v>-6.6257199130996952E-2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24375</v>
      </c>
      <c r="AA474" s="249"/>
      <c r="AB474" s="242"/>
      <c r="AC474" s="87"/>
      <c r="AD474" s="251"/>
      <c r="AE474" s="242"/>
      <c r="AF474" s="87">
        <f t="shared" si="105"/>
        <v>16050</v>
      </c>
      <c r="AG474" s="250"/>
      <c r="AH474" s="405">
        <f t="shared" si="102"/>
        <v>-8325</v>
      </c>
      <c r="AI474" s="97">
        <f t="shared" si="107"/>
        <v>-0.34153846153846151</v>
      </c>
      <c r="AJ474" s="251"/>
      <c r="AK474" s="249"/>
      <c r="AL474" s="252">
        <f t="shared" si="106"/>
        <v>22025</v>
      </c>
      <c r="AM474" s="253"/>
      <c r="AN474" s="405">
        <f t="shared" ref="AN474:AN483" si="108">AF474-AL474</f>
        <v>-5975</v>
      </c>
      <c r="AO474" s="217">
        <f t="shared" si="101"/>
        <v>-0.27128263337116915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16832.352941176476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9242.6470588235243</v>
      </c>
      <c r="AI475" s="97">
        <f t="shared" si="107"/>
        <v>0.54910012231347149</v>
      </c>
      <c r="AJ475" s="251"/>
      <c r="AK475" s="249"/>
      <c r="AL475" s="252">
        <f t="shared" si="106"/>
        <v>8500</v>
      </c>
      <c r="AM475" s="253"/>
      <c r="AN475" s="405">
        <f t="shared" si="108"/>
        <v>17575</v>
      </c>
      <c r="AO475" s="217">
        <f t="shared" si="101"/>
        <v>2.0676470588235296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213164.86412307702</v>
      </c>
      <c r="AA477" s="249"/>
      <c r="AB477" s="242"/>
      <c r="AC477" s="87"/>
      <c r="AD477" s="251"/>
      <c r="AE477" s="242"/>
      <c r="AF477" s="87">
        <f>-SUMIFS(BV_Data_An_Cour!$P:$P,BV_Data_An_Cour!$V:$V,$V477)</f>
        <v>213807.91</v>
      </c>
      <c r="AG477" s="250"/>
      <c r="AH477" s="405">
        <f t="shared" si="102"/>
        <v>643.0458769229881</v>
      </c>
      <c r="AI477" s="97">
        <f t="shared" si="107"/>
        <v>3.0166598025822239E-3</v>
      </c>
      <c r="AJ477" s="251"/>
      <c r="AK477" s="249"/>
      <c r="AL477" s="252" cm="1">
        <f t="array" ref="AL477">+SUMPRODUCT(('Réel 2023'!$A$8:$A$501=$A477)*('Réel 2023'!$C$3:$AO$3=Z$2),'Réel 2023'!$C$8:$AO$501)</f>
        <v>235018.38</v>
      </c>
      <c r="AM477" s="253"/>
      <c r="AN477" s="405">
        <f t="shared" si="108"/>
        <v>-21210.47</v>
      </c>
      <c r="AO477" s="217">
        <f t="shared" si="101"/>
        <v>-9.0250260426439841E-2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239487.5</v>
      </c>
      <c r="AA480" s="249"/>
      <c r="AB480" s="242"/>
      <c r="AC480" s="87"/>
      <c r="AD480" s="251"/>
      <c r="AE480" s="242"/>
      <c r="AF480" s="87">
        <f>+SUMIF($C:$C,$V480,L:L)</f>
        <v>235025</v>
      </c>
      <c r="AG480" s="250"/>
      <c r="AH480" s="405">
        <f t="shared" si="102"/>
        <v>-4462.5</v>
      </c>
      <c r="AI480" s="97">
        <f t="shared" si="107"/>
        <v>-1.8633540372670808E-2</v>
      </c>
      <c r="AJ480" s="251"/>
      <c r="AK480" s="249"/>
      <c r="AL480" s="252" cm="1">
        <f t="array" ref="AL480">+SUMPRODUCT(('Réel 2023'!$A$8:$A$501=$A480)*('Réel 2023'!$C$3:$AO$3=Z$2),'Réel 2023'!$C$8:$AO$501)</f>
        <v>226600</v>
      </c>
      <c r="AM480" s="253"/>
      <c r="AN480" s="405">
        <f t="shared" si="108"/>
        <v>8425</v>
      </c>
      <c r="AO480" s="217">
        <f t="shared" si="101"/>
        <v>3.7180052956751988E-2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0.27036004357444432</v>
      </c>
      <c r="Y481" s="103"/>
      <c r="Z481" s="90">
        <f>SUM(Z469:Z480)</f>
        <v>1265062.8032180998</v>
      </c>
      <c r="AA481" s="89"/>
      <c r="AB481" s="103"/>
      <c r="AC481" s="90"/>
      <c r="AD481" s="89">
        <f>AF481/+AF407</f>
        <v>0.35828810264789712</v>
      </c>
      <c r="AE481" s="103"/>
      <c r="AF481" s="90">
        <f>SUM(AF469:AF480)</f>
        <v>1486091.52</v>
      </c>
      <c r="AG481" s="99"/>
      <c r="AH481" s="93">
        <f t="shared" si="102"/>
        <v>221028.71678190026</v>
      </c>
      <c r="AI481" s="89">
        <f>AH481/Z481</f>
        <v>0.17471758415443223</v>
      </c>
      <c r="AJ481" s="109"/>
      <c r="AK481" s="110"/>
      <c r="AL481" s="90">
        <f>SUM(AL469:AL480)</f>
        <v>1319399.3599999999</v>
      </c>
      <c r="AM481" s="111"/>
      <c r="AN481" s="93">
        <f t="shared" si="108"/>
        <v>166692.16000000015</v>
      </c>
      <c r="AO481" s="558">
        <f t="shared" si="101"/>
        <v>0.12633942766199324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2.8032648597489825E-2</v>
      </c>
      <c r="Z483" s="433">
        <f>Z407-Z468+Z481</f>
        <v>1193552.3699140702</v>
      </c>
      <c r="AA483" s="431"/>
      <c r="AB483" s="432"/>
      <c r="AC483" s="433"/>
      <c r="AD483" s="431" t="s">
        <v>247</v>
      </c>
      <c r="AE483" s="432">
        <f>AF483/AF406</f>
        <v>2.0335893948150611E-2</v>
      </c>
      <c r="AF483" s="220">
        <f>AF407-AF468+AF481</f>
        <v>861730.72999999905</v>
      </c>
      <c r="AG483" s="434"/>
      <c r="AH483" s="220">
        <f>AF483-Z483</f>
        <v>-331821.63991407119</v>
      </c>
      <c r="AI483" s="762">
        <f>AH483/Z483</f>
        <v>-0.27801179762054401</v>
      </c>
      <c r="AJ483" s="435" t="s">
        <v>247</v>
      </c>
      <c r="AK483" s="432">
        <f>IF($AL$406=0,0,AL483/$AL$406)</f>
        <v>2.5997060899156699E-2</v>
      </c>
      <c r="AL483" s="220">
        <f>AL407-AL468+AL481</f>
        <v>1476730.1099999952</v>
      </c>
      <c r="AM483" s="221"/>
      <c r="AN483" s="220">
        <f t="shared" si="108"/>
        <v>-614999.37999999616</v>
      </c>
      <c r="AO483" s="436">
        <f t="shared" si="101"/>
        <v>-0.41646024269119708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1" t="s">
        <v>2892</v>
      </c>
      <c r="W488" s="1162"/>
      <c r="X488" s="1163" t="s">
        <v>247</v>
      </c>
      <c r="Y488" s="1164">
        <f>Z488/Z406</f>
        <v>3.7117969280467143E-2</v>
      </c>
      <c r="Z488" s="1166">
        <f>Z489+Z415</f>
        <v>1580380.1073961398</v>
      </c>
      <c r="AA488" s="1163"/>
      <c r="AB488" s="1164"/>
      <c r="AC488" s="1165"/>
      <c r="AD488" s="1163" t="s">
        <v>247</v>
      </c>
      <c r="AE488" s="1164">
        <f>AF488/AF406</f>
        <v>3.018096448385749E-2</v>
      </c>
      <c r="AF488" s="1166">
        <f>AF489+AF415</f>
        <v>1278914.2499999991</v>
      </c>
      <c r="AG488" s="1167"/>
      <c r="AH488" s="1167">
        <f t="shared" ref="AH488" si="112">AF488-Z488</f>
        <v>-301465.85739614069</v>
      </c>
      <c r="AI488" s="1168">
        <f>AH488/Z488</f>
        <v>-0.1907552847478198</v>
      </c>
      <c r="AJ488" s="1163" t="s">
        <v>247</v>
      </c>
      <c r="AK488" s="1164">
        <f>IF($AL$406=0,0,AL488/$AL$406)</f>
        <v>2.8927297536253498E-2</v>
      </c>
      <c r="AL488" s="1166">
        <f>AL489+AL415</f>
        <v>1643178.4899999951</v>
      </c>
      <c r="AM488" s="1169"/>
      <c r="AN488" s="1166">
        <f t="shared" ref="AN488" si="113">AF488-AL488</f>
        <v>-364264.23999999603</v>
      </c>
      <c r="AO488" s="1170">
        <f t="shared" ref="AO488" si="114">IF(AL488=0,0,AN488/AL488)</f>
        <v>-0.22168269741651567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2.8032648597489825E-2</v>
      </c>
      <c r="Z489" s="441">
        <f>Z483</f>
        <v>1193552.3699140702</v>
      </c>
      <c r="AA489" s="439"/>
      <c r="AB489" s="440"/>
      <c r="AC489" s="441"/>
      <c r="AD489" s="439" t="s">
        <v>247</v>
      </c>
      <c r="AE489" s="440">
        <f>AF489/AF406</f>
        <v>2.0335893948150611E-2</v>
      </c>
      <c r="AF489" s="441">
        <f>AF483</f>
        <v>861730.72999999905</v>
      </c>
      <c r="AG489" s="442"/>
      <c r="AH489" s="220">
        <f>AF489-Z489</f>
        <v>-331821.63991407119</v>
      </c>
      <c r="AI489" s="762">
        <f>AH489/Z489</f>
        <v>-0.27801179762054401</v>
      </c>
      <c r="AJ489" s="439" t="s">
        <v>247</v>
      </c>
      <c r="AK489" s="440">
        <f>IF($AL$406=0,0,AL489/$AL$406)</f>
        <v>2.5997060899156699E-2</v>
      </c>
      <c r="AL489" s="443">
        <f>AL483</f>
        <v>1476730.1099999952</v>
      </c>
      <c r="AM489" s="444"/>
      <c r="AN489" s="445">
        <f>AF489-AL489</f>
        <v>-614999.37999999616</v>
      </c>
      <c r="AO489" s="446">
        <f>IF(AL489=0,0,AN489/AL489)</f>
        <v>-0.41646024269119708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230670</v>
      </c>
      <c r="AA491" s="403"/>
      <c r="AB491" s="409"/>
      <c r="AC491" s="87"/>
      <c r="AD491" s="403"/>
      <c r="AE491" s="409"/>
      <c r="AF491" s="87">
        <f>SUMIFS(BV_Data_An_Cour!$P:$P,BV_Data_An_Cour!$V:$V,$V491)</f>
        <v>230670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214720</v>
      </c>
      <c r="AM491" s="407"/>
      <c r="AN491" s="405">
        <f t="shared" ref="AN491:AN498" si="117">AF491-AL491</f>
        <v>15950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2820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-99310.109289617525</v>
      </c>
      <c r="AA496" s="403"/>
      <c r="AB496" s="403"/>
      <c r="AC496" s="405"/>
      <c r="AD496" s="410"/>
      <c r="AE496" s="409"/>
      <c r="AF496" s="87">
        <f>SUMIFS(BV_Data_An_Cour!$P:$P,BV_Data_An_Cour!$V:$V,$V496)</f>
        <v>-64518.41</v>
      </c>
      <c r="AG496" s="404"/>
      <c r="AH496" s="405">
        <f t="shared" si="115"/>
        <v>34791.699289617522</v>
      </c>
      <c r="AI496" s="406">
        <f t="shared" si="116"/>
        <v>-0.35033391402434855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-64518.41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2.4947433613287721E-2</v>
      </c>
      <c r="Z498" s="433">
        <f>Z489-Z491-Z492-Z493-Z497-Z496-Z494-Z495</f>
        <v>1062192.4792036877</v>
      </c>
      <c r="AA498" s="431"/>
      <c r="AB498" s="432"/>
      <c r="AC498" s="433"/>
      <c r="AD498" s="431" t="s">
        <v>247</v>
      </c>
      <c r="AE498" s="432">
        <f>AF498/AF406</f>
        <v>1.6414899841840157E-2</v>
      </c>
      <c r="AF498" s="220">
        <f>AF489-AF491-AF492-AF493-AF497-AF496-AF494-AF495</f>
        <v>695579.13999999908</v>
      </c>
      <c r="AG498" s="434"/>
      <c r="AH498" s="220">
        <f t="shared" si="115"/>
        <v>-366613.33920368867</v>
      </c>
      <c r="AI498" s="762">
        <f>AH498/Z498</f>
        <v>-0.34514774523590491</v>
      </c>
      <c r="AJ498" s="435" t="s">
        <v>247</v>
      </c>
      <c r="AK498" s="432">
        <f>IF($AL$406=0,0,AL498/$AL$406)</f>
        <v>2.2217027649704676E-2</v>
      </c>
      <c r="AL498" s="220">
        <f>AL489-AL491-AL492-AL493-AL497-AL496-AL494-AL495</f>
        <v>1262010.1099999952</v>
      </c>
      <c r="AM498" s="221"/>
      <c r="AN498" s="220">
        <f t="shared" si="117"/>
        <v>-566430.96999999613</v>
      </c>
      <c r="AO498" s="451">
        <f t="shared" si="118"/>
        <v>-0.44883235523366627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180850.54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514728.59999999905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0.65485225476409503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0.25999994766950635</v>
      </c>
      <c r="AG508" s="79"/>
      <c r="AH508" s="721">
        <f>AH498/Z498</f>
        <v>-0.34514774523590491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-18001</v>
      </c>
      <c r="J9" s="665">
        <v>0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-18001</v>
      </c>
      <c r="O9" s="504">
        <f>+IF(OR($Q9=Parametres!$G$2,$Q9=Parametres!$G$3),J9,D9)</f>
        <v>0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82058</v>
      </c>
      <c r="J10" s="672">
        <v>0</v>
      </c>
      <c r="K10" s="672">
        <v>82058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82058</v>
      </c>
      <c r="O10" s="151">
        <f>+IF(OR($Q10=Parametres!$G$2,$Q10=Parametres!$G$3),J10,D10)</f>
        <v>0</v>
      </c>
      <c r="P10" s="151">
        <f>+IF(OR($Q10=Parametres!$G$2,$Q10=Parametres!$G$3),K10,E10)</f>
        <v>82058</v>
      </c>
      <c r="Q10" s="150" t="str">
        <f t="shared" si="2"/>
        <v>1-Mémo</v>
      </c>
      <c r="R10" s="149" t="str">
        <f t="shared" si="3"/>
        <v>109</v>
      </c>
      <c r="S10" s="150">
        <f t="shared" si="4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0</v>
      </c>
      <c r="J11" s="672">
        <v>81576</v>
      </c>
      <c r="K11" s="672">
        <v>81576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0</v>
      </c>
      <c r="O11" s="151">
        <f>+IF(OR($Q11=Parametres!$G$2,$Q11=Parametres!$G$3),J11,D11)</f>
        <v>81576</v>
      </c>
      <c r="P11" s="151">
        <f>+IF(OR($Q11=Parametres!$G$2,$Q11=Parametres!$G$3),K11,E11)</f>
        <v>81576</v>
      </c>
      <c r="Q11" s="150" t="str">
        <f t="shared" si="2"/>
        <v>1-Mémo</v>
      </c>
      <c r="R11" s="149" t="str">
        <f t="shared" si="3"/>
        <v>110</v>
      </c>
      <c r="S11" s="150">
        <f t="shared" si="4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1244</v>
      </c>
      <c r="B12" s="718" t="s">
        <v>496</v>
      </c>
      <c r="C12" s="719"/>
      <c r="D12" s="719"/>
      <c r="E12" s="719"/>
      <c r="F12" s="718" t="s">
        <v>1</v>
      </c>
      <c r="G12" s="718" t="s">
        <v>2449</v>
      </c>
      <c r="H12" s="719"/>
      <c r="I12" s="720">
        <v>0.01</v>
      </c>
      <c r="J12" s="720">
        <v>0</v>
      </c>
      <c r="K12" s="720">
        <v>0.01</v>
      </c>
      <c r="L12" s="149" t="str">
        <f t="shared" si="0"/>
        <v>120A</v>
      </c>
      <c r="M12" s="150" t="str">
        <f t="shared" si="1"/>
        <v>JANV. NB VENTE NEUF BMW AUTO</v>
      </c>
      <c r="N12" s="151">
        <f>+IF(OR($Q12=Parametres!$G$2,$Q12=Parametres!$G$3),I12,C12)</f>
        <v>0.01</v>
      </c>
      <c r="O12" s="151">
        <f>+IF(OR($Q12=Parametres!$G$2,$Q12=Parametres!$G$3),J12,D12)</f>
        <v>0</v>
      </c>
      <c r="P12" s="151">
        <f>+IF(OR($Q12=Parametres!$G$2,$Q12=Parametres!$G$3),K12,E12)</f>
        <v>0.01</v>
      </c>
      <c r="Q12" s="150" t="str">
        <f t="shared" si="2"/>
        <v>1-Mémo</v>
      </c>
      <c r="R12" s="149" t="str">
        <f t="shared" si="3"/>
        <v>120</v>
      </c>
      <c r="S12" s="150">
        <f t="shared" si="4"/>
        <v>0</v>
      </c>
      <c r="T12" s="152" t="str">
        <f>+VLOOKUP($L12,Data_Validation!$A:$D,1,0)</f>
        <v>120A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120B</v>
      </c>
      <c r="M13" s="150" t="str">
        <f t="shared" si="1"/>
        <v>FEV. NB VENTE NEUF BMW AUTO</v>
      </c>
      <c r="N13" s="151">
        <f>+IF(OR($Q13=Parametres!$G$2,$Q13=Parametres!$G$3),I13,C13)</f>
        <v>0.03</v>
      </c>
      <c r="O13" s="151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0.05</v>
      </c>
      <c r="J14" s="672">
        <v>0</v>
      </c>
      <c r="K14" s="672">
        <v>0.05</v>
      </c>
      <c r="L14" s="149" t="str">
        <f t="shared" si="0"/>
        <v>120C</v>
      </c>
      <c r="M14" s="150" t="str">
        <f t="shared" si="1"/>
        <v>MARS NB VENTE NEUF BMW AUTO</v>
      </c>
      <c r="N14" s="151">
        <f>+IF(OR($Q14=Parametres!$G$2,$Q14=Parametres!$G$3),I14,C14)</f>
        <v>0.05</v>
      </c>
      <c r="O14" s="151">
        <f>+IF(OR($Q14=Parametres!$G$2,$Q14=Parametres!$G$3),J14,D14)</f>
        <v>0</v>
      </c>
      <c r="P14" s="151">
        <f>+IF(OR($Q14=Parametres!$G$2,$Q14=Parametres!$G$3),K14,E14)</f>
        <v>0.05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988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0.08</v>
      </c>
      <c r="J15" s="720">
        <v>0</v>
      </c>
      <c r="K15" s="720">
        <v>0.08</v>
      </c>
      <c r="L15" s="149" t="str">
        <f t="shared" si="0"/>
        <v>120D</v>
      </c>
      <c r="M15" s="150" t="str">
        <f t="shared" si="1"/>
        <v>AVRIL NB VENTE NEUF BMW AUTO</v>
      </c>
      <c r="N15" s="151">
        <f>+IF(OR($Q15=Parametres!$G$2,$Q15=Parametres!$G$3),I15,C15)</f>
        <v>0.08</v>
      </c>
      <c r="O15" s="151">
        <f>+IF(OR($Q15=Parametres!$G$2,$Q15=Parametres!$G$3),J15,D15)</f>
        <v>0</v>
      </c>
      <c r="P15" s="151">
        <f>+IF(OR($Q15=Parametres!$G$2,$Q15=Parametres!$G$3),K15,E15)</f>
        <v>0.08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499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0.06</v>
      </c>
      <c r="J16" s="720">
        <v>0</v>
      </c>
      <c r="K16" s="720">
        <v>0.06</v>
      </c>
      <c r="L16" s="149" t="str">
        <f t="shared" si="0"/>
        <v>120E</v>
      </c>
      <c r="M16" s="150" t="str">
        <f t="shared" si="1"/>
        <v>MAI NB VENTE NEUF BMW AUTO</v>
      </c>
      <c r="N16" s="151">
        <f>+IF(OR($Q16=Parametres!$G$2,$Q16=Parametres!$G$3),I16,C16)</f>
        <v>0.06</v>
      </c>
      <c r="O16" s="505">
        <f>+IF(OR($Q16=Parametres!$G$2,$Q16=Parametres!$G$3),J16,D16)</f>
        <v>0</v>
      </c>
      <c r="P16" s="151">
        <f>+IF(OR($Q16=Parametres!$G$2,$Q16=Parametres!$G$3),K16,E16)</f>
        <v>0.06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0.04</v>
      </c>
      <c r="J17" s="672">
        <v>0</v>
      </c>
      <c r="K17" s="672">
        <v>0.04</v>
      </c>
      <c r="L17" s="149" t="str">
        <f t="shared" si="0"/>
        <v>120F</v>
      </c>
      <c r="M17" s="150" t="str">
        <f t="shared" si="1"/>
        <v>JUIN NB VENTE NEUF BMW AUTO</v>
      </c>
      <c r="N17" s="151">
        <f>+IF(OR($Q17=Parametres!$G$2,$Q17=Parametres!$G$3),I17,C17)</f>
        <v>0.04</v>
      </c>
      <c r="O17" s="151">
        <f>+IF(OR($Q17=Parametres!$G$2,$Q17=Parametres!$G$3),J17,D17)</f>
        <v>0</v>
      </c>
      <c r="P17" s="151">
        <f>+IF(OR($Q17=Parametres!$G$2,$Q17=Parametres!$G$3),K17,E17)</f>
        <v>0.04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0.13</v>
      </c>
      <c r="J18" s="665">
        <v>0</v>
      </c>
      <c r="K18" s="665">
        <v>0.13</v>
      </c>
      <c r="L18" s="149" t="str">
        <f t="shared" si="0"/>
        <v>120G</v>
      </c>
      <c r="M18" s="150" t="str">
        <f t="shared" si="1"/>
        <v>JUIL. NB VENTE NEUF BMW AUTO</v>
      </c>
      <c r="N18" s="151">
        <f>+IF(OR($Q18=Parametres!$G$2,$Q18=Parametres!$G$3),I18,C18)</f>
        <v>0.13</v>
      </c>
      <c r="O18" s="151">
        <f>+IF(OR($Q18=Parametres!$G$2,$Q18=Parametres!$G$3),J18,D18)</f>
        <v>0</v>
      </c>
      <c r="P18" s="151">
        <f>+IF(OR($Q18=Parametres!$G$2,$Q18=Parametres!$G$3),K18,E18)</f>
        <v>0.13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120G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0.02</v>
      </c>
      <c r="J19" s="672">
        <v>0</v>
      </c>
      <c r="K19" s="672">
        <v>0.02</v>
      </c>
      <c r="L19" s="149" t="str">
        <f t="shared" si="0"/>
        <v>120H</v>
      </c>
      <c r="M19" s="150" t="str">
        <f t="shared" si="1"/>
        <v>AOUT NB VENTE NEUF BMW AUTO</v>
      </c>
      <c r="N19" s="151">
        <f>+IF(OR($Q19=Parametres!$G$2,$Q19=Parametres!$G$3),I19,C19)</f>
        <v>0.02</v>
      </c>
      <c r="O19" s="151">
        <f>+IF(OR($Q19=Parametres!$G$2,$Q19=Parametres!$G$3),J19,D19)</f>
        <v>0</v>
      </c>
      <c r="P19" s="151">
        <f>+IF(OR($Q19=Parametres!$G$2,$Q19=Parametres!$G$3),K19,E19)</f>
        <v>0.02</v>
      </c>
      <c r="Q19" s="150" t="str">
        <f t="shared" si="2"/>
        <v>1-Mémo</v>
      </c>
      <c r="R19" s="149" t="str">
        <f t="shared" si="3"/>
        <v>120</v>
      </c>
      <c r="S19" s="150">
        <f t="shared" si="4"/>
        <v>0</v>
      </c>
      <c r="T19" s="152" t="str">
        <f>+VLOOKUP($L19,Data_Validation!$A:$D,1,0)</f>
        <v>120H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120Z</v>
      </c>
      <c r="M20" s="150" t="str">
        <f t="shared" si="1"/>
        <v>SEPT. NB VENTE NEUF BMW AUTO</v>
      </c>
      <c r="N20" s="151">
        <f>+IF(OR($Q20=Parametres!$G$2,$Q20=Parametres!$G$3),I20,C20)</f>
        <v>0.05</v>
      </c>
      <c r="O20" s="151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2"/>
        <v>1-Mémo</v>
      </c>
      <c r="R20" s="149" t="str">
        <f t="shared" si="3"/>
        <v>120</v>
      </c>
      <c r="S20" s="150">
        <f t="shared" si="4"/>
        <v>0</v>
      </c>
      <c r="T20" s="152" t="str">
        <f>+VLOOKUP($L20,Data_Validation!$A:$D,1,0)</f>
        <v>120Z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0.04</v>
      </c>
      <c r="J21" s="672">
        <v>0</v>
      </c>
      <c r="K21" s="672">
        <v>0.04</v>
      </c>
      <c r="L21" s="149" t="str">
        <f t="shared" si="0"/>
        <v>121</v>
      </c>
      <c r="M21" s="150" t="str">
        <f t="shared" si="1"/>
        <v>OCT. NB VENTE NEUF BMW AUTO</v>
      </c>
      <c r="N21" s="151">
        <f>+IF(OR($Q21=Parametres!$G$2,$Q21=Parametres!$G$3),I21,C21)</f>
        <v>0.04</v>
      </c>
      <c r="O21" s="151">
        <f>+IF(OR($Q21=Parametres!$G$2,$Q21=Parametres!$G$3),J21,D21)</f>
        <v>0</v>
      </c>
      <c r="P21" s="151">
        <f>+IF(OR($Q21=Parametres!$G$2,$Q21=Parametres!$G$3),K21,E21)</f>
        <v>0.04</v>
      </c>
      <c r="Q21" s="150" t="str">
        <f t="shared" si="2"/>
        <v>1-Mémo</v>
      </c>
      <c r="R21" s="149" t="str">
        <f t="shared" si="3"/>
        <v>120</v>
      </c>
      <c r="S21" s="150">
        <f t="shared" si="4"/>
        <v>0</v>
      </c>
      <c r="T21" s="152" t="str">
        <f>+VLOOKUP($L21,Data_Validation!$A:$D,1,0)</f>
        <v>121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</v>
      </c>
      <c r="J22" s="720">
        <v>0.08</v>
      </c>
      <c r="K22" s="720">
        <v>0.08</v>
      </c>
      <c r="L22" s="149" t="str">
        <f t="shared" si="0"/>
        <v>121A</v>
      </c>
      <c r="M22" s="150" t="str">
        <f t="shared" si="1"/>
        <v>NOV. NB VENTE NEUF BMW AUTO</v>
      </c>
      <c r="N22" s="151">
        <f>+IF(OR($Q22=Parametres!$G$2,$Q22=Parametres!$G$3),I22,C22)</f>
        <v>0</v>
      </c>
      <c r="O22" s="151">
        <f>+IF(OR($Q22=Parametres!$G$2,$Q22=Parametres!$G$3),J22,D22)</f>
        <v>0.08</v>
      </c>
      <c r="P22" s="151">
        <f>+IF(OR($Q22=Parametres!$G$2,$Q22=Parametres!$G$3),K22,E22)</f>
        <v>0.08</v>
      </c>
      <c r="Q22" s="150" t="str">
        <f t="shared" si="2"/>
        <v>1-Mémo</v>
      </c>
      <c r="R22" s="149" t="str">
        <f t="shared" si="3"/>
        <v>120</v>
      </c>
      <c r="S22" s="150">
        <f t="shared" si="4"/>
        <v>0</v>
      </c>
      <c r="T22" s="152" t="str">
        <f>+VLOOKUP($L22,Data_Validation!$A:$D,1,0)</f>
        <v>121A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2451</v>
      </c>
      <c r="H23" s="673"/>
      <c r="I23" s="672">
        <v>0.13</v>
      </c>
      <c r="J23" s="672">
        <v>0</v>
      </c>
      <c r="K23" s="672">
        <v>0.13</v>
      </c>
      <c r="L23" s="149" t="str">
        <f t="shared" si="0"/>
        <v>121E</v>
      </c>
      <c r="M23" s="150" t="str">
        <f t="shared" si="1"/>
        <v>OCT. NB VENTE NEUF BMW CAMION</v>
      </c>
      <c r="N23" s="151">
        <f>+IF(OR($Q23=Parametres!$G$2,$Q23=Parametres!$G$3),I23,C23)</f>
        <v>0.13</v>
      </c>
      <c r="O23" s="151">
        <f>+IF(OR($Q23=Parametres!$G$2,$Q23=Parametres!$G$3),J23,D23)</f>
        <v>0</v>
      </c>
      <c r="P23" s="151">
        <f>+IF(OR($Q23=Parametres!$G$2,$Q23=Parametres!$G$3),K23,E23)</f>
        <v>0.13</v>
      </c>
      <c r="Q23" s="150" t="str">
        <f t="shared" si="2"/>
        <v>1-Mémo</v>
      </c>
      <c r="R23" s="149" t="str">
        <f t="shared" si="3"/>
        <v>126</v>
      </c>
      <c r="S23" s="150">
        <f t="shared" si="4"/>
        <v>0</v>
      </c>
      <c r="T23" s="152" t="str">
        <f>+VLOOKUP($L23,Data_Validation!$A:$D,1,0)</f>
        <v>121E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1256</v>
      </c>
      <c r="B24" s="718" t="s">
        <v>507</v>
      </c>
      <c r="C24" s="720"/>
      <c r="D24" s="720"/>
      <c r="E24" s="720"/>
      <c r="F24" s="718" t="s">
        <v>1</v>
      </c>
      <c r="G24" s="718" t="s">
        <v>2451</v>
      </c>
      <c r="H24" s="673"/>
      <c r="I24" s="673">
        <v>0</v>
      </c>
      <c r="J24" s="673">
        <v>0.24</v>
      </c>
      <c r="K24" s="673">
        <v>0.24</v>
      </c>
      <c r="L24" s="149" t="str">
        <f t="shared" si="0"/>
        <v>121H</v>
      </c>
      <c r="M24" s="150" t="str">
        <f t="shared" si="1"/>
        <v>NOV. NB VENTE NEUF BMW CAMION</v>
      </c>
      <c r="N24" s="151">
        <f>+IF(OR($Q24=Parametres!$G$2,$Q24=Parametres!$G$3),I24,C24)</f>
        <v>0</v>
      </c>
      <c r="O24" s="151">
        <f>+IF(OR($Q24=Parametres!$G$2,$Q24=Parametres!$G$3),J24,D24)</f>
        <v>0.24</v>
      </c>
      <c r="P24" s="151">
        <f>+IF(OR($Q24=Parametres!$G$2,$Q24=Parametres!$G$3),K24,E24)</f>
        <v>0.24</v>
      </c>
      <c r="Q24" s="150" t="str">
        <f t="shared" si="2"/>
        <v>1-Mémo</v>
      </c>
      <c r="R24" s="149" t="str">
        <f t="shared" si="3"/>
        <v>126</v>
      </c>
      <c r="S24" s="150">
        <f t="shared" si="4"/>
        <v>0</v>
      </c>
      <c r="T24" s="152" t="str">
        <f>+VLOOKUP($L24,Data_Validation!$A:$D,1,0)</f>
        <v>121H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1998</v>
      </c>
      <c r="B25" s="718" t="s">
        <v>1999</v>
      </c>
      <c r="C25" s="720"/>
      <c r="D25" s="720"/>
      <c r="E25" s="720"/>
      <c r="F25" s="718" t="s">
        <v>1</v>
      </c>
      <c r="G25" s="718" t="s">
        <v>2469</v>
      </c>
      <c r="H25" s="666"/>
      <c r="I25" s="665">
        <v>0.04</v>
      </c>
      <c r="J25" s="665">
        <v>0</v>
      </c>
      <c r="K25" s="665">
        <v>0.04</v>
      </c>
      <c r="L25" s="149" t="str">
        <f t="shared" si="0"/>
        <v>122A</v>
      </c>
      <c r="M25" s="150" t="str">
        <f t="shared" si="1"/>
        <v>JANV. NB VENTE NEUF BMW I</v>
      </c>
      <c r="N25" s="151">
        <f>+IF(OR($Q25=Parametres!$G$2,$Q25=Parametres!$G$3),I25,C25)</f>
        <v>0.04</v>
      </c>
      <c r="O25" s="151">
        <f>+IF(OR($Q25=Parametres!$G$2,$Q25=Parametres!$G$3),J25,D25)</f>
        <v>0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122</v>
      </c>
      <c r="S25" s="150">
        <f t="shared" si="4"/>
        <v>0</v>
      </c>
      <c r="T25" s="152" t="str">
        <f>+VLOOKUP($L25,Data_Validation!$A:$D,1,0)</f>
        <v>122A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1067</v>
      </c>
      <c r="B26" s="718" t="s">
        <v>508</v>
      </c>
      <c r="C26" s="720"/>
      <c r="D26" s="720"/>
      <c r="E26" s="720"/>
      <c r="F26" s="718" t="s">
        <v>1</v>
      </c>
      <c r="G26" s="718" t="s">
        <v>2469</v>
      </c>
      <c r="H26" s="673"/>
      <c r="I26" s="672">
        <v>0.02</v>
      </c>
      <c r="J26" s="672">
        <v>0</v>
      </c>
      <c r="K26" s="672">
        <v>0.02</v>
      </c>
      <c r="L26" s="149" t="str">
        <f t="shared" si="0"/>
        <v>122B</v>
      </c>
      <c r="M26" s="150" t="str">
        <f t="shared" si="1"/>
        <v>FEV. NB VENTE NEUF BMW I</v>
      </c>
      <c r="N26" s="151">
        <f>+IF(OR($Q26=Parametres!$G$2,$Q26=Parametres!$G$3),I26,C26)</f>
        <v>0.02</v>
      </c>
      <c r="O26" s="151">
        <f>+IF(OR($Q26=Parametres!$G$2,$Q26=Parametres!$G$3),J26,D26)</f>
        <v>0</v>
      </c>
      <c r="P26" s="151">
        <f>+IF(OR($Q26=Parametres!$G$2,$Q26=Parametres!$G$3),K26,E26)</f>
        <v>0.02</v>
      </c>
      <c r="Q26" s="150" t="str">
        <f t="shared" si="2"/>
        <v>1-Mémo</v>
      </c>
      <c r="R26" s="149" t="str">
        <f t="shared" si="3"/>
        <v>122</v>
      </c>
      <c r="S26" s="150">
        <f t="shared" si="4"/>
        <v>0</v>
      </c>
      <c r="T26" s="152" t="str">
        <f>+VLOOKUP($L26,Data_Validation!$A:$D,1,0)</f>
        <v>122B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1257</v>
      </c>
      <c r="B27" s="718" t="s">
        <v>1258</v>
      </c>
      <c r="C27" s="720"/>
      <c r="D27" s="720"/>
      <c r="E27" s="720"/>
      <c r="F27" s="718" t="s">
        <v>1</v>
      </c>
      <c r="G27" s="718" t="s">
        <v>2469</v>
      </c>
      <c r="H27" s="673"/>
      <c r="I27" s="672">
        <v>0.01</v>
      </c>
      <c r="J27" s="672">
        <v>0</v>
      </c>
      <c r="K27" s="672">
        <v>0.01</v>
      </c>
      <c r="L27" s="149" t="str">
        <f t="shared" si="0"/>
        <v>122C</v>
      </c>
      <c r="M27" s="150" t="str">
        <f t="shared" si="1"/>
        <v>MARS NB VENTE NEUF BMW I</v>
      </c>
      <c r="N27" s="151">
        <f>+IF(OR($Q27=Parametres!$G$2,$Q27=Parametres!$G$3),I27,C27)</f>
        <v>0.01</v>
      </c>
      <c r="O27" s="151">
        <f>+IF(OR($Q27=Parametres!$G$2,$Q27=Parametres!$G$3),J27,D27)</f>
        <v>0</v>
      </c>
      <c r="P27" s="151">
        <f>+IF(OR($Q27=Parametres!$G$2,$Q27=Parametres!$G$3),K27,E27)</f>
        <v>0.01</v>
      </c>
      <c r="Q27" s="150" t="str">
        <f t="shared" si="2"/>
        <v>1-Mémo</v>
      </c>
      <c r="R27" s="149" t="str">
        <f t="shared" si="3"/>
        <v>122</v>
      </c>
      <c r="S27" s="150">
        <f t="shared" si="4"/>
        <v>0</v>
      </c>
      <c r="T27" s="152" t="str">
        <f>+VLOOKUP($L27,Data_Validation!$A:$D,1,0)</f>
        <v>122C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989</v>
      </c>
      <c r="B28" s="671" t="s">
        <v>990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0.08</v>
      </c>
      <c r="J28" s="665">
        <v>0</v>
      </c>
      <c r="K28" s="665">
        <v>0.08</v>
      </c>
      <c r="L28" s="149" t="str">
        <f t="shared" si="0"/>
        <v>122D</v>
      </c>
      <c r="M28" s="150" t="str">
        <f t="shared" si="1"/>
        <v>AVRIL NB VENTE NEUF BMW I</v>
      </c>
      <c r="N28" s="151">
        <f>+IF(OR($Q28=Parametres!$G$2,$Q28=Parametres!$G$3),I28,C28)</f>
        <v>0.08</v>
      </c>
      <c r="O28" s="151">
        <f>+IF(OR($Q28=Parametres!$G$2,$Q28=Parametres!$G$3),J28,D28)</f>
        <v>0</v>
      </c>
      <c r="P28" s="151">
        <f>+IF(OR($Q28=Parametres!$G$2,$Q28=Parametres!$G$3),K28,E28)</f>
        <v>0.08</v>
      </c>
      <c r="Q28" s="150" t="str">
        <f t="shared" si="2"/>
        <v>1-Mémo</v>
      </c>
      <c r="R28" s="149" t="str">
        <f t="shared" si="3"/>
        <v>122</v>
      </c>
      <c r="S28" s="150">
        <f t="shared" si="4"/>
        <v>0</v>
      </c>
      <c r="T28" s="152" t="str">
        <f>+VLOOKUP($L28,Data_Validation!$A:$D,1,0)</f>
        <v>122D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2048</v>
      </c>
      <c r="B29" s="718" t="s">
        <v>2049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0.09</v>
      </c>
      <c r="J29" s="720">
        <v>0</v>
      </c>
      <c r="K29" s="720">
        <v>0.09</v>
      </c>
      <c r="L29" s="149" t="str">
        <f t="shared" si="0"/>
        <v>122E</v>
      </c>
      <c r="M29" s="150" t="str">
        <f t="shared" si="1"/>
        <v>MAI NB VENTE NEUF BMW I</v>
      </c>
      <c r="N29" s="151">
        <f>+IF(OR($Q29=Parametres!$G$2,$Q29=Parametres!$G$3),I29,C29)</f>
        <v>0.09</v>
      </c>
      <c r="O29" s="505">
        <f>+IF(OR($Q29=Parametres!$G$2,$Q29=Parametres!$G$3),J29,D29)</f>
        <v>0</v>
      </c>
      <c r="P29" s="151">
        <f>+IF(OR($Q29=Parametres!$G$2,$Q29=Parametres!$G$3),K29,E29)</f>
        <v>0.09</v>
      </c>
      <c r="Q29" s="150" t="str">
        <f t="shared" si="2"/>
        <v>1-Mémo</v>
      </c>
      <c r="R29" s="149" t="str">
        <f t="shared" si="3"/>
        <v>122</v>
      </c>
      <c r="S29" s="150">
        <f t="shared" si="4"/>
        <v>0</v>
      </c>
      <c r="T29" s="152" t="str">
        <f>+VLOOKUP($L29,Data_Validation!$A:$D,1,0)</f>
        <v>122E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2077</v>
      </c>
      <c r="B30" s="718" t="s">
        <v>2078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0.03</v>
      </c>
      <c r="J30" s="720">
        <v>0</v>
      </c>
      <c r="K30" s="720">
        <v>0.03</v>
      </c>
      <c r="L30" s="149" t="str">
        <f t="shared" si="0"/>
        <v>122F</v>
      </c>
      <c r="M30" s="150" t="str">
        <f t="shared" si="1"/>
        <v>JUIN NB VENTE NEUF BMW I</v>
      </c>
      <c r="N30" s="151">
        <f>+IF(OR($Q30=Parametres!$G$2,$Q30=Parametres!$G$3),I30,C30)</f>
        <v>0.03</v>
      </c>
      <c r="O30" s="504">
        <f>+IF(OR($Q30=Parametres!$G$2,$Q30=Parametres!$G$3),J30,D30)</f>
        <v>0</v>
      </c>
      <c r="P30" s="151">
        <f>+IF(OR($Q30=Parametres!$G$2,$Q30=Parametres!$G$3),K30,E30)</f>
        <v>0.03</v>
      </c>
      <c r="Q30" s="150" t="str">
        <f t="shared" si="2"/>
        <v>1-Mémo</v>
      </c>
      <c r="R30" s="149" t="str">
        <f t="shared" si="3"/>
        <v>122</v>
      </c>
      <c r="S30" s="150">
        <f t="shared" si="4"/>
        <v>0</v>
      </c>
      <c r="T30" s="152" t="str">
        <f>+VLOOKUP($L30,Data_Validation!$A:$D,1,0)</f>
        <v>122F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2414</v>
      </c>
      <c r="B31" s="718" t="s">
        <v>2415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0.08</v>
      </c>
      <c r="J31" s="608">
        <v>0</v>
      </c>
      <c r="K31" s="608">
        <v>0.08</v>
      </c>
      <c r="L31" s="149" t="str">
        <f t="shared" si="0"/>
        <v>122H</v>
      </c>
      <c r="M31" s="150" t="str">
        <f t="shared" si="1"/>
        <v>AOUT NB VENTE NEUF BMW I</v>
      </c>
      <c r="N31" s="151">
        <f>+IF(OR($Q31=Parametres!$G$2,$Q31=Parametres!$G$3),I31,C31)</f>
        <v>0.08</v>
      </c>
      <c r="O31" s="151">
        <f>+IF(OR($Q31=Parametres!$G$2,$Q31=Parametres!$G$3),J31,D31)</f>
        <v>0</v>
      </c>
      <c r="P31" s="151">
        <f>+IF(OR($Q31=Parametres!$G$2,$Q31=Parametres!$G$3),K31,E31)</f>
        <v>0.08</v>
      </c>
      <c r="Q31" s="150" t="str">
        <f t="shared" si="2"/>
        <v>1-Mémo</v>
      </c>
      <c r="R31" s="149" t="str">
        <f t="shared" si="3"/>
        <v>122</v>
      </c>
      <c r="S31" s="150">
        <f t="shared" si="4"/>
        <v>0</v>
      </c>
      <c r="T31" s="152" t="str">
        <f>+VLOOKUP($L31,Data_Validation!$A:$D,1,0)</f>
        <v>122H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2167</v>
      </c>
      <c r="B32" s="718" t="s">
        <v>2168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0.05</v>
      </c>
      <c r="J32" s="665">
        <v>0</v>
      </c>
      <c r="K32" s="665">
        <v>0.05</v>
      </c>
      <c r="L32" s="149" t="str">
        <f t="shared" si="0"/>
        <v>122Z</v>
      </c>
      <c r="M32" s="150" t="str">
        <f t="shared" si="1"/>
        <v>SEPT. NB VENTE NEUF BMW I</v>
      </c>
      <c r="N32" s="151">
        <f>+IF(OR($Q32=Parametres!$G$2,$Q32=Parametres!$G$3),I32,C32)</f>
        <v>0.05</v>
      </c>
      <c r="O32" s="151">
        <f>+IF(OR($Q32=Parametres!$G$2,$Q32=Parametres!$G$3),J32,D32)</f>
        <v>0</v>
      </c>
      <c r="P32" s="151">
        <f>+IF(OR($Q32=Parametres!$G$2,$Q32=Parametres!$G$3),K32,E32)</f>
        <v>0.05</v>
      </c>
      <c r="Q32" s="150" t="str">
        <f t="shared" si="2"/>
        <v>1-Mémo</v>
      </c>
      <c r="R32" s="149" t="str">
        <f t="shared" si="3"/>
        <v>122</v>
      </c>
      <c r="S32" s="150">
        <f t="shared" si="4"/>
        <v>0</v>
      </c>
      <c r="T32" s="152" t="str">
        <f>+VLOOKUP($L32,Data_Validation!$A:$D,1,0)</f>
        <v>122Z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2189</v>
      </c>
      <c r="B33" s="718" t="s">
        <v>2190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7.0000000000000007E-2</v>
      </c>
      <c r="J33" s="672">
        <v>0</v>
      </c>
      <c r="K33" s="672">
        <v>7.0000000000000007E-2</v>
      </c>
      <c r="L33" s="149" t="str">
        <f t="shared" si="0"/>
        <v>123</v>
      </c>
      <c r="M33" s="150" t="str">
        <f t="shared" si="1"/>
        <v>OCT. NB VENTE NEUF BMW I</v>
      </c>
      <c r="N33" s="151">
        <f>+IF(OR($Q33=Parametres!$G$2,$Q33=Parametres!$G$3),I33,C33)</f>
        <v>7.0000000000000007E-2</v>
      </c>
      <c r="O33" s="151">
        <f>+IF(OR($Q33=Parametres!$G$2,$Q33=Parametres!$G$3),J33,D33)</f>
        <v>0</v>
      </c>
      <c r="P33" s="151">
        <f>+IF(OR($Q33=Parametres!$G$2,$Q33=Parametres!$G$3),K33,E33)</f>
        <v>7.0000000000000007E-2</v>
      </c>
      <c r="Q33" s="150" t="str">
        <f t="shared" si="2"/>
        <v>1-Mémo</v>
      </c>
      <c r="R33" s="149" t="str">
        <f t="shared" si="3"/>
        <v>122</v>
      </c>
      <c r="S33" s="150">
        <f t="shared" si="4"/>
        <v>0</v>
      </c>
      <c r="T33" s="152" t="str">
        <f>+VLOOKUP($L33,Data_Validation!$A:$D,1,0)</f>
        <v>123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2216</v>
      </c>
      <c r="B34" s="718" t="s">
        <v>2217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</v>
      </c>
      <c r="J34" s="672">
        <v>0.05</v>
      </c>
      <c r="K34" s="672">
        <v>0.05</v>
      </c>
      <c r="L34" s="149" t="str">
        <f t="shared" si="0"/>
        <v>123A</v>
      </c>
      <c r="M34" s="150" t="str">
        <f t="shared" si="1"/>
        <v>NOV. NB VENTE NEUF BMW I</v>
      </c>
      <c r="N34" s="151">
        <f>+IF(OR($Q34=Parametres!$G$2,$Q34=Parametres!$G$3),I34,C34)</f>
        <v>0</v>
      </c>
      <c r="O34" s="151">
        <f>+IF(OR($Q34=Parametres!$G$2,$Q34=Parametres!$G$3),J34,D34)</f>
        <v>0.05</v>
      </c>
      <c r="P34" s="151">
        <f>+IF(OR($Q34=Parametres!$G$2,$Q34=Parametres!$G$3),K34,E34)</f>
        <v>0.05</v>
      </c>
      <c r="Q34" s="150" t="str">
        <f t="shared" si="2"/>
        <v>1-Mémo</v>
      </c>
      <c r="R34" s="149" t="str">
        <f t="shared" si="3"/>
        <v>122</v>
      </c>
      <c r="S34" s="150">
        <f t="shared" si="4"/>
        <v>0</v>
      </c>
      <c r="T34" s="152" t="str">
        <f>+VLOOKUP($L34,Data_Validation!$A:$D,1,0)</f>
        <v>123A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1259</v>
      </c>
      <c r="B35" s="718" t="s">
        <v>509</v>
      </c>
      <c r="C35" s="720"/>
      <c r="D35" s="720"/>
      <c r="E35" s="720"/>
      <c r="F35" s="718" t="s">
        <v>1</v>
      </c>
      <c r="G35" s="718" t="s">
        <v>2450</v>
      </c>
      <c r="H35" s="666"/>
      <c r="I35" s="665">
        <v>0.12</v>
      </c>
      <c r="J35" s="665">
        <v>0</v>
      </c>
      <c r="K35" s="665">
        <v>0.12</v>
      </c>
      <c r="L35" s="149" t="str">
        <f t="shared" si="0"/>
        <v>124A</v>
      </c>
      <c r="M35" s="150" t="str">
        <f t="shared" si="1"/>
        <v>JANV. NB VENTE USAGE DETAIL</v>
      </c>
      <c r="N35" s="151">
        <f>+IF(OR($Q35=Parametres!$G$2,$Q35=Parametres!$G$3),I35,C35)</f>
        <v>0.12</v>
      </c>
      <c r="O35" s="151">
        <f>+IF(OR($Q35=Parametres!$G$2,$Q35=Parametres!$G$3),J35,D35)</f>
        <v>0</v>
      </c>
      <c r="P35" s="151">
        <f>+IF(OR($Q35=Parametres!$G$2,$Q35=Parametres!$G$3),K35,E35)</f>
        <v>0.12</v>
      </c>
      <c r="Q35" s="150" t="str">
        <f t="shared" si="2"/>
        <v>1-Mémo</v>
      </c>
      <c r="R35" s="149" t="str">
        <f t="shared" si="3"/>
        <v>124</v>
      </c>
      <c r="S35" s="150">
        <f t="shared" si="4"/>
        <v>0</v>
      </c>
      <c r="T35" s="152" t="str">
        <f>+VLOOKUP($L35,Data_Validation!$A:$D,1,0)</f>
        <v>124A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1260</v>
      </c>
      <c r="B36" s="718" t="s">
        <v>510</v>
      </c>
      <c r="C36" s="720"/>
      <c r="D36" s="720"/>
      <c r="E36" s="720"/>
      <c r="F36" s="718" t="s">
        <v>1</v>
      </c>
      <c r="G36" s="718" t="s">
        <v>2450</v>
      </c>
      <c r="H36" s="673"/>
      <c r="I36" s="672">
        <v>0.13</v>
      </c>
      <c r="J36" s="672">
        <v>0</v>
      </c>
      <c r="K36" s="672">
        <v>0.13</v>
      </c>
      <c r="L36" s="149" t="str">
        <f t="shared" si="0"/>
        <v>124B</v>
      </c>
      <c r="M36" s="150" t="str">
        <f t="shared" si="1"/>
        <v>FEV. NB VENTE USAGE DETAIL</v>
      </c>
      <c r="N36" s="151">
        <f>+IF(OR($Q36=Parametres!$G$2,$Q36=Parametres!$G$3),I36,C36)</f>
        <v>0.13</v>
      </c>
      <c r="O36" s="151">
        <f>+IF(OR($Q36=Parametres!$G$2,$Q36=Parametres!$G$3),J36,D36)</f>
        <v>0</v>
      </c>
      <c r="P36" s="151">
        <f>+IF(OR($Q36=Parametres!$G$2,$Q36=Parametres!$G$3),K36,E36)</f>
        <v>0.13</v>
      </c>
      <c r="Q36" s="150" t="str">
        <f t="shared" si="2"/>
        <v>1-Mémo</v>
      </c>
      <c r="R36" s="149" t="str">
        <f t="shared" si="3"/>
        <v>124</v>
      </c>
      <c r="S36" s="150">
        <f t="shared" si="4"/>
        <v>0</v>
      </c>
      <c r="T36" s="152" t="str">
        <f>+VLOOKUP($L36,Data_Validation!$A:$D,1,0)</f>
        <v>124B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1261</v>
      </c>
      <c r="B37" s="718" t="s">
        <v>511</v>
      </c>
      <c r="C37" s="720"/>
      <c r="D37" s="720"/>
      <c r="E37" s="720"/>
      <c r="F37" s="718" t="s">
        <v>1</v>
      </c>
      <c r="G37" s="718" t="s">
        <v>2450</v>
      </c>
      <c r="H37" s="666"/>
      <c r="I37" s="665">
        <v>0.14000000000000001</v>
      </c>
      <c r="J37" s="665">
        <v>0</v>
      </c>
      <c r="K37" s="665">
        <v>0.14000000000000001</v>
      </c>
      <c r="L37" s="149" t="str">
        <f t="shared" si="0"/>
        <v>124C</v>
      </c>
      <c r="M37" s="150" t="str">
        <f t="shared" si="1"/>
        <v>MARS NB VENTE USAGE DETAIL</v>
      </c>
      <c r="N37" s="151">
        <f>+IF(OR($Q37=Parametres!$G$2,$Q37=Parametres!$G$3),I37,C37)</f>
        <v>0.14000000000000001</v>
      </c>
      <c r="O37" s="151">
        <f>+IF(OR($Q37=Parametres!$G$2,$Q37=Parametres!$G$3),J37,D37)</f>
        <v>0</v>
      </c>
      <c r="P37" s="151">
        <f>+IF(OR($Q37=Parametres!$G$2,$Q37=Parametres!$G$3),K37,E37)</f>
        <v>0.14000000000000001</v>
      </c>
      <c r="Q37" s="150" t="str">
        <f t="shared" si="2"/>
        <v>1-Mémo</v>
      </c>
      <c r="R37" s="149" t="str">
        <f t="shared" si="3"/>
        <v>124</v>
      </c>
      <c r="S37" s="150">
        <f t="shared" si="4"/>
        <v>0</v>
      </c>
      <c r="T37" s="152" t="str">
        <f>+VLOOKUP($L37,Data_Validation!$A:$D,1,0)</f>
        <v>124C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1262</v>
      </c>
      <c r="B38" s="718" t="s">
        <v>512</v>
      </c>
      <c r="C38" s="720"/>
      <c r="D38" s="720"/>
      <c r="E38" s="720"/>
      <c r="F38" s="718" t="s">
        <v>1</v>
      </c>
      <c r="G38" s="718" t="s">
        <v>2450</v>
      </c>
      <c r="H38" s="719"/>
      <c r="I38" s="719">
        <v>0.28000000000000003</v>
      </c>
      <c r="J38" s="719">
        <v>0</v>
      </c>
      <c r="K38" s="719">
        <v>0.28000000000000003</v>
      </c>
      <c r="L38" s="149" t="str">
        <f t="shared" si="0"/>
        <v>124D</v>
      </c>
      <c r="M38" s="150" t="str">
        <f t="shared" si="1"/>
        <v>AVRIL NB VENTE USAGE DETAIL</v>
      </c>
      <c r="N38" s="151">
        <f>+IF(OR($Q38=Parametres!$G$2,$Q38=Parametres!$G$3),I38,C38)</f>
        <v>0.28000000000000003</v>
      </c>
      <c r="O38" s="151">
        <f>+IF(OR($Q38=Parametres!$G$2,$Q38=Parametres!$G$3),J38,D38)</f>
        <v>0</v>
      </c>
      <c r="P38" s="151">
        <f>+IF(OR($Q38=Parametres!$G$2,$Q38=Parametres!$G$3),K38,E38)</f>
        <v>0.28000000000000003</v>
      </c>
      <c r="Q38" s="150" t="str">
        <f t="shared" si="2"/>
        <v>1-Mémo</v>
      </c>
      <c r="R38" s="149" t="str">
        <f t="shared" si="3"/>
        <v>124</v>
      </c>
      <c r="S38" s="150">
        <f t="shared" si="4"/>
        <v>0</v>
      </c>
      <c r="T38" s="152" t="str">
        <f>+VLOOKUP($L38,Data_Validation!$A:$D,1,0)</f>
        <v>124D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1263</v>
      </c>
      <c r="B39" s="718" t="s">
        <v>513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0.24</v>
      </c>
      <c r="J39" s="672">
        <v>0</v>
      </c>
      <c r="K39" s="672">
        <v>0.24</v>
      </c>
      <c r="L39" s="149" t="str">
        <f t="shared" si="0"/>
        <v>124E</v>
      </c>
      <c r="M39" s="150" t="str">
        <f t="shared" si="1"/>
        <v>MAI NB VENTE USAGE DETAIL</v>
      </c>
      <c r="N39" s="151">
        <f>+IF(OR($Q39=Parametres!$G$2,$Q39=Parametres!$G$3),I39,C39)</f>
        <v>0.24</v>
      </c>
      <c r="O39" s="504">
        <f>+IF(OR($Q39=Parametres!$G$2,$Q39=Parametres!$G$3),J39,D39)</f>
        <v>0</v>
      </c>
      <c r="P39" s="151">
        <f>+IF(OR($Q39=Parametres!$G$2,$Q39=Parametres!$G$3),K39,E39)</f>
        <v>0.24</v>
      </c>
      <c r="Q39" s="150" t="str">
        <f t="shared" si="2"/>
        <v>1-Mémo</v>
      </c>
      <c r="R39" s="149" t="str">
        <f t="shared" si="3"/>
        <v>124</v>
      </c>
      <c r="S39" s="150">
        <f t="shared" si="4"/>
        <v>0</v>
      </c>
      <c r="T39" s="152" t="str">
        <f>+VLOOKUP($L39,Data_Validation!$A:$D,1,0)</f>
        <v>124E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1264</v>
      </c>
      <c r="B40" s="718" t="s">
        <v>514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0.19</v>
      </c>
      <c r="J40" s="673">
        <v>0</v>
      </c>
      <c r="K40" s="673">
        <v>0.19</v>
      </c>
      <c r="L40" s="149" t="str">
        <f t="shared" si="0"/>
        <v>124F</v>
      </c>
      <c r="M40" s="150" t="str">
        <f t="shared" si="1"/>
        <v>JUIN NB VENTE USAGE DETAIL</v>
      </c>
      <c r="N40" s="151">
        <f>+IF(OR($Q40=Parametres!$G$2,$Q40=Parametres!$G$3),I40,C40)</f>
        <v>0.19</v>
      </c>
      <c r="O40" s="504">
        <f>+IF(OR($Q40=Parametres!$G$2,$Q40=Parametres!$G$3),J40,D40)</f>
        <v>0</v>
      </c>
      <c r="P40" s="151">
        <f>+IF(OR($Q40=Parametres!$G$2,$Q40=Parametres!$G$3),K40,E40)</f>
        <v>0.19</v>
      </c>
      <c r="Q40" s="150" t="str">
        <f t="shared" si="2"/>
        <v>1-Mémo</v>
      </c>
      <c r="R40" s="149" t="str">
        <f t="shared" si="3"/>
        <v>124</v>
      </c>
      <c r="S40" s="150">
        <f t="shared" si="4"/>
        <v>0</v>
      </c>
      <c r="T40" s="152" t="str">
        <f>+VLOOKUP($L40,Data_Validation!$A:$D,1,0)</f>
        <v>124F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1265</v>
      </c>
      <c r="B41" s="718" t="s">
        <v>515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0.18</v>
      </c>
      <c r="J41" s="665">
        <v>0</v>
      </c>
      <c r="K41" s="665">
        <v>0.18</v>
      </c>
      <c r="L41" s="149" t="str">
        <f t="shared" si="0"/>
        <v>124G</v>
      </c>
      <c r="M41" s="150" t="str">
        <f t="shared" si="1"/>
        <v>JUIL. NB VENTE UDAGE DETAIL</v>
      </c>
      <c r="N41" s="151">
        <f>+IF(OR($Q41=Parametres!$G$2,$Q41=Parametres!$G$3),I41,C41)</f>
        <v>0.18</v>
      </c>
      <c r="O41" s="504">
        <f>+IF(OR($Q41=Parametres!$G$2,$Q41=Parametres!$G$3),J41,D41)</f>
        <v>0</v>
      </c>
      <c r="P41" s="151">
        <f>+IF(OR($Q41=Parametres!$G$2,$Q41=Parametres!$G$3),K41,E41)</f>
        <v>0.18</v>
      </c>
      <c r="Q41" s="150" t="str">
        <f t="shared" si="2"/>
        <v>1-Mémo</v>
      </c>
      <c r="R41" s="149" t="str">
        <f t="shared" si="3"/>
        <v>124</v>
      </c>
      <c r="S41" s="150">
        <f t="shared" si="4"/>
        <v>0</v>
      </c>
      <c r="T41" s="152" t="str">
        <f>+VLOOKUP($L41,Data_Validation!$A:$D,1,0)</f>
        <v>124G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1266</v>
      </c>
      <c r="B42" s="718" t="s">
        <v>516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0.19</v>
      </c>
      <c r="J42" s="153">
        <v>0</v>
      </c>
      <c r="K42" s="153">
        <v>0.19</v>
      </c>
      <c r="L42" s="149" t="str">
        <f t="shared" si="0"/>
        <v>124H</v>
      </c>
      <c r="M42" s="150" t="str">
        <f t="shared" si="1"/>
        <v>AOUT NB VENTE USAGE DETAIL</v>
      </c>
      <c r="N42" s="151">
        <f>+IF(OR($Q42=Parametres!$G$2,$Q42=Parametres!$G$3),I42,C42)</f>
        <v>0.19</v>
      </c>
      <c r="O42" s="151">
        <f>+IF(OR($Q42=Parametres!$G$2,$Q42=Parametres!$G$3),J42,D42)</f>
        <v>0</v>
      </c>
      <c r="P42" s="151">
        <f>+IF(OR($Q42=Parametres!$G$2,$Q42=Parametres!$G$3),K42,E42)</f>
        <v>0.19</v>
      </c>
      <c r="Q42" s="150" t="str">
        <f t="shared" si="2"/>
        <v>1-Mémo</v>
      </c>
      <c r="R42" s="149" t="str">
        <f t="shared" si="3"/>
        <v>124</v>
      </c>
      <c r="S42" s="150">
        <f t="shared" si="4"/>
        <v>0</v>
      </c>
      <c r="T42" s="152" t="str">
        <f>+VLOOKUP($L42,Data_Validation!$A:$D,1,0)</f>
        <v>124H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1267</v>
      </c>
      <c r="B43" s="718" t="s">
        <v>517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0.17</v>
      </c>
      <c r="J43" s="673">
        <v>0</v>
      </c>
      <c r="K43" s="673">
        <v>0.17</v>
      </c>
      <c r="L43" s="149" t="str">
        <f t="shared" si="0"/>
        <v>124Z</v>
      </c>
      <c r="M43" s="150" t="str">
        <f t="shared" si="1"/>
        <v>SEPT. NB VENTE USAGE DETAIL</v>
      </c>
      <c r="N43" s="151">
        <f>+IF(OR($Q43=Parametres!$G$2,$Q43=Parametres!$G$3),I43,C43)</f>
        <v>0.17</v>
      </c>
      <c r="O43" s="151">
        <f>+IF(OR($Q43=Parametres!$G$2,$Q43=Parametres!$G$3),J43,D43)</f>
        <v>0</v>
      </c>
      <c r="P43" s="151">
        <f>+IF(OR($Q43=Parametres!$G$2,$Q43=Parametres!$G$3),K43,E43)</f>
        <v>0.17</v>
      </c>
      <c r="Q43" s="150" t="str">
        <f t="shared" si="2"/>
        <v>1-Mémo</v>
      </c>
      <c r="R43" s="149" t="str">
        <f t="shared" si="3"/>
        <v>124</v>
      </c>
      <c r="S43" s="150">
        <f t="shared" si="4"/>
        <v>0</v>
      </c>
      <c r="T43" s="152" t="str">
        <f>+VLOOKUP($L43,Data_Validation!$A:$D,1,0)</f>
        <v>124Z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1268</v>
      </c>
      <c r="B44" s="718" t="s">
        <v>518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0.14000000000000001</v>
      </c>
      <c r="J44" s="673">
        <v>0</v>
      </c>
      <c r="K44" s="673">
        <v>0.14000000000000001</v>
      </c>
      <c r="L44" s="149" t="str">
        <f t="shared" si="0"/>
        <v>125</v>
      </c>
      <c r="M44" s="150" t="str">
        <f t="shared" si="1"/>
        <v>OCT. NB VENTE USAGE DETAIL</v>
      </c>
      <c r="N44" s="151">
        <f>+IF(OR($Q44=Parametres!$G$2,$Q44=Parametres!$G$3),I44,C44)</f>
        <v>0.14000000000000001</v>
      </c>
      <c r="O44" s="504">
        <f>+IF(OR($Q44=Parametres!$G$2,$Q44=Parametres!$G$3),J44,D44)</f>
        <v>0</v>
      </c>
      <c r="P44" s="151">
        <f>+IF(OR($Q44=Parametres!$G$2,$Q44=Parametres!$G$3),K44,E44)</f>
        <v>0.14000000000000001</v>
      </c>
      <c r="Q44" s="150" t="str">
        <f t="shared" si="2"/>
        <v>1-Mémo</v>
      </c>
      <c r="R44" s="149" t="str">
        <f t="shared" si="3"/>
        <v>124</v>
      </c>
      <c r="S44" s="150">
        <f t="shared" si="4"/>
        <v>0</v>
      </c>
      <c r="T44" s="152" t="str">
        <f>+VLOOKUP($L44,Data_Validation!$A:$D,1,0)</f>
        <v>125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1269</v>
      </c>
      <c r="B45" s="718" t="s">
        <v>519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</v>
      </c>
      <c r="J45" s="672">
        <v>7.0000000000000007E-2</v>
      </c>
      <c r="K45" s="672">
        <v>7.0000000000000007E-2</v>
      </c>
      <c r="L45" s="149" t="str">
        <f t="shared" si="0"/>
        <v>125A</v>
      </c>
      <c r="M45" s="150" t="str">
        <f t="shared" si="1"/>
        <v>NOV. NB VENTE USAGE DETAIL</v>
      </c>
      <c r="N45" s="151">
        <f>+IF(OR($Q45=Parametres!$G$2,$Q45=Parametres!$G$3),I45,C45)</f>
        <v>0</v>
      </c>
      <c r="O45" s="151">
        <f>+IF(OR($Q45=Parametres!$G$2,$Q45=Parametres!$G$3),J45,D45)</f>
        <v>7.0000000000000007E-2</v>
      </c>
      <c r="P45" s="151">
        <f>+IF(OR($Q45=Parametres!$G$2,$Q45=Parametres!$G$3),K45,E45)</f>
        <v>7.0000000000000007E-2</v>
      </c>
      <c r="Q45" s="150" t="str">
        <f t="shared" si="2"/>
        <v>1-Mémo</v>
      </c>
      <c r="R45" s="149" t="str">
        <f t="shared" si="3"/>
        <v>124</v>
      </c>
      <c r="S45" s="150">
        <f t="shared" si="4"/>
        <v>0</v>
      </c>
      <c r="T45" s="152" t="str">
        <f>+VLOOKUP($L45,Data_Validation!$A:$D,1,0)</f>
        <v>125A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1270</v>
      </c>
      <c r="B46" s="718" t="s">
        <v>520</v>
      </c>
      <c r="C46" s="720"/>
      <c r="D46" s="720"/>
      <c r="E46" s="720"/>
      <c r="F46" s="718" t="s">
        <v>1</v>
      </c>
      <c r="G46" s="718" t="s">
        <v>2451</v>
      </c>
      <c r="H46" s="673"/>
      <c r="I46" s="672">
        <v>0.04</v>
      </c>
      <c r="J46" s="672">
        <v>0</v>
      </c>
      <c r="K46" s="672">
        <v>0.04</v>
      </c>
      <c r="L46" s="149" t="str">
        <f t="shared" si="0"/>
        <v>126A</v>
      </c>
      <c r="M46" s="150" t="str">
        <f t="shared" si="1"/>
        <v>JANV. NB VENTE NEUF BMW CAMION</v>
      </c>
      <c r="N46" s="151">
        <f>+IF(OR($Q46=Parametres!$G$2,$Q46=Parametres!$G$3),I46,C46)</f>
        <v>0.04</v>
      </c>
      <c r="O46" s="151">
        <f>+IF(OR($Q46=Parametres!$G$2,$Q46=Parametres!$G$3),J46,D46)</f>
        <v>0</v>
      </c>
      <c r="P46" s="151">
        <f>+IF(OR($Q46=Parametres!$G$2,$Q46=Parametres!$G$3),K46,E46)</f>
        <v>0.04</v>
      </c>
      <c r="Q46" s="150" t="str">
        <f t="shared" si="2"/>
        <v>1-Mémo</v>
      </c>
      <c r="R46" s="149" t="str">
        <f t="shared" si="3"/>
        <v>126</v>
      </c>
      <c r="S46" s="150">
        <f t="shared" si="4"/>
        <v>0</v>
      </c>
      <c r="T46" s="152" t="str">
        <f>+VLOOKUP($L46,Data_Validation!$A:$D,1,0)</f>
        <v>126A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1271</v>
      </c>
      <c r="B47" s="718" t="s">
        <v>521</v>
      </c>
      <c r="C47" s="720"/>
      <c r="D47" s="720"/>
      <c r="E47" s="720"/>
      <c r="F47" s="718" t="s">
        <v>1</v>
      </c>
      <c r="G47" s="718" t="s">
        <v>2451</v>
      </c>
      <c r="H47" s="673"/>
      <c r="I47" s="673">
        <v>0.04</v>
      </c>
      <c r="J47" s="673">
        <v>0</v>
      </c>
      <c r="K47" s="673">
        <v>0.04</v>
      </c>
      <c r="L47" s="149" t="str">
        <f t="shared" si="0"/>
        <v>126B</v>
      </c>
      <c r="M47" s="150" t="str">
        <f t="shared" si="1"/>
        <v>FEV. NB VENTE NEUF BMW CAMION</v>
      </c>
      <c r="N47" s="151">
        <f>+IF(OR($Q47=Parametres!$G$2,$Q47=Parametres!$G$3),I47,C47)</f>
        <v>0.04</v>
      </c>
      <c r="O47" s="151">
        <f>+IF(OR($Q47=Parametres!$G$2,$Q47=Parametres!$G$3),J47,D47)</f>
        <v>0</v>
      </c>
      <c r="P47" s="151">
        <f>+IF(OR($Q47=Parametres!$G$2,$Q47=Parametres!$G$3),K47,E47)</f>
        <v>0.04</v>
      </c>
      <c r="Q47" s="150" t="str">
        <f t="shared" si="2"/>
        <v>1-Mémo</v>
      </c>
      <c r="R47" s="149" t="str">
        <f t="shared" si="3"/>
        <v>126</v>
      </c>
      <c r="S47" s="150">
        <f t="shared" si="4"/>
        <v>0</v>
      </c>
      <c r="T47" s="152" t="str">
        <f>+VLOOKUP($L47,Data_Validation!$A:$D,1,0)</f>
        <v>126B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1272</v>
      </c>
      <c r="B48" s="718" t="s">
        <v>522</v>
      </c>
      <c r="C48" s="719"/>
      <c r="D48" s="719"/>
      <c r="E48" s="719"/>
      <c r="F48" s="718" t="s">
        <v>1</v>
      </c>
      <c r="G48" s="718" t="s">
        <v>2451</v>
      </c>
      <c r="H48" s="719"/>
      <c r="I48" s="720">
        <v>0.15</v>
      </c>
      <c r="J48" s="720">
        <v>0</v>
      </c>
      <c r="K48" s="720">
        <v>0.15</v>
      </c>
      <c r="L48" s="149" t="str">
        <f t="shared" si="0"/>
        <v>126C</v>
      </c>
      <c r="M48" s="150" t="str">
        <f t="shared" si="1"/>
        <v>MARS NB VENTE NEUF BMW CAMION</v>
      </c>
      <c r="N48" s="151">
        <f>+IF(OR($Q48=Parametres!$G$2,$Q48=Parametres!$G$3),I48,C48)</f>
        <v>0.15</v>
      </c>
      <c r="O48" s="505">
        <f>+IF(OR($Q48=Parametres!$G$2,$Q48=Parametres!$G$3),J48,D48)</f>
        <v>0</v>
      </c>
      <c r="P48" s="151">
        <f>+IF(OR($Q48=Parametres!$G$2,$Q48=Parametres!$G$3),K48,E48)</f>
        <v>0.15</v>
      </c>
      <c r="Q48" s="150" t="str">
        <f t="shared" si="2"/>
        <v>1-Mémo</v>
      </c>
      <c r="R48" s="149" t="str">
        <f t="shared" si="3"/>
        <v>126</v>
      </c>
      <c r="S48" s="150">
        <f t="shared" si="4"/>
        <v>0</v>
      </c>
      <c r="T48" s="152" t="str">
        <f>+VLOOKUP($L48,Data_Validation!$A:$D,1,0)</f>
        <v>126C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1273</v>
      </c>
      <c r="B49" s="718" t="s">
        <v>523</v>
      </c>
      <c r="C49" s="720"/>
      <c r="D49" s="720"/>
      <c r="E49" s="720"/>
      <c r="F49" s="718" t="s">
        <v>1</v>
      </c>
      <c r="G49" s="718" t="s">
        <v>2451</v>
      </c>
      <c r="H49" s="673"/>
      <c r="I49" s="672">
        <v>0.14000000000000001</v>
      </c>
      <c r="J49" s="672">
        <v>0</v>
      </c>
      <c r="K49" s="672">
        <v>0.14000000000000001</v>
      </c>
      <c r="L49" s="149" t="str">
        <f t="shared" si="0"/>
        <v>126D</v>
      </c>
      <c r="M49" s="150" t="str">
        <f t="shared" si="1"/>
        <v>AVRIL NB VENTE NEUF BMW CAMION</v>
      </c>
      <c r="N49" s="151">
        <f>+IF(OR($Q49=Parametres!$G$2,$Q49=Parametres!$G$3),I49,C49)</f>
        <v>0.14000000000000001</v>
      </c>
      <c r="O49" s="151">
        <f>+IF(OR($Q49=Parametres!$G$2,$Q49=Parametres!$G$3),J49,D49)</f>
        <v>0</v>
      </c>
      <c r="P49" s="151">
        <f>+IF(OR($Q49=Parametres!$G$2,$Q49=Parametres!$G$3),K49,E49)</f>
        <v>0.14000000000000001</v>
      </c>
      <c r="Q49" s="150" t="str">
        <f t="shared" si="2"/>
        <v>1-Mémo</v>
      </c>
      <c r="R49" s="149" t="str">
        <f t="shared" si="3"/>
        <v>126</v>
      </c>
      <c r="S49" s="150">
        <f t="shared" si="4"/>
        <v>0</v>
      </c>
      <c r="T49" s="152" t="str">
        <f>+VLOOKUP($L49,Data_Validation!$A:$D,1,0)</f>
        <v>126D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1274</v>
      </c>
      <c r="B50" s="718" t="s">
        <v>524</v>
      </c>
      <c r="C50" s="720"/>
      <c r="D50" s="720"/>
      <c r="E50" s="720"/>
      <c r="F50" s="718" t="s">
        <v>1</v>
      </c>
      <c r="G50" s="718" t="s">
        <v>2451</v>
      </c>
      <c r="H50" s="673"/>
      <c r="I50" s="673">
        <v>0.24</v>
      </c>
      <c r="J50" s="673">
        <v>0</v>
      </c>
      <c r="K50" s="673">
        <v>0.24</v>
      </c>
      <c r="L50" s="149" t="str">
        <f t="shared" si="0"/>
        <v>126E</v>
      </c>
      <c r="M50" s="150" t="str">
        <f t="shared" si="1"/>
        <v>MAI NB VENTE NEUF BMW CAMION</v>
      </c>
      <c r="N50" s="151">
        <f>+IF(OR($Q50=Parametres!$G$2,$Q50=Parametres!$G$3),I50,C50)</f>
        <v>0.24</v>
      </c>
      <c r="O50" s="151">
        <f>+IF(OR($Q50=Parametres!$G$2,$Q50=Parametres!$G$3),J50,D50)</f>
        <v>0</v>
      </c>
      <c r="P50" s="151">
        <f>+IF(OR($Q50=Parametres!$G$2,$Q50=Parametres!$G$3),K50,E50)</f>
        <v>0.24</v>
      </c>
      <c r="Q50" s="150" t="str">
        <f t="shared" si="2"/>
        <v>1-Mémo</v>
      </c>
      <c r="R50" s="149" t="str">
        <f t="shared" si="3"/>
        <v>126</v>
      </c>
      <c r="S50" s="150">
        <f t="shared" si="4"/>
        <v>0</v>
      </c>
      <c r="T50" s="152" t="str">
        <f>+VLOOKUP($L50,Data_Validation!$A:$D,1,0)</f>
        <v>126E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1275</v>
      </c>
      <c r="B51" s="718" t="s">
        <v>525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0.11</v>
      </c>
      <c r="J51" s="672">
        <v>0</v>
      </c>
      <c r="K51" s="672">
        <v>0.11</v>
      </c>
      <c r="L51" s="149" t="str">
        <f t="shared" si="0"/>
        <v>126F</v>
      </c>
      <c r="M51" s="150" t="str">
        <f t="shared" si="1"/>
        <v>JUIN NB VENTE NEUF BMW CAMION</v>
      </c>
      <c r="N51" s="151">
        <f>+IF(OR($Q51=Parametres!$G$2,$Q51=Parametres!$G$3),I51,C51)</f>
        <v>0.11</v>
      </c>
      <c r="O51" s="151">
        <f>+IF(OR($Q51=Parametres!$G$2,$Q51=Parametres!$G$3),J51,D51)</f>
        <v>0</v>
      </c>
      <c r="P51" s="151">
        <f>+IF(OR($Q51=Parametres!$G$2,$Q51=Parametres!$G$3),K51,E51)</f>
        <v>0.11</v>
      </c>
      <c r="Q51" s="150" t="str">
        <f t="shared" si="2"/>
        <v>1-Mémo</v>
      </c>
      <c r="R51" s="149" t="str">
        <f t="shared" si="3"/>
        <v>126</v>
      </c>
      <c r="S51" s="150">
        <f t="shared" si="4"/>
        <v>0</v>
      </c>
      <c r="T51" s="152" t="str">
        <f>+VLOOKUP($L51,Data_Validation!$A:$D,1,0)</f>
        <v>126F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1276</v>
      </c>
      <c r="B52" s="718" t="s">
        <v>526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0.01</v>
      </c>
      <c r="J52" s="720">
        <v>0</v>
      </c>
      <c r="K52" s="720">
        <v>0.01</v>
      </c>
      <c r="L52" s="149" t="str">
        <f t="shared" si="0"/>
        <v>126G</v>
      </c>
      <c r="M52" s="150" t="str">
        <f t="shared" si="1"/>
        <v>JUIL. NB VENTE NEUF BMW CAMION</v>
      </c>
      <c r="N52" s="151">
        <f>+IF(OR($Q52=Parametres!$G$2,$Q52=Parametres!$G$3),I52,C52)</f>
        <v>0.01</v>
      </c>
      <c r="O52" s="151">
        <f>+IF(OR($Q52=Parametres!$G$2,$Q52=Parametres!$G$3),J52,D52)</f>
        <v>0</v>
      </c>
      <c r="P52" s="151">
        <f>+IF(OR($Q52=Parametres!$G$2,$Q52=Parametres!$G$3),K52,E52)</f>
        <v>0.01</v>
      </c>
      <c r="Q52" s="150" t="str">
        <f t="shared" si="2"/>
        <v>1-Mémo</v>
      </c>
      <c r="R52" s="149" t="str">
        <f t="shared" si="3"/>
        <v>126</v>
      </c>
      <c r="S52" s="150">
        <f t="shared" si="4"/>
        <v>0</v>
      </c>
      <c r="T52" s="152" t="str">
        <f>+VLOOKUP($L52,Data_Validation!$A:$D,1,0)</f>
        <v>126G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1277</v>
      </c>
      <c r="B53" s="718" t="s">
        <v>527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0.05</v>
      </c>
      <c r="J53" s="672">
        <v>0</v>
      </c>
      <c r="K53" s="672">
        <v>0.05</v>
      </c>
      <c r="L53" s="149" t="str">
        <f t="shared" si="0"/>
        <v>126H</v>
      </c>
      <c r="M53" s="150" t="str">
        <f t="shared" si="1"/>
        <v>AOUT NB VENTE NEUF BMW CAMION</v>
      </c>
      <c r="N53" s="151">
        <f>+IF(OR($Q53=Parametres!$G$2,$Q53=Parametres!$G$3),I53,C53)</f>
        <v>0.05</v>
      </c>
      <c r="O53" s="151">
        <f>+IF(OR($Q53=Parametres!$G$2,$Q53=Parametres!$G$3),J53,D53)</f>
        <v>0</v>
      </c>
      <c r="P53" s="151">
        <f>+IF(OR($Q53=Parametres!$G$2,$Q53=Parametres!$G$3),K53,E53)</f>
        <v>0.05</v>
      </c>
      <c r="Q53" s="150" t="str">
        <f t="shared" si="2"/>
        <v>1-Mémo</v>
      </c>
      <c r="R53" s="149" t="str">
        <f t="shared" si="3"/>
        <v>126</v>
      </c>
      <c r="S53" s="150">
        <f t="shared" si="4"/>
        <v>0</v>
      </c>
      <c r="T53" s="152" t="str">
        <f>+VLOOKUP($L53,Data_Validation!$A:$D,1,0)</f>
        <v>126H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1278</v>
      </c>
      <c r="B54" s="718" t="s">
        <v>528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0.19</v>
      </c>
      <c r="J54" s="673">
        <v>0</v>
      </c>
      <c r="K54" s="673">
        <v>0.19</v>
      </c>
      <c r="L54" s="149" t="str">
        <f t="shared" si="0"/>
        <v>126Z</v>
      </c>
      <c r="M54" s="150" t="str">
        <f t="shared" si="1"/>
        <v>SEPT. NB VENTE NEUF BMW CAMION</v>
      </c>
      <c r="N54" s="151">
        <f>+IF(OR($Q54=Parametres!$G$2,$Q54=Parametres!$G$3),I54,C54)</f>
        <v>0.19</v>
      </c>
      <c r="O54" s="151">
        <f>+IF(OR($Q54=Parametres!$G$2,$Q54=Parametres!$G$3),J54,D54)</f>
        <v>0</v>
      </c>
      <c r="P54" s="151">
        <f>+IF(OR($Q54=Parametres!$G$2,$Q54=Parametres!$G$3),K54,E54)</f>
        <v>0.19</v>
      </c>
      <c r="Q54" s="150" t="str">
        <f t="shared" si="2"/>
        <v>1-Mémo</v>
      </c>
      <c r="R54" s="149" t="str">
        <f t="shared" si="3"/>
        <v>126</v>
      </c>
      <c r="S54" s="150">
        <f t="shared" si="4"/>
        <v>0</v>
      </c>
      <c r="T54" s="152" t="str">
        <f>+VLOOKUP($L54,Data_Validation!$A:$D,1,0)</f>
        <v>126Z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1279</v>
      </c>
      <c r="B55" s="718" t="s">
        <v>529</v>
      </c>
      <c r="C55" s="720"/>
      <c r="D55" s="720"/>
      <c r="E55" s="720"/>
      <c r="F55" s="718" t="s">
        <v>1</v>
      </c>
      <c r="G55" s="718" t="s">
        <v>2452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127A</v>
      </c>
      <c r="M55" s="150" t="str">
        <f t="shared" si="1"/>
        <v>JANV. NB VENTE USAGE GROS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2"/>
        <v>1-Mémo</v>
      </c>
      <c r="R55" s="149" t="str">
        <f t="shared" si="3"/>
        <v>127</v>
      </c>
      <c r="S55" s="150">
        <f t="shared" si="4"/>
        <v>0</v>
      </c>
      <c r="T55" s="152" t="str">
        <f>+VLOOKUP($L55,Data_Validation!$A:$D,1,0)</f>
        <v>127A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1280</v>
      </c>
      <c r="B56" s="718" t="s">
        <v>530</v>
      </c>
      <c r="C56" s="720"/>
      <c r="D56" s="720"/>
      <c r="E56" s="720"/>
      <c r="F56" s="718" t="s">
        <v>1</v>
      </c>
      <c r="G56" s="718" t="s">
        <v>2452</v>
      </c>
      <c r="H56" s="673"/>
      <c r="I56" s="672">
        <v>0.13</v>
      </c>
      <c r="J56" s="672">
        <v>0</v>
      </c>
      <c r="K56" s="672">
        <v>0.13</v>
      </c>
      <c r="L56" s="149" t="str">
        <f t="shared" si="0"/>
        <v>127B</v>
      </c>
      <c r="M56" s="150" t="str">
        <f t="shared" si="1"/>
        <v>FEV. NB VENTE USAGE GROS</v>
      </c>
      <c r="N56" s="151">
        <f>+IF(OR($Q56=Parametres!$G$2,$Q56=Parametres!$G$3),I56,C56)</f>
        <v>0.13</v>
      </c>
      <c r="O56" s="151">
        <f>+IF(OR($Q56=Parametres!$G$2,$Q56=Parametres!$G$3),J56,D56)</f>
        <v>0</v>
      </c>
      <c r="P56" s="151">
        <f>+IF(OR($Q56=Parametres!$G$2,$Q56=Parametres!$G$3),K56,E56)</f>
        <v>0.13</v>
      </c>
      <c r="Q56" s="150" t="str">
        <f t="shared" si="2"/>
        <v>1-Mémo</v>
      </c>
      <c r="R56" s="149" t="str">
        <f t="shared" si="3"/>
        <v>127</v>
      </c>
      <c r="S56" s="150">
        <f t="shared" si="4"/>
        <v>0</v>
      </c>
      <c r="T56" s="152" t="str">
        <f>+VLOOKUP($L56,Data_Validation!$A:$D,1,0)</f>
        <v>127B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1281</v>
      </c>
      <c r="B57" s="718" t="s">
        <v>531</v>
      </c>
      <c r="C57" s="720"/>
      <c r="D57" s="720"/>
      <c r="E57" s="720"/>
      <c r="F57" s="718" t="s">
        <v>1</v>
      </c>
      <c r="G57" s="718" t="s">
        <v>2452</v>
      </c>
      <c r="H57" s="673"/>
      <c r="I57" s="672">
        <v>0.14000000000000001</v>
      </c>
      <c r="J57" s="672">
        <v>0</v>
      </c>
      <c r="K57" s="672">
        <v>0.14000000000000001</v>
      </c>
      <c r="L57" s="149" t="str">
        <f t="shared" si="0"/>
        <v>127C</v>
      </c>
      <c r="M57" s="150" t="str">
        <f t="shared" si="1"/>
        <v>MARS NB VENTE USAGE GROS</v>
      </c>
      <c r="N57" s="151">
        <f>+IF(OR($Q57=Parametres!$G$2,$Q57=Parametres!$G$3),I57,C57)</f>
        <v>0.14000000000000001</v>
      </c>
      <c r="O57" s="151">
        <f>+IF(OR($Q57=Parametres!$G$2,$Q57=Parametres!$G$3),J57,D57)</f>
        <v>0</v>
      </c>
      <c r="P57" s="151">
        <f>+IF(OR($Q57=Parametres!$G$2,$Q57=Parametres!$G$3),K57,E57)</f>
        <v>0.14000000000000001</v>
      </c>
      <c r="Q57" s="150" t="str">
        <f t="shared" si="2"/>
        <v>1-Mémo</v>
      </c>
      <c r="R57" s="149" t="str">
        <f t="shared" si="3"/>
        <v>127</v>
      </c>
      <c r="S57" s="150">
        <f t="shared" si="4"/>
        <v>0</v>
      </c>
      <c r="T57" s="152" t="str">
        <f>+VLOOKUP($L57,Data_Validation!$A:$D,1,0)</f>
        <v>127C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1282</v>
      </c>
      <c r="B58" s="718" t="s">
        <v>532</v>
      </c>
      <c r="C58" s="720"/>
      <c r="D58" s="720"/>
      <c r="E58" s="720"/>
      <c r="F58" s="718" t="s">
        <v>1</v>
      </c>
      <c r="G58" s="718" t="s">
        <v>2452</v>
      </c>
      <c r="H58" s="607"/>
      <c r="I58" s="608">
        <v>0.16</v>
      </c>
      <c r="J58" s="608">
        <v>0</v>
      </c>
      <c r="K58" s="608">
        <v>0.16</v>
      </c>
      <c r="L58" s="149" t="str">
        <f t="shared" si="0"/>
        <v>127D</v>
      </c>
      <c r="M58" s="150" t="str">
        <f t="shared" si="1"/>
        <v>AVRIL NB VENTE USAGE GROS</v>
      </c>
      <c r="N58" s="151">
        <f>+IF(OR($Q58=Parametres!$G$2,$Q58=Parametres!$G$3),I58,C58)</f>
        <v>0.16</v>
      </c>
      <c r="O58" s="151">
        <f>+IF(OR($Q58=Parametres!$G$2,$Q58=Parametres!$G$3),J58,D58)</f>
        <v>0</v>
      </c>
      <c r="P58" s="151">
        <f>+IF(OR($Q58=Parametres!$G$2,$Q58=Parametres!$G$3),K58,E58)</f>
        <v>0.16</v>
      </c>
      <c r="Q58" s="150" t="str">
        <f t="shared" si="2"/>
        <v>1-Mémo</v>
      </c>
      <c r="R58" s="149" t="str">
        <f t="shared" si="3"/>
        <v>127</v>
      </c>
      <c r="S58" s="150">
        <f t="shared" si="4"/>
        <v>0</v>
      </c>
      <c r="T58" s="152" t="str">
        <f>+VLOOKUP($L58,Data_Validation!$A:$D,1,0)</f>
        <v>127D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1283</v>
      </c>
      <c r="B59" s="718" t="s">
        <v>533</v>
      </c>
      <c r="C59" s="720"/>
      <c r="D59" s="720"/>
      <c r="E59" s="720"/>
      <c r="F59" s="718" t="s">
        <v>1</v>
      </c>
      <c r="G59" s="718" t="s">
        <v>2452</v>
      </c>
      <c r="H59" s="673"/>
      <c r="I59" s="672">
        <v>0.21</v>
      </c>
      <c r="J59" s="672">
        <v>0</v>
      </c>
      <c r="K59" s="672">
        <v>0.21</v>
      </c>
      <c r="L59" s="149" t="str">
        <f t="shared" si="0"/>
        <v>127E</v>
      </c>
      <c r="M59" s="150" t="str">
        <f t="shared" si="1"/>
        <v>MAI NB VENTE USAGE GROS</v>
      </c>
      <c r="N59" s="151">
        <f>+IF(OR($Q59=Parametres!$G$2,$Q59=Parametres!$G$3),I59,C59)</f>
        <v>0.21</v>
      </c>
      <c r="O59" s="151">
        <f>+IF(OR($Q59=Parametres!$G$2,$Q59=Parametres!$G$3),J59,D59)</f>
        <v>0</v>
      </c>
      <c r="P59" s="151">
        <f>+IF(OR($Q59=Parametres!$G$2,$Q59=Parametres!$G$3),K59,E59)</f>
        <v>0.21</v>
      </c>
      <c r="Q59" s="150" t="str">
        <f t="shared" si="2"/>
        <v>1-Mémo</v>
      </c>
      <c r="R59" s="149" t="str">
        <f t="shared" si="3"/>
        <v>127</v>
      </c>
      <c r="S59" s="150">
        <f t="shared" si="4"/>
        <v>0</v>
      </c>
      <c r="T59" s="152" t="str">
        <f>+VLOOKUP($L59,Data_Validation!$A:$D,1,0)</f>
        <v>127E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1284</v>
      </c>
      <c r="B60" s="718" t="s">
        <v>534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0.27</v>
      </c>
      <c r="J60" s="673">
        <v>0</v>
      </c>
      <c r="K60" s="673">
        <v>0.27</v>
      </c>
      <c r="L60" s="149" t="str">
        <f t="shared" si="0"/>
        <v>127F</v>
      </c>
      <c r="M60" s="150" t="str">
        <f t="shared" si="1"/>
        <v>JUIN NB VENTE USAGE GROS</v>
      </c>
      <c r="N60" s="151">
        <f>+IF(OR($Q60=Parametres!$G$2,$Q60=Parametres!$G$3),I60,C60)</f>
        <v>0.27</v>
      </c>
      <c r="O60" s="151">
        <f>+IF(OR($Q60=Parametres!$G$2,$Q60=Parametres!$G$3),J60,D60)</f>
        <v>0</v>
      </c>
      <c r="P60" s="151">
        <f>+IF(OR($Q60=Parametres!$G$2,$Q60=Parametres!$G$3),K60,E60)</f>
        <v>0.27</v>
      </c>
      <c r="Q60" s="150" t="str">
        <f t="shared" si="2"/>
        <v>1-Mémo</v>
      </c>
      <c r="R60" s="149" t="str">
        <f t="shared" si="3"/>
        <v>127</v>
      </c>
      <c r="S60" s="150">
        <f t="shared" si="4"/>
        <v>0</v>
      </c>
      <c r="T60" s="152" t="str">
        <f>+VLOOKUP($L60,Data_Validation!$A:$D,1,0)</f>
        <v>127F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1285</v>
      </c>
      <c r="B61" s="718" t="s">
        <v>535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127G</v>
      </c>
      <c r="M61" s="150" t="str">
        <f t="shared" si="1"/>
        <v>JUIL. NB VENTE USAGE GROS</v>
      </c>
      <c r="N61" s="151">
        <f>+IF(OR($Q61=Parametres!$G$2,$Q61=Parametres!$G$3),I61,C61)</f>
        <v>0.2</v>
      </c>
      <c r="O61" s="151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2"/>
        <v>1-Mémo</v>
      </c>
      <c r="R61" s="149" t="str">
        <f t="shared" si="3"/>
        <v>127</v>
      </c>
      <c r="S61" s="150">
        <f t="shared" si="4"/>
        <v>0</v>
      </c>
      <c r="T61" s="152" t="str">
        <f>+VLOOKUP($L61,Data_Validation!$A:$D,1,0)</f>
        <v>127G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1286</v>
      </c>
      <c r="B62" s="718" t="s">
        <v>536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0.17</v>
      </c>
      <c r="J62" s="153">
        <v>0</v>
      </c>
      <c r="K62" s="153">
        <v>0.17</v>
      </c>
      <c r="L62" s="149" t="str">
        <f t="shared" si="0"/>
        <v>127H</v>
      </c>
      <c r="M62" s="150" t="str">
        <f t="shared" si="1"/>
        <v>AOUT NB VENTE USAGE GROS</v>
      </c>
      <c r="N62" s="151">
        <f>+IF(OR($Q62=Parametres!$G$2,$Q62=Parametres!$G$3),I62,C62)</f>
        <v>0.17</v>
      </c>
      <c r="O62" s="151">
        <f>+IF(OR($Q62=Parametres!$G$2,$Q62=Parametres!$G$3),J62,D62)</f>
        <v>0</v>
      </c>
      <c r="P62" s="151">
        <f>+IF(OR($Q62=Parametres!$G$2,$Q62=Parametres!$G$3),K62,E62)</f>
        <v>0.17</v>
      </c>
      <c r="Q62" s="150" t="str">
        <f t="shared" si="2"/>
        <v>1-Mémo</v>
      </c>
      <c r="R62" s="149" t="str">
        <f t="shared" si="3"/>
        <v>127</v>
      </c>
      <c r="S62" s="150">
        <f t="shared" si="4"/>
        <v>0</v>
      </c>
      <c r="T62" s="152" t="str">
        <f>+VLOOKUP($L62,Data_Validation!$A:$D,1,0)</f>
        <v>127H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1287</v>
      </c>
      <c r="B63" s="718" t="s">
        <v>537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0.28999999999999998</v>
      </c>
      <c r="J63" s="672">
        <v>0</v>
      </c>
      <c r="K63" s="672">
        <v>0.28999999999999998</v>
      </c>
      <c r="L63" s="149" t="str">
        <f t="shared" si="0"/>
        <v>127Z</v>
      </c>
      <c r="M63" s="150" t="str">
        <f t="shared" si="1"/>
        <v>SEPT. NB VENTE USAGE GROS</v>
      </c>
      <c r="N63" s="151">
        <f>+IF(OR($Q63=Parametres!$G$2,$Q63=Parametres!$G$3),I63,C63)</f>
        <v>0.28999999999999998</v>
      </c>
      <c r="O63" s="151">
        <f>+IF(OR($Q63=Parametres!$G$2,$Q63=Parametres!$G$3),J63,D63)</f>
        <v>0</v>
      </c>
      <c r="P63" s="151">
        <f>+IF(OR($Q63=Parametres!$G$2,$Q63=Parametres!$G$3),K63,E63)</f>
        <v>0.28999999999999998</v>
      </c>
      <c r="Q63" s="150" t="str">
        <f t="shared" si="2"/>
        <v>1-Mémo</v>
      </c>
      <c r="R63" s="149" t="str">
        <f t="shared" si="3"/>
        <v>127</v>
      </c>
      <c r="S63" s="150">
        <f t="shared" si="4"/>
        <v>0</v>
      </c>
      <c r="T63" s="152" t="str">
        <f>+VLOOKUP($L63,Data_Validation!$A:$D,1,0)</f>
        <v>127Z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1288</v>
      </c>
      <c r="B64" s="718" t="s">
        <v>538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</v>
      </c>
      <c r="J64" s="720">
        <v>0</v>
      </c>
      <c r="K64" s="720">
        <v>0.2</v>
      </c>
      <c r="L64" s="149" t="str">
        <f t="shared" si="0"/>
        <v>128</v>
      </c>
      <c r="M64" s="150" t="str">
        <f t="shared" si="1"/>
        <v>OCT. NB VENTE USAGE GROS</v>
      </c>
      <c r="N64" s="151">
        <f>+IF(OR($Q64=Parametres!$G$2,$Q64=Parametres!$G$3),I64,C64)</f>
        <v>0.2</v>
      </c>
      <c r="O64" s="504">
        <f>+IF(OR($Q64=Parametres!$G$2,$Q64=Parametres!$G$3),J64,D64)</f>
        <v>0</v>
      </c>
      <c r="P64" s="151">
        <f>+IF(OR($Q64=Parametres!$G$2,$Q64=Parametres!$G$3),K64,E64)</f>
        <v>0.2</v>
      </c>
      <c r="Q64" s="150" t="str">
        <f t="shared" si="2"/>
        <v>1-Mémo</v>
      </c>
      <c r="R64" s="149" t="str">
        <f t="shared" si="3"/>
        <v>127</v>
      </c>
      <c r="S64" s="150">
        <f t="shared" si="4"/>
        <v>0</v>
      </c>
      <c r="T64" s="152" t="str">
        <f>+VLOOKUP($L64,Data_Validation!$A:$D,1,0)</f>
        <v>128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1289</v>
      </c>
      <c r="B65" s="718" t="s">
        <v>539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</v>
      </c>
      <c r="J65" s="672">
        <v>0.2</v>
      </c>
      <c r="K65" s="672">
        <v>0.2</v>
      </c>
      <c r="L65" s="149" t="str">
        <f t="shared" si="0"/>
        <v>128A</v>
      </c>
      <c r="M65" s="150" t="str">
        <f t="shared" si="1"/>
        <v>NOV. NB VENTE USAGE GROS</v>
      </c>
      <c r="N65" s="151">
        <f>+IF(OR($Q65=Parametres!$G$2,$Q65=Parametres!$G$3),I65,C65)</f>
        <v>0</v>
      </c>
      <c r="O65" s="151">
        <f>+IF(OR($Q65=Parametres!$G$2,$Q65=Parametres!$G$3),J65,D65)</f>
        <v>0.2</v>
      </c>
      <c r="P65" s="151">
        <f>+IF(OR($Q65=Parametres!$G$2,$Q65=Parametres!$G$3),K65,E65)</f>
        <v>0.2</v>
      </c>
      <c r="Q65" s="150" t="str">
        <f t="shared" si="2"/>
        <v>1-Mémo</v>
      </c>
      <c r="R65" s="149" t="str">
        <f t="shared" si="3"/>
        <v>127</v>
      </c>
      <c r="S65" s="150">
        <f t="shared" si="4"/>
        <v>0</v>
      </c>
      <c r="T65" s="152" t="str">
        <f>+VLOOKUP($L65,Data_Validation!$A:$D,1,0)</f>
        <v>128A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1290</v>
      </c>
      <c r="B66" s="718" t="s">
        <v>540</v>
      </c>
      <c r="C66" s="720"/>
      <c r="D66" s="720"/>
      <c r="E66" s="720"/>
      <c r="F66" s="718" t="s">
        <v>1</v>
      </c>
      <c r="G66" s="718" t="s">
        <v>573</v>
      </c>
      <c r="H66" s="666"/>
      <c r="I66" s="665">
        <v>0.77</v>
      </c>
      <c r="J66" s="665">
        <v>0.06</v>
      </c>
      <c r="K66" s="665">
        <v>0.83</v>
      </c>
      <c r="L66" s="149" t="str">
        <f t="shared" ref="L66:L129" si="5">+B66</f>
        <v>130D</v>
      </c>
      <c r="M66" s="150" t="str">
        <f t="shared" ref="M66:M129" si="6">+A66</f>
        <v>NB INV + 30 JOURS USAGE BMW CAMION</v>
      </c>
      <c r="N66" s="151">
        <f>+IF(OR($Q66=Parametres!$G$2,$Q66=Parametres!$G$3),I66,C66)</f>
        <v>0.77</v>
      </c>
      <c r="O66" s="151">
        <f>+IF(OR($Q66=Parametres!$G$2,$Q66=Parametres!$G$3),J66,D66)</f>
        <v>0.06</v>
      </c>
      <c r="P66" s="151">
        <f>+IF(OR($Q66=Parametres!$G$2,$Q66=Parametres!$G$3),K66,E66)</f>
        <v>0.83</v>
      </c>
      <c r="Q66" s="150" t="str">
        <f t="shared" ref="Q66:Q129" si="7">+F66</f>
        <v>1-Mémo</v>
      </c>
      <c r="R66" s="149" t="str">
        <f t="shared" ref="R66:R129" si="8">+G66</f>
        <v>156</v>
      </c>
      <c r="S66" s="150">
        <f t="shared" ref="S66:S129" si="9">+H66</f>
        <v>0</v>
      </c>
      <c r="T66" s="152" t="str">
        <f>+VLOOKUP($L66,Data_Validation!$A:$D,1,0)</f>
        <v>130D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1291</v>
      </c>
      <c r="B67" s="718" t="s">
        <v>541</v>
      </c>
      <c r="C67" s="720"/>
      <c r="D67" s="720"/>
      <c r="E67" s="720"/>
      <c r="F67" s="718" t="s">
        <v>1</v>
      </c>
      <c r="G67" s="718" t="s">
        <v>573</v>
      </c>
      <c r="H67" s="673"/>
      <c r="I67" s="672">
        <v>0.97</v>
      </c>
      <c r="J67" s="672">
        <v>7.0000000000000007E-2</v>
      </c>
      <c r="K67" s="672">
        <v>1.04</v>
      </c>
      <c r="L67" s="149" t="str">
        <f t="shared" si="5"/>
        <v>130F</v>
      </c>
      <c r="M67" s="150" t="str">
        <f t="shared" si="6"/>
        <v>NB INV + 30 JOURS USAGE AUTRES</v>
      </c>
      <c r="N67" s="151">
        <f>+IF(OR($Q67=Parametres!$G$2,$Q67=Parametres!$G$3),I67,C67)</f>
        <v>0.97</v>
      </c>
      <c r="O67" s="151">
        <f>+IF(OR($Q67=Parametres!$G$2,$Q67=Parametres!$G$3),J67,D67)</f>
        <v>7.0000000000000007E-2</v>
      </c>
      <c r="P67" s="151">
        <f>+IF(OR($Q67=Parametres!$G$2,$Q67=Parametres!$G$3),K67,E67)</f>
        <v>1.04</v>
      </c>
      <c r="Q67" s="150" t="str">
        <f t="shared" si="7"/>
        <v>1-Mémo</v>
      </c>
      <c r="R67" s="149" t="str">
        <f t="shared" si="8"/>
        <v>156</v>
      </c>
      <c r="S67" s="150">
        <f t="shared" si="9"/>
        <v>0</v>
      </c>
      <c r="T67" s="152" t="str">
        <f>+VLOOKUP($L67,Data_Validation!$A:$D,1,0)</f>
        <v>130F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1292</v>
      </c>
      <c r="B68" s="718" t="s">
        <v>542</v>
      </c>
      <c r="C68" s="720"/>
      <c r="D68" s="720"/>
      <c r="E68" s="720"/>
      <c r="F68" s="718" t="s">
        <v>1</v>
      </c>
      <c r="G68" s="718" t="s">
        <v>542</v>
      </c>
      <c r="H68" s="666"/>
      <c r="I68" s="665">
        <v>0.25</v>
      </c>
      <c r="J68" s="665">
        <v>0.01</v>
      </c>
      <c r="K68" s="665">
        <v>0.26</v>
      </c>
      <c r="L68" s="149" t="str">
        <f t="shared" si="5"/>
        <v>132B</v>
      </c>
      <c r="M68" s="150" t="str">
        <f t="shared" si="6"/>
        <v>NB INV USAGE BMW AUTO 31-60 JRS</v>
      </c>
      <c r="N68" s="151">
        <f>+IF(OR($Q68=Parametres!$G$2,$Q68=Parametres!$G$3),I68,C68)</f>
        <v>0.25</v>
      </c>
      <c r="O68" s="151">
        <f>+IF(OR($Q68=Parametres!$G$2,$Q68=Parametres!$G$3),J68,D68)</f>
        <v>0.01</v>
      </c>
      <c r="P68" s="151">
        <f>+IF(OR($Q68=Parametres!$G$2,$Q68=Parametres!$G$3),K68,E68)</f>
        <v>0.26</v>
      </c>
      <c r="Q68" s="150" t="str">
        <f t="shared" si="7"/>
        <v>1-Mémo</v>
      </c>
      <c r="R68" s="149" t="str">
        <f t="shared" si="8"/>
        <v>132B</v>
      </c>
      <c r="S68" s="150">
        <f t="shared" si="9"/>
        <v>0</v>
      </c>
      <c r="T68" s="152" t="str">
        <f>+VLOOKUP($L68,Data_Validation!$A:$D,1,0)</f>
        <v>132B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1293</v>
      </c>
      <c r="B69" s="718" t="s">
        <v>543</v>
      </c>
      <c r="C69" s="720"/>
      <c r="D69" s="720"/>
      <c r="E69" s="720"/>
      <c r="F69" s="718" t="s">
        <v>1</v>
      </c>
      <c r="G69" s="718" t="s">
        <v>542</v>
      </c>
      <c r="H69" s="673"/>
      <c r="I69" s="672">
        <v>0.2</v>
      </c>
      <c r="J69" s="672">
        <v>0.01</v>
      </c>
      <c r="K69" s="672">
        <v>0.21</v>
      </c>
      <c r="L69" s="149" t="str">
        <f t="shared" si="5"/>
        <v>132C</v>
      </c>
      <c r="M69" s="150" t="str">
        <f t="shared" si="6"/>
        <v>NB INV USAGE BMW AUTO 61-90 JRS</v>
      </c>
      <c r="N69" s="151">
        <f>+IF(OR($Q69=Parametres!$G$2,$Q69=Parametres!$G$3),I69,C69)</f>
        <v>0.2</v>
      </c>
      <c r="O69" s="151">
        <f>+IF(OR($Q69=Parametres!$G$2,$Q69=Parametres!$G$3),J69,D69)</f>
        <v>0.01</v>
      </c>
      <c r="P69" s="151">
        <f>+IF(OR($Q69=Parametres!$G$2,$Q69=Parametres!$G$3),K69,E69)</f>
        <v>0.21</v>
      </c>
      <c r="Q69" s="150" t="str">
        <f t="shared" si="7"/>
        <v>1-Mémo</v>
      </c>
      <c r="R69" s="149" t="str">
        <f t="shared" si="8"/>
        <v>132B</v>
      </c>
      <c r="S69" s="150">
        <f t="shared" si="9"/>
        <v>0</v>
      </c>
      <c r="T69" s="152" t="str">
        <f>+VLOOKUP($L69,Data_Validation!$A:$D,1,0)</f>
        <v>132C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1294</v>
      </c>
      <c r="B70" s="718" t="s">
        <v>544</v>
      </c>
      <c r="C70" s="720"/>
      <c r="D70" s="720"/>
      <c r="E70" s="720"/>
      <c r="F70" s="718" t="s">
        <v>1</v>
      </c>
      <c r="G70" s="718" t="s">
        <v>542</v>
      </c>
      <c r="H70" s="666"/>
      <c r="I70" s="665">
        <v>0.15</v>
      </c>
      <c r="J70" s="665">
        <v>0.01</v>
      </c>
      <c r="K70" s="665">
        <v>0.16</v>
      </c>
      <c r="L70" s="149" t="str">
        <f t="shared" si="5"/>
        <v>132D</v>
      </c>
      <c r="M70" s="150" t="str">
        <f t="shared" si="6"/>
        <v>NB INV USAGE BMW AUTO 91-120 JRS</v>
      </c>
      <c r="N70" s="151">
        <f>+IF(OR($Q70=Parametres!$G$2,$Q70=Parametres!$G$3),I70,C70)</f>
        <v>0.15</v>
      </c>
      <c r="O70" s="151">
        <f>+IF(OR($Q70=Parametres!$G$2,$Q70=Parametres!$G$3),J70,D70)</f>
        <v>0.01</v>
      </c>
      <c r="P70" s="151">
        <f>+IF(OR($Q70=Parametres!$G$2,$Q70=Parametres!$G$3),K70,E70)</f>
        <v>0.16</v>
      </c>
      <c r="Q70" s="150" t="str">
        <f t="shared" si="7"/>
        <v>1-Mémo</v>
      </c>
      <c r="R70" s="149" t="str">
        <f t="shared" si="8"/>
        <v>132B</v>
      </c>
      <c r="S70" s="150">
        <f t="shared" si="9"/>
        <v>0</v>
      </c>
      <c r="T70" s="152" t="str">
        <f>+VLOOKUP($L70,Data_Validation!$A:$D,1,0)</f>
        <v>132D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1295</v>
      </c>
      <c r="B71" s="718" t="s">
        <v>545</v>
      </c>
      <c r="C71" s="720"/>
      <c r="D71" s="720"/>
      <c r="E71" s="720"/>
      <c r="F71" s="718" t="s">
        <v>1</v>
      </c>
      <c r="G71" s="718" t="s">
        <v>542</v>
      </c>
      <c r="H71" s="673"/>
      <c r="I71" s="672">
        <v>0.23</v>
      </c>
      <c r="J71" s="672">
        <v>0.02</v>
      </c>
      <c r="K71" s="672">
        <v>0.25</v>
      </c>
      <c r="L71" s="149" t="str">
        <f t="shared" si="5"/>
        <v>132E</v>
      </c>
      <c r="M71" s="150" t="str">
        <f t="shared" si="6"/>
        <v>NB INV USAGE BMW AUTO 120+ JRS</v>
      </c>
      <c r="N71" s="151">
        <f>+IF(OR($Q71=Parametres!$G$2,$Q71=Parametres!$G$3),I71,C71)</f>
        <v>0.23</v>
      </c>
      <c r="O71" s="151">
        <f>+IF(OR($Q71=Parametres!$G$2,$Q71=Parametres!$G$3),J71,D71)</f>
        <v>0.02</v>
      </c>
      <c r="P71" s="151">
        <f>+IF(OR($Q71=Parametres!$G$2,$Q71=Parametres!$G$3),K71,E71)</f>
        <v>0.25</v>
      </c>
      <c r="Q71" s="150" t="str">
        <f t="shared" si="7"/>
        <v>1-Mémo</v>
      </c>
      <c r="R71" s="149" t="str">
        <f t="shared" si="8"/>
        <v>132B</v>
      </c>
      <c r="S71" s="150">
        <f t="shared" si="9"/>
        <v>0</v>
      </c>
      <c r="T71" s="152" t="str">
        <f>+VLOOKUP($L71,Data_Validation!$A:$D,1,0)</f>
        <v>132E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1296</v>
      </c>
      <c r="B72" s="718" t="s">
        <v>546</v>
      </c>
      <c r="C72" s="720"/>
      <c r="D72" s="720"/>
      <c r="E72" s="720"/>
      <c r="F72" s="718" t="s">
        <v>1</v>
      </c>
      <c r="G72" s="718" t="s">
        <v>546</v>
      </c>
      <c r="H72" s="673"/>
      <c r="I72" s="672">
        <v>0.27</v>
      </c>
      <c r="J72" s="672">
        <v>0.04</v>
      </c>
      <c r="K72" s="672">
        <v>0.31</v>
      </c>
      <c r="L72" s="149" t="str">
        <f t="shared" si="5"/>
        <v>133B</v>
      </c>
      <c r="M72" s="150" t="str">
        <f t="shared" si="6"/>
        <v>NB INV USAGE BMW CAMION 31-60 JRS</v>
      </c>
      <c r="N72" s="151">
        <f>+IF(OR($Q72=Parametres!$G$2,$Q72=Parametres!$G$3),I72,C72)</f>
        <v>0.27</v>
      </c>
      <c r="O72" s="151">
        <f>+IF(OR($Q72=Parametres!$G$2,$Q72=Parametres!$G$3),J72,D72)</f>
        <v>0.04</v>
      </c>
      <c r="P72" s="151">
        <f>+IF(OR($Q72=Parametres!$G$2,$Q72=Parametres!$G$3),K72,E72)</f>
        <v>0.31</v>
      </c>
      <c r="Q72" s="150" t="str">
        <f t="shared" si="7"/>
        <v>1-Mémo</v>
      </c>
      <c r="R72" s="149" t="str">
        <f t="shared" si="8"/>
        <v>133B</v>
      </c>
      <c r="S72" s="150">
        <f t="shared" si="9"/>
        <v>0</v>
      </c>
      <c r="T72" s="152" t="str">
        <f>+VLOOKUP($L72,Data_Validation!$A:$D,1,0)</f>
        <v>133B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1297</v>
      </c>
      <c r="B73" s="718" t="s">
        <v>547</v>
      </c>
      <c r="C73" s="720"/>
      <c r="D73" s="720"/>
      <c r="E73" s="720"/>
      <c r="F73" s="718" t="s">
        <v>1</v>
      </c>
      <c r="G73" s="718" t="s">
        <v>546</v>
      </c>
      <c r="H73" s="666"/>
      <c r="I73" s="665">
        <v>0.16</v>
      </c>
      <c r="J73" s="665">
        <v>0.01</v>
      </c>
      <c r="K73" s="665">
        <v>0.17</v>
      </c>
      <c r="L73" s="149" t="str">
        <f t="shared" si="5"/>
        <v>133C</v>
      </c>
      <c r="M73" s="150" t="str">
        <f t="shared" si="6"/>
        <v>NB INV USAGE BMW CAMION 61-90 JRS</v>
      </c>
      <c r="N73" s="151">
        <f>+IF(OR($Q73=Parametres!$G$2,$Q73=Parametres!$G$3),I73,C73)</f>
        <v>0.16</v>
      </c>
      <c r="O73" s="151">
        <f>+IF(OR($Q73=Parametres!$G$2,$Q73=Parametres!$G$3),J73,D73)</f>
        <v>0.01</v>
      </c>
      <c r="P73" s="151">
        <f>+IF(OR($Q73=Parametres!$G$2,$Q73=Parametres!$G$3),K73,E73)</f>
        <v>0.17</v>
      </c>
      <c r="Q73" s="150" t="str">
        <f t="shared" si="7"/>
        <v>1-Mémo</v>
      </c>
      <c r="R73" s="149" t="str">
        <f t="shared" si="8"/>
        <v>133B</v>
      </c>
      <c r="S73" s="150">
        <f t="shared" si="9"/>
        <v>0</v>
      </c>
      <c r="T73" s="152" t="str">
        <f>+VLOOKUP($L73,Data_Validation!$A:$D,1,0)</f>
        <v>133C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1298</v>
      </c>
      <c r="B74" s="718" t="s">
        <v>548</v>
      </c>
      <c r="C74" s="720"/>
      <c r="D74" s="720"/>
      <c r="E74" s="720"/>
      <c r="F74" s="718" t="s">
        <v>1</v>
      </c>
      <c r="G74" s="718" t="s">
        <v>546</v>
      </c>
      <c r="H74" s="673"/>
      <c r="I74" s="672">
        <v>0.09</v>
      </c>
      <c r="J74" s="672">
        <v>0.01</v>
      </c>
      <c r="K74" s="672">
        <v>0.1</v>
      </c>
      <c r="L74" s="149" t="str">
        <f t="shared" si="5"/>
        <v>133D</v>
      </c>
      <c r="M74" s="150" t="str">
        <f t="shared" si="6"/>
        <v>NB INV USAGE BMW CAMION 91-120 JRS</v>
      </c>
      <c r="N74" s="151">
        <f>+IF(OR($Q74=Parametres!$G$2,$Q74=Parametres!$G$3),I74,C74)</f>
        <v>0.09</v>
      </c>
      <c r="O74" s="151">
        <f>+IF(OR($Q74=Parametres!$G$2,$Q74=Parametres!$G$3),J74,D74)</f>
        <v>0.01</v>
      </c>
      <c r="P74" s="151">
        <f>+IF(OR($Q74=Parametres!$G$2,$Q74=Parametres!$G$3),K74,E74)</f>
        <v>0.1</v>
      </c>
      <c r="Q74" s="150" t="str">
        <f t="shared" si="7"/>
        <v>1-Mémo</v>
      </c>
      <c r="R74" s="149" t="str">
        <f t="shared" si="8"/>
        <v>133B</v>
      </c>
      <c r="S74" s="150">
        <f t="shared" si="9"/>
        <v>0</v>
      </c>
      <c r="T74" s="152" t="str">
        <f>+VLOOKUP($L74,Data_Validation!$A:$D,1,0)</f>
        <v>133D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1299</v>
      </c>
      <c r="B75" s="718" t="s">
        <v>549</v>
      </c>
      <c r="C75" s="720"/>
      <c r="D75" s="720"/>
      <c r="E75" s="720"/>
      <c r="F75" s="718" t="s">
        <v>1</v>
      </c>
      <c r="G75" s="718" t="s">
        <v>546</v>
      </c>
      <c r="H75" s="666"/>
      <c r="I75" s="665">
        <v>0.25</v>
      </c>
      <c r="J75" s="665">
        <v>0</v>
      </c>
      <c r="K75" s="665">
        <v>0.25</v>
      </c>
      <c r="L75" s="149" t="str">
        <f t="shared" si="5"/>
        <v>133E</v>
      </c>
      <c r="M75" s="150" t="str">
        <f t="shared" si="6"/>
        <v>NB INV USAGE BMW CAMION 120+ JRS</v>
      </c>
      <c r="N75" s="151">
        <f>+IF(OR($Q75=Parametres!$G$2,$Q75=Parametres!$G$3),I75,C75)</f>
        <v>0.25</v>
      </c>
      <c r="O75" s="151">
        <f>+IF(OR($Q75=Parametres!$G$2,$Q75=Parametres!$G$3),J75,D75)</f>
        <v>0</v>
      </c>
      <c r="P75" s="151">
        <f>+IF(OR($Q75=Parametres!$G$2,$Q75=Parametres!$G$3),K75,E75)</f>
        <v>0.25</v>
      </c>
      <c r="Q75" s="150" t="str">
        <f t="shared" si="7"/>
        <v>1-Mémo</v>
      </c>
      <c r="R75" s="149" t="str">
        <f t="shared" si="8"/>
        <v>133B</v>
      </c>
      <c r="S75" s="150">
        <f t="shared" si="9"/>
        <v>0</v>
      </c>
      <c r="T75" s="152" t="str">
        <f>+VLOOKUP($L75,Data_Validation!$A:$D,1,0)</f>
        <v>133E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1300</v>
      </c>
      <c r="B76" s="718" t="s">
        <v>550</v>
      </c>
      <c r="C76" s="720"/>
      <c r="D76" s="720"/>
      <c r="E76" s="720"/>
      <c r="F76" s="718" t="s">
        <v>1</v>
      </c>
      <c r="G76" s="718" t="s">
        <v>550</v>
      </c>
      <c r="H76" s="673"/>
      <c r="I76" s="672">
        <v>0.44</v>
      </c>
      <c r="J76" s="672">
        <v>0.04</v>
      </c>
      <c r="K76" s="672">
        <v>0.48</v>
      </c>
      <c r="L76" s="149" t="str">
        <f t="shared" si="5"/>
        <v>138B</v>
      </c>
      <c r="M76" s="150" t="str">
        <f t="shared" si="6"/>
        <v>NB INV USAGE AUTRE 31-60 JRS</v>
      </c>
      <c r="N76" s="151">
        <f>+IF(OR($Q76=Parametres!$G$2,$Q76=Parametres!$G$3),I76,C76)</f>
        <v>0.44</v>
      </c>
      <c r="O76" s="151">
        <f>+IF(OR($Q76=Parametres!$G$2,$Q76=Parametres!$G$3),J76,D76)</f>
        <v>0.04</v>
      </c>
      <c r="P76" s="151">
        <f>+IF(OR($Q76=Parametres!$G$2,$Q76=Parametres!$G$3),K76,E76)</f>
        <v>0.48</v>
      </c>
      <c r="Q76" s="150" t="str">
        <f t="shared" si="7"/>
        <v>1-Mémo</v>
      </c>
      <c r="R76" s="149" t="str">
        <f t="shared" si="8"/>
        <v>138B</v>
      </c>
      <c r="S76" s="150">
        <f t="shared" si="9"/>
        <v>0</v>
      </c>
      <c r="T76" s="152" t="str">
        <f>+VLOOKUP($L76,Data_Validation!$A:$D,1,0)</f>
        <v>138B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1301</v>
      </c>
      <c r="B77" s="718" t="s">
        <v>551</v>
      </c>
      <c r="C77" s="720"/>
      <c r="D77" s="720"/>
      <c r="E77" s="720"/>
      <c r="F77" s="718" t="s">
        <v>1</v>
      </c>
      <c r="G77" s="718" t="s">
        <v>550</v>
      </c>
      <c r="H77" s="666"/>
      <c r="I77" s="665">
        <v>0.2</v>
      </c>
      <c r="J77" s="665">
        <v>0.02</v>
      </c>
      <c r="K77" s="665">
        <v>0.22</v>
      </c>
      <c r="L77" s="149" t="str">
        <f t="shared" si="5"/>
        <v>138C</v>
      </c>
      <c r="M77" s="150" t="str">
        <f t="shared" si="6"/>
        <v>NB INV USAGE AUTRE 61-90 JRS</v>
      </c>
      <c r="N77" s="151">
        <f>+IF(OR($Q77=Parametres!$G$2,$Q77=Parametres!$G$3),I77,C77)</f>
        <v>0.2</v>
      </c>
      <c r="O77" s="151">
        <f>+IF(OR($Q77=Parametres!$G$2,$Q77=Parametres!$G$3),J77,D77)</f>
        <v>0.02</v>
      </c>
      <c r="P77" s="151">
        <f>+IF(OR($Q77=Parametres!$G$2,$Q77=Parametres!$G$3),K77,E77)</f>
        <v>0.22</v>
      </c>
      <c r="Q77" s="150" t="str">
        <f t="shared" si="7"/>
        <v>1-Mémo</v>
      </c>
      <c r="R77" s="149" t="str">
        <f t="shared" si="8"/>
        <v>138B</v>
      </c>
      <c r="S77" s="150">
        <f t="shared" si="9"/>
        <v>0</v>
      </c>
      <c r="T77" s="152" t="str">
        <f>+VLOOKUP($L77,Data_Validation!$A:$D,1,0)</f>
        <v>138C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1302</v>
      </c>
      <c r="B78" s="718" t="s">
        <v>552</v>
      </c>
      <c r="C78" s="720"/>
      <c r="D78" s="720"/>
      <c r="E78" s="720"/>
      <c r="F78" s="718" t="s">
        <v>1</v>
      </c>
      <c r="G78" s="718" t="s">
        <v>550</v>
      </c>
      <c r="H78" s="673"/>
      <c r="I78" s="672">
        <v>0.1</v>
      </c>
      <c r="J78" s="672">
        <v>0</v>
      </c>
      <c r="K78" s="672">
        <v>0.1</v>
      </c>
      <c r="L78" s="149" t="str">
        <f t="shared" si="5"/>
        <v>138D</v>
      </c>
      <c r="M78" s="150" t="str">
        <f t="shared" si="6"/>
        <v>NB INV USAGE AUTRE 91-120 JRS</v>
      </c>
      <c r="N78" s="151">
        <f>+IF(OR($Q78=Parametres!$G$2,$Q78=Parametres!$G$3),I78,C78)</f>
        <v>0.1</v>
      </c>
      <c r="O78" s="151">
        <f>+IF(OR($Q78=Parametres!$G$2,$Q78=Parametres!$G$3),J78,D78)</f>
        <v>0</v>
      </c>
      <c r="P78" s="151">
        <f>+IF(OR($Q78=Parametres!$G$2,$Q78=Parametres!$G$3),K78,E78)</f>
        <v>0.1</v>
      </c>
      <c r="Q78" s="150" t="str">
        <f t="shared" si="7"/>
        <v>1-Mémo</v>
      </c>
      <c r="R78" s="149" t="str">
        <f t="shared" si="8"/>
        <v>138B</v>
      </c>
      <c r="S78" s="150">
        <f t="shared" si="9"/>
        <v>0</v>
      </c>
      <c r="T78" s="152" t="str">
        <f>+VLOOKUP($L78,Data_Validation!$A:$D,1,0)</f>
        <v>138D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1303</v>
      </c>
      <c r="B79" s="718" t="s">
        <v>1304</v>
      </c>
      <c r="C79" s="720"/>
      <c r="D79" s="720"/>
      <c r="E79" s="720"/>
      <c r="F79" s="718" t="s">
        <v>1</v>
      </c>
      <c r="G79" s="718" t="s">
        <v>550</v>
      </c>
      <c r="H79" s="673"/>
      <c r="I79" s="672">
        <v>0.23</v>
      </c>
      <c r="J79" s="672">
        <v>0.01</v>
      </c>
      <c r="K79" s="672">
        <v>0.24</v>
      </c>
      <c r="L79" s="149" t="str">
        <f t="shared" si="5"/>
        <v>138E</v>
      </c>
      <c r="M79" s="150" t="str">
        <f t="shared" si="6"/>
        <v>NB INV USAGE AUTRE 120+ JRS</v>
      </c>
      <c r="N79" s="151">
        <f>+IF(OR($Q79=Parametres!$G$2,$Q79=Parametres!$G$3),I79,C79)</f>
        <v>0.23</v>
      </c>
      <c r="O79" s="151">
        <f>+IF(OR($Q79=Parametres!$G$2,$Q79=Parametres!$G$3),J79,D79)</f>
        <v>0.01</v>
      </c>
      <c r="P79" s="151">
        <f>+IF(OR($Q79=Parametres!$G$2,$Q79=Parametres!$G$3),K79,E79)</f>
        <v>0.24</v>
      </c>
      <c r="Q79" s="150" t="str">
        <f t="shared" si="7"/>
        <v>1-Mémo</v>
      </c>
      <c r="R79" s="149" t="str">
        <f t="shared" si="8"/>
        <v>138B</v>
      </c>
      <c r="S79" s="150">
        <f t="shared" si="9"/>
        <v>0</v>
      </c>
      <c r="T79" s="152" t="str">
        <f>+VLOOKUP($L79,Data_Validation!$A:$D,1,0)</f>
        <v>138E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1305</v>
      </c>
      <c r="B80" s="718" t="s">
        <v>553</v>
      </c>
      <c r="C80" s="720"/>
      <c r="D80" s="720"/>
      <c r="E80" s="720"/>
      <c r="F80" s="718" t="s">
        <v>1</v>
      </c>
      <c r="G80" s="718" t="s">
        <v>553</v>
      </c>
      <c r="H80" s="607"/>
      <c r="I80" s="609">
        <v>1046507</v>
      </c>
      <c r="J80" s="609">
        <v>153464</v>
      </c>
      <c r="K80" s="609">
        <v>1199971</v>
      </c>
      <c r="L80" s="149" t="str">
        <f t="shared" si="5"/>
        <v>141B</v>
      </c>
      <c r="M80" s="150" t="str">
        <f t="shared" si="6"/>
        <v>$ INV USAGE BMW CAMION 31-60 JRS</v>
      </c>
      <c r="N80" s="151">
        <f>+IF(OR($Q80=Parametres!$G$2,$Q80=Parametres!$G$3),I80,C80)</f>
        <v>1046507</v>
      </c>
      <c r="O80" s="504">
        <f>+IF(OR($Q80=Parametres!$G$2,$Q80=Parametres!$G$3),J80,D80)</f>
        <v>153464</v>
      </c>
      <c r="P80" s="151">
        <f>+IF(OR($Q80=Parametres!$G$2,$Q80=Parametres!$G$3),K80,E80)</f>
        <v>1199971</v>
      </c>
      <c r="Q80" s="150" t="str">
        <f t="shared" si="7"/>
        <v>1-Mémo</v>
      </c>
      <c r="R80" s="149" t="str">
        <f t="shared" si="8"/>
        <v>141B</v>
      </c>
      <c r="S80" s="150">
        <f t="shared" si="9"/>
        <v>0</v>
      </c>
      <c r="T80" s="152" t="str">
        <f>+VLOOKUP($L80,Data_Validation!$A:$D,1,0)</f>
        <v>141B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1306</v>
      </c>
      <c r="B81" s="718" t="s">
        <v>554</v>
      </c>
      <c r="C81" s="720"/>
      <c r="D81" s="720"/>
      <c r="E81" s="720"/>
      <c r="F81" s="718" t="s">
        <v>1</v>
      </c>
      <c r="G81" s="718" t="s">
        <v>553</v>
      </c>
      <c r="H81" s="673"/>
      <c r="I81" s="672">
        <v>695205</v>
      </c>
      <c r="J81" s="672">
        <v>44634</v>
      </c>
      <c r="K81" s="672">
        <v>739839</v>
      </c>
      <c r="L81" s="149" t="str">
        <f t="shared" si="5"/>
        <v>141C</v>
      </c>
      <c r="M81" s="150" t="str">
        <f t="shared" si="6"/>
        <v>$ INV USAGE BMW CAMION 61-90 JRS</v>
      </c>
      <c r="N81" s="151">
        <f>+IF(OR($Q81=Parametres!$G$2,$Q81=Parametres!$G$3),I81,C81)</f>
        <v>695205</v>
      </c>
      <c r="O81" s="151">
        <f>+IF(OR($Q81=Parametres!$G$2,$Q81=Parametres!$G$3),J81,D81)</f>
        <v>44634</v>
      </c>
      <c r="P81" s="151">
        <f>+IF(OR($Q81=Parametres!$G$2,$Q81=Parametres!$G$3),K81,E81)</f>
        <v>739839</v>
      </c>
      <c r="Q81" s="150" t="str">
        <f t="shared" si="7"/>
        <v>1-Mémo</v>
      </c>
      <c r="R81" s="149" t="str">
        <f t="shared" si="8"/>
        <v>141B</v>
      </c>
      <c r="S81" s="150">
        <f t="shared" si="9"/>
        <v>0</v>
      </c>
      <c r="T81" s="152" t="str">
        <f>+VLOOKUP($L81,Data_Validation!$A:$D,1,0)</f>
        <v>141C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1307</v>
      </c>
      <c r="B82" s="671" t="s">
        <v>555</v>
      </c>
      <c r="C82" s="672"/>
      <c r="D82" s="672"/>
      <c r="E82" s="672"/>
      <c r="F82" s="671" t="s">
        <v>1</v>
      </c>
      <c r="G82" s="671" t="s">
        <v>553</v>
      </c>
      <c r="H82" s="666"/>
      <c r="I82" s="665">
        <v>387831</v>
      </c>
      <c r="J82" s="665">
        <v>42767</v>
      </c>
      <c r="K82" s="665">
        <v>430598</v>
      </c>
      <c r="L82" s="149" t="str">
        <f t="shared" si="5"/>
        <v>141D</v>
      </c>
      <c r="M82" s="150" t="str">
        <f t="shared" si="6"/>
        <v>$ INV USAGE BMW CAMION 91-120 JRS</v>
      </c>
      <c r="N82" s="151">
        <f>+IF(OR($Q82=Parametres!$G$2,$Q82=Parametres!$G$3),I82,C82)</f>
        <v>387831</v>
      </c>
      <c r="O82" s="151">
        <f>+IF(OR($Q82=Parametres!$G$2,$Q82=Parametres!$G$3),J82,D82)</f>
        <v>42767</v>
      </c>
      <c r="P82" s="151">
        <f>+IF(OR($Q82=Parametres!$G$2,$Q82=Parametres!$G$3),K82,E82)</f>
        <v>430598</v>
      </c>
      <c r="Q82" s="150" t="str">
        <f t="shared" si="7"/>
        <v>1-Mémo</v>
      </c>
      <c r="R82" s="149" t="str">
        <f t="shared" si="8"/>
        <v>141B</v>
      </c>
      <c r="S82" s="150">
        <f t="shared" si="9"/>
        <v>0</v>
      </c>
      <c r="T82" s="152" t="str">
        <f>+VLOOKUP($L82,Data_Validation!$A:$D,1,0)</f>
        <v>141D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1308</v>
      </c>
      <c r="B83" s="718" t="s">
        <v>556</v>
      </c>
      <c r="C83" s="720"/>
      <c r="D83" s="720"/>
      <c r="E83" s="720"/>
      <c r="F83" s="718" t="s">
        <v>1</v>
      </c>
      <c r="G83" s="718" t="s">
        <v>553</v>
      </c>
      <c r="H83" s="673"/>
      <c r="I83" s="672">
        <v>1103745</v>
      </c>
      <c r="J83" s="672">
        <v>0</v>
      </c>
      <c r="K83" s="672">
        <v>1103745</v>
      </c>
      <c r="L83" s="149" t="str">
        <f t="shared" si="5"/>
        <v>141E</v>
      </c>
      <c r="M83" s="150" t="str">
        <f t="shared" si="6"/>
        <v>$ INV USAGE BMW CAMION 120+ JRS</v>
      </c>
      <c r="N83" s="151">
        <f>+IF(OR($Q83=Parametres!$G$2,$Q83=Parametres!$G$3),I83,C83)</f>
        <v>1103745</v>
      </c>
      <c r="O83" s="151">
        <f>+IF(OR($Q83=Parametres!$G$2,$Q83=Parametres!$G$3),J83,D83)</f>
        <v>0</v>
      </c>
      <c r="P83" s="151">
        <f>+IF(OR($Q83=Parametres!$G$2,$Q83=Parametres!$G$3),K83,E83)</f>
        <v>1103745</v>
      </c>
      <c r="Q83" s="150" t="str">
        <f t="shared" si="7"/>
        <v>1-Mémo</v>
      </c>
      <c r="R83" s="149" t="str">
        <f t="shared" si="8"/>
        <v>141B</v>
      </c>
      <c r="S83" s="150">
        <f t="shared" si="9"/>
        <v>0</v>
      </c>
      <c r="T83" s="152" t="str">
        <f>+VLOOKUP($L83,Data_Validation!$A:$D,1,0)</f>
        <v>141E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1309</v>
      </c>
      <c r="B84" s="718" t="s">
        <v>557</v>
      </c>
      <c r="C84" s="720"/>
      <c r="D84" s="720"/>
      <c r="E84" s="720"/>
      <c r="F84" s="718" t="s">
        <v>1</v>
      </c>
      <c r="G84" s="718" t="s">
        <v>2453</v>
      </c>
      <c r="H84" s="673"/>
      <c r="I84" s="672">
        <v>22258</v>
      </c>
      <c r="J84" s="672">
        <v>0</v>
      </c>
      <c r="K84" s="672">
        <v>22258</v>
      </c>
      <c r="L84" s="149" t="str">
        <f t="shared" si="5"/>
        <v>142B</v>
      </c>
      <c r="M84" s="150" t="str">
        <f t="shared" si="6"/>
        <v>A/R VEHICULES 31-60 JRS</v>
      </c>
      <c r="N84" s="151">
        <f>+IF(OR($Q84=Parametres!$G$2,$Q84=Parametres!$G$3),I84,C84)</f>
        <v>22258</v>
      </c>
      <c r="O84" s="151">
        <f>+IF(OR($Q84=Parametres!$G$2,$Q84=Parametres!$G$3),J84,D84)</f>
        <v>0</v>
      </c>
      <c r="P84" s="151">
        <f>+IF(OR($Q84=Parametres!$G$2,$Q84=Parametres!$G$3),K84,E84)</f>
        <v>22258</v>
      </c>
      <c r="Q84" s="150" t="str">
        <f t="shared" si="7"/>
        <v>1-Mémo</v>
      </c>
      <c r="R84" s="149" t="str">
        <f t="shared" si="8"/>
        <v>142</v>
      </c>
      <c r="S84" s="150">
        <f t="shared" si="9"/>
        <v>0</v>
      </c>
      <c r="T84" s="152" t="str">
        <f>+VLOOKUP($L84,Data_Validation!$A:$D,1,0)</f>
        <v>142B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1310</v>
      </c>
      <c r="B85" s="718" t="s">
        <v>558</v>
      </c>
      <c r="C85" s="720"/>
      <c r="D85" s="720"/>
      <c r="E85" s="720"/>
      <c r="F85" s="718" t="s">
        <v>1</v>
      </c>
      <c r="G85" s="718" t="s">
        <v>2453</v>
      </c>
      <c r="H85" s="673"/>
      <c r="I85" s="672">
        <v>4137</v>
      </c>
      <c r="J85" s="672">
        <v>0</v>
      </c>
      <c r="K85" s="672">
        <v>4137</v>
      </c>
      <c r="L85" s="149" t="str">
        <f t="shared" si="5"/>
        <v>142C</v>
      </c>
      <c r="M85" s="150" t="str">
        <f t="shared" si="6"/>
        <v>A/R VEHICULES 61-90 JRS</v>
      </c>
      <c r="N85" s="151">
        <f>+IF(OR($Q85=Parametres!$G$2,$Q85=Parametres!$G$3),I85,C85)</f>
        <v>4137</v>
      </c>
      <c r="O85" s="151">
        <f>+IF(OR($Q85=Parametres!$G$2,$Q85=Parametres!$G$3),J85,D85)</f>
        <v>0</v>
      </c>
      <c r="P85" s="151">
        <f>+IF(OR($Q85=Parametres!$G$2,$Q85=Parametres!$G$3),K85,E85)</f>
        <v>4137</v>
      </c>
      <c r="Q85" s="150" t="str">
        <f t="shared" si="7"/>
        <v>1-Mémo</v>
      </c>
      <c r="R85" s="149" t="str">
        <f t="shared" si="8"/>
        <v>142</v>
      </c>
      <c r="S85" s="150">
        <f t="shared" si="9"/>
        <v>0</v>
      </c>
      <c r="T85" s="152" t="str">
        <f>+VLOOKUP($L85,Data_Validation!$A:$D,1,0)</f>
        <v>142C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1311</v>
      </c>
      <c r="B86" s="718" t="s">
        <v>559</v>
      </c>
      <c r="C86" s="720"/>
      <c r="D86" s="720"/>
      <c r="E86" s="720"/>
      <c r="F86" s="718" t="s">
        <v>1</v>
      </c>
      <c r="G86" s="718" t="s">
        <v>2453</v>
      </c>
      <c r="H86" s="609"/>
      <c r="I86" s="608">
        <v>1447</v>
      </c>
      <c r="J86" s="608">
        <v>2690</v>
      </c>
      <c r="K86" s="608">
        <v>4137</v>
      </c>
      <c r="L86" s="149" t="str">
        <f t="shared" si="5"/>
        <v>142D</v>
      </c>
      <c r="M86" s="150" t="str">
        <f t="shared" si="6"/>
        <v>A/R VEHICULES 91-120 JRS</v>
      </c>
      <c r="N86" s="151">
        <f>+IF(OR($Q86=Parametres!$G$2,$Q86=Parametres!$G$3),I86,C86)</f>
        <v>1447</v>
      </c>
      <c r="O86" s="151">
        <f>+IF(OR($Q86=Parametres!$G$2,$Q86=Parametres!$G$3),J86,D86)</f>
        <v>2690</v>
      </c>
      <c r="P86" s="151">
        <f>+IF(OR($Q86=Parametres!$G$2,$Q86=Parametres!$G$3),K86,E86)</f>
        <v>4137</v>
      </c>
      <c r="Q86" s="150" t="str">
        <f t="shared" si="7"/>
        <v>1-Mémo</v>
      </c>
      <c r="R86" s="149" t="str">
        <f t="shared" si="8"/>
        <v>142</v>
      </c>
      <c r="S86" s="150">
        <f t="shared" si="9"/>
        <v>0</v>
      </c>
      <c r="T86" s="152" t="str">
        <f>+VLOOKUP($L86,Data_Validation!$A:$D,1,0)</f>
        <v>142D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1312</v>
      </c>
      <c r="B87" s="718" t="s">
        <v>560</v>
      </c>
      <c r="C87" s="719"/>
      <c r="D87" s="719"/>
      <c r="E87" s="719"/>
      <c r="F87" s="718" t="s">
        <v>1</v>
      </c>
      <c r="G87" s="718" t="s">
        <v>2453</v>
      </c>
      <c r="H87" s="719"/>
      <c r="I87" s="720">
        <v>3434</v>
      </c>
      <c r="J87" s="720">
        <v>0</v>
      </c>
      <c r="K87" s="720">
        <v>3434</v>
      </c>
      <c r="L87" s="149" t="str">
        <f t="shared" si="5"/>
        <v>142E</v>
      </c>
      <c r="M87" s="150" t="str">
        <f t="shared" si="6"/>
        <v>A/R VEHICULES 120 + JRS</v>
      </c>
      <c r="N87" s="151">
        <f>+IF(OR($Q87=Parametres!$G$2,$Q87=Parametres!$G$3),I87,C87)</f>
        <v>3434</v>
      </c>
      <c r="O87" s="504">
        <f>+IF(OR($Q87=Parametres!$G$2,$Q87=Parametres!$G$3),J87,D87)</f>
        <v>0</v>
      </c>
      <c r="P87" s="151">
        <f>+IF(OR($Q87=Parametres!$G$2,$Q87=Parametres!$G$3),K87,E87)</f>
        <v>3434</v>
      </c>
      <c r="Q87" s="150" t="str">
        <f t="shared" si="7"/>
        <v>1-Mémo</v>
      </c>
      <c r="R87" s="149" t="str">
        <f t="shared" si="8"/>
        <v>142</v>
      </c>
      <c r="S87" s="150">
        <f t="shared" si="9"/>
        <v>0</v>
      </c>
      <c r="T87" s="152" t="str">
        <f>+VLOOKUP($L87,Data_Validation!$A:$D,1,0)</f>
        <v>142E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1313</v>
      </c>
      <c r="B88" s="671" t="s">
        <v>561</v>
      </c>
      <c r="C88" s="672"/>
      <c r="D88" s="672"/>
      <c r="E88" s="672"/>
      <c r="F88" s="671" t="s">
        <v>1</v>
      </c>
      <c r="G88" s="671" t="s">
        <v>2485</v>
      </c>
      <c r="H88" s="666"/>
      <c r="I88" s="665">
        <v>23394</v>
      </c>
      <c r="J88" s="665">
        <v>2341</v>
      </c>
      <c r="K88" s="665">
        <v>25735</v>
      </c>
      <c r="L88" s="149" t="str">
        <f t="shared" si="5"/>
        <v>143B</v>
      </c>
      <c r="M88" s="150" t="str">
        <f t="shared" si="6"/>
        <v>A/R GARANTIE BMW 31-60 JRS</v>
      </c>
      <c r="N88" s="151">
        <f>+IF(OR($Q88=Parametres!$G$2,$Q88=Parametres!$G$3),I88,C88)</f>
        <v>23394</v>
      </c>
      <c r="O88" s="151">
        <f>+IF(OR($Q88=Parametres!$G$2,$Q88=Parametres!$G$3),J88,D88)</f>
        <v>2341</v>
      </c>
      <c r="P88" s="151">
        <f>+IF(OR($Q88=Parametres!$G$2,$Q88=Parametres!$G$3),K88,E88)</f>
        <v>25735</v>
      </c>
      <c r="Q88" s="150" t="str">
        <f t="shared" si="7"/>
        <v>1-Mémo</v>
      </c>
      <c r="R88" s="149" t="str">
        <f t="shared" si="8"/>
        <v>143</v>
      </c>
      <c r="S88" s="150">
        <f t="shared" si="9"/>
        <v>0</v>
      </c>
      <c r="T88" s="152" t="str">
        <f>+VLOOKUP($L88,Data_Validation!$A:$D,1,0)</f>
        <v>143B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1314</v>
      </c>
      <c r="B89" s="718" t="s">
        <v>562</v>
      </c>
      <c r="C89" s="720"/>
      <c r="D89" s="720"/>
      <c r="E89" s="720"/>
      <c r="F89" s="718" t="s">
        <v>1</v>
      </c>
      <c r="G89" s="718" t="s">
        <v>2485</v>
      </c>
      <c r="H89" s="673"/>
      <c r="I89" s="672">
        <v>833</v>
      </c>
      <c r="J89" s="672">
        <v>4600</v>
      </c>
      <c r="K89" s="672">
        <v>5433</v>
      </c>
      <c r="L89" s="149" t="str">
        <f t="shared" si="5"/>
        <v>143C</v>
      </c>
      <c r="M89" s="150" t="str">
        <f t="shared" si="6"/>
        <v>A/R GARANTTIE BMW 61-90 JRS</v>
      </c>
      <c r="N89" s="151">
        <f>+IF(OR($Q89=Parametres!$G$2,$Q89=Parametres!$G$3),I89,C89)</f>
        <v>833</v>
      </c>
      <c r="O89" s="504">
        <f>+IF(OR($Q89=Parametres!$G$2,$Q89=Parametres!$G$3),J89,D89)</f>
        <v>4600</v>
      </c>
      <c r="P89" s="151">
        <f>+IF(OR($Q89=Parametres!$G$2,$Q89=Parametres!$G$3),K89,E89)</f>
        <v>5433</v>
      </c>
      <c r="Q89" s="150" t="str">
        <f t="shared" si="7"/>
        <v>1-Mémo</v>
      </c>
      <c r="R89" s="149" t="str">
        <f t="shared" si="8"/>
        <v>143</v>
      </c>
      <c r="S89" s="150">
        <f t="shared" si="9"/>
        <v>0</v>
      </c>
      <c r="T89" s="152" t="str">
        <f>+VLOOKUP($L89,Data_Validation!$A:$D,1,0)</f>
        <v>143C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1316</v>
      </c>
      <c r="B90" s="718" t="s">
        <v>564</v>
      </c>
      <c r="C90" s="720"/>
      <c r="D90" s="720"/>
      <c r="E90" s="720"/>
      <c r="F90" s="718" t="s">
        <v>1</v>
      </c>
      <c r="G90" s="718" t="s">
        <v>2454</v>
      </c>
      <c r="H90" s="666"/>
      <c r="I90" s="665">
        <v>162085</v>
      </c>
      <c r="J90" s="665">
        <v>6621</v>
      </c>
      <c r="K90" s="665">
        <v>168706</v>
      </c>
      <c r="L90" s="149" t="str">
        <f t="shared" si="5"/>
        <v>144B</v>
      </c>
      <c r="M90" s="150" t="str">
        <f t="shared" si="6"/>
        <v>A/R PIECES+SERVICE 31-60 JRS</v>
      </c>
      <c r="N90" s="151">
        <f>+IF(OR($Q90=Parametres!$G$2,$Q90=Parametres!$G$3),I90,C90)</f>
        <v>162085</v>
      </c>
      <c r="O90" s="151">
        <f>+IF(OR($Q90=Parametres!$G$2,$Q90=Parametres!$G$3),J90,D90)</f>
        <v>6621</v>
      </c>
      <c r="P90" s="151">
        <f>+IF(OR($Q90=Parametres!$G$2,$Q90=Parametres!$G$3),K90,E90)</f>
        <v>168706</v>
      </c>
      <c r="Q90" s="150" t="str">
        <f t="shared" si="7"/>
        <v>1-Mémo</v>
      </c>
      <c r="R90" s="149" t="str">
        <f t="shared" si="8"/>
        <v>144</v>
      </c>
      <c r="S90" s="150">
        <f t="shared" si="9"/>
        <v>0</v>
      </c>
      <c r="T90" s="152" t="str">
        <f>+VLOOKUP($L90,Data_Validation!$A:$D,1,0)</f>
        <v>144B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1317</v>
      </c>
      <c r="B91" s="718" t="s">
        <v>565</v>
      </c>
      <c r="C91" s="719"/>
      <c r="D91" s="719"/>
      <c r="E91" s="719"/>
      <c r="F91" s="718" t="s">
        <v>1</v>
      </c>
      <c r="G91" s="718" t="s">
        <v>2454</v>
      </c>
      <c r="H91" s="719"/>
      <c r="I91" s="720">
        <v>76575</v>
      </c>
      <c r="J91" s="720">
        <v>1039</v>
      </c>
      <c r="K91" s="720">
        <v>77614</v>
      </c>
      <c r="L91" s="149" t="str">
        <f t="shared" si="5"/>
        <v>144C</v>
      </c>
      <c r="M91" s="150" t="str">
        <f t="shared" si="6"/>
        <v>A/R PIECES+SERVICE 61-90 JRS</v>
      </c>
      <c r="N91" s="151">
        <f>+IF(OR($Q91=Parametres!$G$2,$Q91=Parametres!$G$3),I91,C91)</f>
        <v>76575</v>
      </c>
      <c r="O91" s="505">
        <f>+IF(OR($Q91=Parametres!$G$2,$Q91=Parametres!$G$3),J91,D91)</f>
        <v>1039</v>
      </c>
      <c r="P91" s="151">
        <f>+IF(OR($Q91=Parametres!$G$2,$Q91=Parametres!$G$3),K91,E91)</f>
        <v>77614</v>
      </c>
      <c r="Q91" s="150" t="str">
        <f t="shared" si="7"/>
        <v>1-Mémo</v>
      </c>
      <c r="R91" s="149" t="str">
        <f t="shared" si="8"/>
        <v>144</v>
      </c>
      <c r="S91" s="150">
        <f t="shared" si="9"/>
        <v>0</v>
      </c>
      <c r="T91" s="152" t="str">
        <f>+VLOOKUP($L91,Data_Validation!$A:$D,1,0)</f>
        <v>144C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1318</v>
      </c>
      <c r="B92" s="718" t="s">
        <v>566</v>
      </c>
      <c r="C92" s="720"/>
      <c r="D92" s="720"/>
      <c r="E92" s="720"/>
      <c r="F92" s="718" t="s">
        <v>1</v>
      </c>
      <c r="G92" s="718" t="s">
        <v>2454</v>
      </c>
      <c r="H92" s="719"/>
      <c r="I92" s="719">
        <v>31262</v>
      </c>
      <c r="J92" s="719">
        <v>6746</v>
      </c>
      <c r="K92" s="719">
        <v>38008</v>
      </c>
      <c r="L92" s="149" t="str">
        <f t="shared" si="5"/>
        <v>144D</v>
      </c>
      <c r="M92" s="150" t="str">
        <f t="shared" si="6"/>
        <v>A/R PIECES+SERVICE 91-120 JRS</v>
      </c>
      <c r="N92" s="151">
        <f>+IF(OR($Q92=Parametres!$G$2,$Q92=Parametres!$G$3),I92,C92)</f>
        <v>31262</v>
      </c>
      <c r="O92" s="151">
        <f>+IF(OR($Q92=Parametres!$G$2,$Q92=Parametres!$G$3),J92,D92)</f>
        <v>6746</v>
      </c>
      <c r="P92" s="151">
        <f>+IF(OR($Q92=Parametres!$G$2,$Q92=Parametres!$G$3),K92,E92)</f>
        <v>38008</v>
      </c>
      <c r="Q92" s="150" t="str">
        <f t="shared" si="7"/>
        <v>1-Mémo</v>
      </c>
      <c r="R92" s="149" t="str">
        <f t="shared" si="8"/>
        <v>144</v>
      </c>
      <c r="S92" s="150">
        <f t="shared" si="9"/>
        <v>0</v>
      </c>
      <c r="T92" s="152" t="str">
        <f>+VLOOKUP($L92,Data_Validation!$A:$D,1,0)</f>
        <v>144D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1319</v>
      </c>
      <c r="B93" s="718" t="s">
        <v>567</v>
      </c>
      <c r="C93" s="720"/>
      <c r="D93" s="720"/>
      <c r="E93" s="720"/>
      <c r="F93" s="718" t="s">
        <v>1</v>
      </c>
      <c r="G93" s="718" t="s">
        <v>2454</v>
      </c>
      <c r="H93" s="666"/>
      <c r="I93" s="665">
        <v>71854</v>
      </c>
      <c r="J93" s="665">
        <v>5628</v>
      </c>
      <c r="K93" s="665">
        <v>77482</v>
      </c>
      <c r="L93" s="149" t="str">
        <f t="shared" si="5"/>
        <v>144E</v>
      </c>
      <c r="M93" s="150" t="str">
        <f t="shared" si="6"/>
        <v>A/R PIECES+SERVICE 120+ JRS</v>
      </c>
      <c r="N93" s="151">
        <f>+IF(OR($Q93=Parametres!$G$2,$Q93=Parametres!$G$3),I93,C93)</f>
        <v>71854</v>
      </c>
      <c r="O93" s="151">
        <f>+IF(OR($Q93=Parametres!$G$2,$Q93=Parametres!$G$3),J93,D93)</f>
        <v>5628</v>
      </c>
      <c r="P93" s="151">
        <f>+IF(OR($Q93=Parametres!$G$2,$Q93=Parametres!$G$3),K93,E93)</f>
        <v>77482</v>
      </c>
      <c r="Q93" s="150" t="str">
        <f t="shared" si="7"/>
        <v>1-Mémo</v>
      </c>
      <c r="R93" s="149" t="str">
        <f t="shared" si="8"/>
        <v>144</v>
      </c>
      <c r="S93" s="150">
        <f t="shared" si="9"/>
        <v>0</v>
      </c>
      <c r="T93" s="152" t="str">
        <f>+VLOOKUP($L93,Data_Validation!$A:$D,1,0)</f>
        <v>144E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1320</v>
      </c>
      <c r="B94" s="718" t="s">
        <v>568</v>
      </c>
      <c r="C94" s="720"/>
      <c r="D94" s="720"/>
      <c r="E94" s="720"/>
      <c r="F94" s="718" t="s">
        <v>1</v>
      </c>
      <c r="G94" s="718" t="s">
        <v>568</v>
      </c>
      <c r="H94" s="609"/>
      <c r="I94" s="608">
        <v>1055756</v>
      </c>
      <c r="J94" s="608">
        <v>0</v>
      </c>
      <c r="K94" s="608">
        <v>1055756</v>
      </c>
      <c r="L94" s="149" t="str">
        <f t="shared" si="5"/>
        <v>145</v>
      </c>
      <c r="M94" s="150" t="str">
        <f t="shared" si="6"/>
        <v>FONDS DE ROULEMENT REQUIS</v>
      </c>
      <c r="N94" s="151">
        <f>+IF(OR($Q94=Parametres!$G$2,$Q94=Parametres!$G$3),I94,C94)</f>
        <v>1055756</v>
      </c>
      <c r="O94" s="151">
        <f>+IF(OR($Q94=Parametres!$G$2,$Q94=Parametres!$G$3),J94,D94)</f>
        <v>0</v>
      </c>
      <c r="P94" s="151">
        <f>+IF(OR($Q94=Parametres!$G$2,$Q94=Parametres!$G$3),K94,E94)</f>
        <v>1055756</v>
      </c>
      <c r="Q94" s="150" t="str">
        <f t="shared" si="7"/>
        <v>1-Mémo</v>
      </c>
      <c r="R94" s="149" t="str">
        <f t="shared" si="8"/>
        <v>145</v>
      </c>
      <c r="S94" s="150">
        <f t="shared" si="9"/>
        <v>0</v>
      </c>
      <c r="T94" s="152" t="str">
        <f>+VLOOKUP($L94,Data_Validation!$A:$D,1,0)</f>
        <v>145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1321</v>
      </c>
      <c r="B95" s="718" t="s">
        <v>569</v>
      </c>
      <c r="C95" s="719"/>
      <c r="D95" s="719"/>
      <c r="E95" s="719"/>
      <c r="F95" s="718" t="s">
        <v>1</v>
      </c>
      <c r="G95" s="718" t="s">
        <v>569</v>
      </c>
      <c r="H95" s="719"/>
      <c r="I95" s="720">
        <v>1113409</v>
      </c>
      <c r="J95" s="720">
        <v>26617</v>
      </c>
      <c r="K95" s="720">
        <v>1140026</v>
      </c>
      <c r="L95" s="149" t="str">
        <f t="shared" si="5"/>
        <v>154B</v>
      </c>
      <c r="M95" s="150" t="str">
        <f t="shared" si="6"/>
        <v>$ INV USAGE BMW AUTO 31-60 JRS</v>
      </c>
      <c r="N95" s="151">
        <f>+IF(OR($Q95=Parametres!$G$2,$Q95=Parametres!$G$3),I95,C95)</f>
        <v>1113409</v>
      </c>
      <c r="O95" s="151">
        <f>+IF(OR($Q95=Parametres!$G$2,$Q95=Parametres!$G$3),J95,D95)</f>
        <v>26617</v>
      </c>
      <c r="P95" s="151">
        <f>+IF(OR($Q95=Parametres!$G$2,$Q95=Parametres!$G$3),K95,E95)</f>
        <v>1140026</v>
      </c>
      <c r="Q95" s="150" t="str">
        <f t="shared" si="7"/>
        <v>1-Mémo</v>
      </c>
      <c r="R95" s="149" t="str">
        <f t="shared" si="8"/>
        <v>154B</v>
      </c>
      <c r="S95" s="150">
        <f t="shared" si="9"/>
        <v>0</v>
      </c>
      <c r="T95" s="152" t="str">
        <f>+VLOOKUP($L95,Data_Validation!$A:$D,1,0)</f>
        <v>154B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1322</v>
      </c>
      <c r="B96" s="718" t="s">
        <v>570</v>
      </c>
      <c r="C96" s="720"/>
      <c r="D96" s="720"/>
      <c r="E96" s="720"/>
      <c r="F96" s="718" t="s">
        <v>1</v>
      </c>
      <c r="G96" s="718" t="s">
        <v>569</v>
      </c>
      <c r="H96" s="673"/>
      <c r="I96" s="672">
        <v>968541</v>
      </c>
      <c r="J96" s="672">
        <v>27272</v>
      </c>
      <c r="K96" s="672">
        <v>995813</v>
      </c>
      <c r="L96" s="149" t="str">
        <f t="shared" si="5"/>
        <v>154C</v>
      </c>
      <c r="M96" s="150" t="str">
        <f t="shared" si="6"/>
        <v>$ INV USAGE BMW AUTO 61-90 JRS</v>
      </c>
      <c r="N96" s="151">
        <f>+IF(OR($Q96=Parametres!$G$2,$Q96=Parametres!$G$3),I96,C96)</f>
        <v>968541</v>
      </c>
      <c r="O96" s="151">
        <f>+IF(OR($Q96=Parametres!$G$2,$Q96=Parametres!$G$3),J96,D96)</f>
        <v>27272</v>
      </c>
      <c r="P96" s="151">
        <f>+IF(OR($Q96=Parametres!$G$2,$Q96=Parametres!$G$3),K96,E96)</f>
        <v>995813</v>
      </c>
      <c r="Q96" s="150" t="str">
        <f t="shared" si="7"/>
        <v>1-Mémo</v>
      </c>
      <c r="R96" s="149" t="str">
        <f t="shared" si="8"/>
        <v>154B</v>
      </c>
      <c r="S96" s="150">
        <f t="shared" si="9"/>
        <v>0</v>
      </c>
      <c r="T96" s="152" t="str">
        <f>+VLOOKUP($L96,Data_Validation!$A:$D,1,0)</f>
        <v>154C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1323</v>
      </c>
      <c r="B97" s="718" t="s">
        <v>571</v>
      </c>
      <c r="C97" s="720"/>
      <c r="D97" s="720"/>
      <c r="E97" s="720"/>
      <c r="F97" s="718" t="s">
        <v>1</v>
      </c>
      <c r="G97" s="718" t="s">
        <v>569</v>
      </c>
      <c r="H97" s="607"/>
      <c r="I97" s="608">
        <v>665692</v>
      </c>
      <c r="J97" s="608">
        <v>47780</v>
      </c>
      <c r="K97" s="608">
        <v>713472</v>
      </c>
      <c r="L97" s="149" t="str">
        <f t="shared" si="5"/>
        <v>154D</v>
      </c>
      <c r="M97" s="150" t="str">
        <f t="shared" si="6"/>
        <v>$ INV USAGE BMW AUTO 91-120 JRS</v>
      </c>
      <c r="N97" s="151">
        <f>+IF(OR($Q97=Parametres!$G$2,$Q97=Parametres!$G$3),I97,C97)</f>
        <v>665692</v>
      </c>
      <c r="O97" s="504">
        <f>+IF(OR($Q97=Parametres!$G$2,$Q97=Parametres!$G$3),J97,D97)</f>
        <v>47780</v>
      </c>
      <c r="P97" s="151">
        <f>+IF(OR($Q97=Parametres!$G$2,$Q97=Parametres!$G$3),K97,E97)</f>
        <v>713472</v>
      </c>
      <c r="Q97" s="150" t="str">
        <f t="shared" si="7"/>
        <v>1-Mémo</v>
      </c>
      <c r="R97" s="149" t="str">
        <f t="shared" si="8"/>
        <v>154B</v>
      </c>
      <c r="S97" s="150">
        <f t="shared" si="9"/>
        <v>0</v>
      </c>
      <c r="T97" s="152" t="str">
        <f>+VLOOKUP($L97,Data_Validation!$A:$D,1,0)</f>
        <v>154D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1324</v>
      </c>
      <c r="B98" s="718" t="s">
        <v>572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1223944</v>
      </c>
      <c r="J98" s="672">
        <v>85460</v>
      </c>
      <c r="K98" s="672">
        <v>1309404</v>
      </c>
      <c r="L98" s="149" t="str">
        <f t="shared" si="5"/>
        <v>154E</v>
      </c>
      <c r="M98" s="150" t="str">
        <f t="shared" si="6"/>
        <v>$ INV USAGE BMW AUTO 120+ JRS</v>
      </c>
      <c r="N98" s="151">
        <f>+IF(OR($Q98=Parametres!$G$2,$Q98=Parametres!$G$3),I98,C98)</f>
        <v>1223944</v>
      </c>
      <c r="O98" s="151">
        <f>+IF(OR($Q98=Parametres!$G$2,$Q98=Parametres!$G$3),J98,D98)</f>
        <v>85460</v>
      </c>
      <c r="P98" s="151">
        <f>+IF(OR($Q98=Parametres!$G$2,$Q98=Parametres!$G$3),K98,E98)</f>
        <v>1309404</v>
      </c>
      <c r="Q98" s="150" t="str">
        <f t="shared" si="7"/>
        <v>1-Mémo</v>
      </c>
      <c r="R98" s="149" t="str">
        <f t="shared" si="8"/>
        <v>154B</v>
      </c>
      <c r="S98" s="150">
        <f t="shared" si="9"/>
        <v>0</v>
      </c>
      <c r="T98" s="152" t="str">
        <f>+VLOOKUP($L98,Data_Validation!$A:$D,1,0)</f>
        <v>154E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1325</v>
      </c>
      <c r="B99" s="718" t="s">
        <v>573</v>
      </c>
      <c r="C99" s="720"/>
      <c r="D99" s="720"/>
      <c r="E99" s="720"/>
      <c r="F99" s="718" t="s">
        <v>1</v>
      </c>
      <c r="G99" s="718" t="s">
        <v>573</v>
      </c>
      <c r="H99" s="666"/>
      <c r="I99" s="665">
        <v>0.83</v>
      </c>
      <c r="J99" s="665">
        <v>0.05</v>
      </c>
      <c r="K99" s="665">
        <v>0.88</v>
      </c>
      <c r="L99" s="149" t="str">
        <f t="shared" si="5"/>
        <v>156</v>
      </c>
      <c r="M99" s="150" t="str">
        <f t="shared" si="6"/>
        <v>NB INV + 30 JOURS USAGE BMW AUTO</v>
      </c>
      <c r="N99" s="151">
        <f>+IF(OR($Q99=Parametres!$G$2,$Q99=Parametres!$G$3),I99,C99)</f>
        <v>0.83</v>
      </c>
      <c r="O99" s="151">
        <f>+IF(OR($Q99=Parametres!$G$2,$Q99=Parametres!$G$3),J99,D99)</f>
        <v>0.05</v>
      </c>
      <c r="P99" s="151">
        <f>+IF(OR($Q99=Parametres!$G$2,$Q99=Parametres!$G$3),K99,E99)</f>
        <v>0.88</v>
      </c>
      <c r="Q99" s="150" t="str">
        <f t="shared" si="7"/>
        <v>1-Mémo</v>
      </c>
      <c r="R99" s="149" t="str">
        <f t="shared" si="8"/>
        <v>156</v>
      </c>
      <c r="S99" s="150">
        <f t="shared" si="9"/>
        <v>0</v>
      </c>
      <c r="T99" s="152" t="str">
        <f>+VLOOKUP($L99,Data_Validation!$A:$D,1,0)</f>
        <v>156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1326</v>
      </c>
      <c r="B100" s="718" t="s">
        <v>574</v>
      </c>
      <c r="C100" s="720"/>
      <c r="D100" s="720"/>
      <c r="E100" s="720"/>
      <c r="F100" s="718" t="s">
        <v>1</v>
      </c>
      <c r="G100" s="718" t="s">
        <v>574</v>
      </c>
      <c r="H100" s="607"/>
      <c r="I100" s="153">
        <v>1227756</v>
      </c>
      <c r="J100" s="153">
        <v>126264</v>
      </c>
      <c r="K100" s="153">
        <v>1354020</v>
      </c>
      <c r="L100" s="149" t="str">
        <f t="shared" si="5"/>
        <v>157B</v>
      </c>
      <c r="M100" s="150" t="str">
        <f t="shared" si="6"/>
        <v>$ INV USAGE AUTRE 31-60 JRS</v>
      </c>
      <c r="N100" s="151">
        <f>+IF(OR($Q100=Parametres!$G$2,$Q100=Parametres!$G$3),I100,C100)</f>
        <v>1227756</v>
      </c>
      <c r="O100" s="504">
        <f>+IF(OR($Q100=Parametres!$G$2,$Q100=Parametres!$G$3),J100,D100)</f>
        <v>126264</v>
      </c>
      <c r="P100" s="151">
        <f>+IF(OR($Q100=Parametres!$G$2,$Q100=Parametres!$G$3),K100,E100)</f>
        <v>1354020</v>
      </c>
      <c r="Q100" s="150" t="str">
        <f t="shared" si="7"/>
        <v>1-Mémo</v>
      </c>
      <c r="R100" s="149" t="str">
        <f t="shared" si="8"/>
        <v>157B</v>
      </c>
      <c r="S100" s="150">
        <f t="shared" si="9"/>
        <v>0</v>
      </c>
      <c r="T100" s="152" t="str">
        <f>+VLOOKUP($L100,Data_Validation!$A:$D,1,0)</f>
        <v>157B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1327</v>
      </c>
      <c r="B101" s="718" t="s">
        <v>575</v>
      </c>
      <c r="C101" s="720"/>
      <c r="D101" s="720"/>
      <c r="E101" s="720"/>
      <c r="F101" s="718" t="s">
        <v>1</v>
      </c>
      <c r="G101" s="718" t="s">
        <v>574</v>
      </c>
      <c r="H101" s="673"/>
      <c r="I101" s="673">
        <v>643950</v>
      </c>
      <c r="J101" s="673">
        <v>87276</v>
      </c>
      <c r="K101" s="673">
        <v>731226</v>
      </c>
      <c r="L101" s="149" t="str">
        <f t="shared" si="5"/>
        <v>157C</v>
      </c>
      <c r="M101" s="150" t="str">
        <f t="shared" si="6"/>
        <v>$ INV USAGE AUTRE 61-90 JRS</v>
      </c>
      <c r="N101" s="151">
        <f>+IF(OR($Q101=Parametres!$G$2,$Q101=Parametres!$G$3),I101,C101)</f>
        <v>643950</v>
      </c>
      <c r="O101" s="151">
        <f>+IF(OR($Q101=Parametres!$G$2,$Q101=Parametres!$G$3),J101,D101)</f>
        <v>87276</v>
      </c>
      <c r="P101" s="151">
        <f>+IF(OR($Q101=Parametres!$G$2,$Q101=Parametres!$G$3),K101,E101)</f>
        <v>731226</v>
      </c>
      <c r="Q101" s="150" t="str">
        <f t="shared" si="7"/>
        <v>1-Mémo</v>
      </c>
      <c r="R101" s="149" t="str">
        <f t="shared" si="8"/>
        <v>157B</v>
      </c>
      <c r="S101" s="150">
        <f t="shared" si="9"/>
        <v>0</v>
      </c>
      <c r="T101" s="152" t="str">
        <f>+VLOOKUP($L101,Data_Validation!$A:$D,1,0)</f>
        <v>157C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1328</v>
      </c>
      <c r="B102" s="718" t="s">
        <v>576</v>
      </c>
      <c r="C102" s="719"/>
      <c r="D102" s="719"/>
      <c r="E102" s="719"/>
      <c r="F102" s="718" t="s">
        <v>1</v>
      </c>
      <c r="G102" s="718" t="s">
        <v>574</v>
      </c>
      <c r="H102" s="719"/>
      <c r="I102" s="720">
        <v>368507</v>
      </c>
      <c r="J102" s="720">
        <v>0</v>
      </c>
      <c r="K102" s="720">
        <v>368507</v>
      </c>
      <c r="L102" s="149" t="str">
        <f t="shared" si="5"/>
        <v>157D</v>
      </c>
      <c r="M102" s="150" t="str">
        <f t="shared" si="6"/>
        <v>$ INV USAGE AUTRE 91-120 JRS</v>
      </c>
      <c r="N102" s="151">
        <f>+IF(OR($Q102=Parametres!$G$2,$Q102=Parametres!$G$3),I102,C102)</f>
        <v>368507</v>
      </c>
      <c r="O102" s="151">
        <f>+IF(OR($Q102=Parametres!$G$2,$Q102=Parametres!$G$3),J102,D102)</f>
        <v>0</v>
      </c>
      <c r="P102" s="151">
        <f>+IF(OR($Q102=Parametres!$G$2,$Q102=Parametres!$G$3),K102,E102)</f>
        <v>368507</v>
      </c>
      <c r="Q102" s="150" t="str">
        <f t="shared" si="7"/>
        <v>1-Mémo</v>
      </c>
      <c r="R102" s="149" t="str">
        <f t="shared" si="8"/>
        <v>157B</v>
      </c>
      <c r="S102" s="150">
        <f t="shared" si="9"/>
        <v>0</v>
      </c>
      <c r="T102" s="152" t="str">
        <f>+VLOOKUP($L102,Data_Validation!$A:$D,1,0)</f>
        <v>157D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1329</v>
      </c>
      <c r="B103" s="718" t="s">
        <v>1330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606328</v>
      </c>
      <c r="J103" s="665">
        <v>743</v>
      </c>
      <c r="K103" s="665">
        <v>607071</v>
      </c>
      <c r="L103" s="149" t="str">
        <f t="shared" si="5"/>
        <v>157E</v>
      </c>
      <c r="M103" s="150" t="str">
        <f t="shared" si="6"/>
        <v>$ INV USAGE AUTRE 120+ JRS</v>
      </c>
      <c r="N103" s="151">
        <f>+IF(OR($Q103=Parametres!$G$2,$Q103=Parametres!$G$3),I103,C103)</f>
        <v>606328</v>
      </c>
      <c r="O103" s="151">
        <f>+IF(OR($Q103=Parametres!$G$2,$Q103=Parametres!$G$3),J103,D103)</f>
        <v>743</v>
      </c>
      <c r="P103" s="151">
        <f>+IF(OR($Q103=Parametres!$G$2,$Q103=Parametres!$G$3),K103,E103)</f>
        <v>607071</v>
      </c>
      <c r="Q103" s="150" t="str">
        <f t="shared" si="7"/>
        <v>1-Mémo</v>
      </c>
      <c r="R103" s="149" t="str">
        <f t="shared" si="8"/>
        <v>157B</v>
      </c>
      <c r="S103" s="150">
        <f t="shared" si="9"/>
        <v>0</v>
      </c>
      <c r="T103" s="152" t="str">
        <f>+VLOOKUP($L103,Data_Validation!$A:$D,1,0)</f>
        <v>157E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1331</v>
      </c>
      <c r="B104" s="718" t="s">
        <v>577</v>
      </c>
      <c r="C104" s="720"/>
      <c r="D104" s="720"/>
      <c r="E104" s="720"/>
      <c r="F104" s="718" t="s">
        <v>1</v>
      </c>
      <c r="G104" s="718" t="s">
        <v>577</v>
      </c>
      <c r="H104" s="673"/>
      <c r="I104" s="672">
        <v>1</v>
      </c>
      <c r="J104" s="672">
        <v>0</v>
      </c>
      <c r="K104" s="672">
        <v>1</v>
      </c>
      <c r="L104" s="149" t="str">
        <f t="shared" si="5"/>
        <v>160Z</v>
      </c>
      <c r="M104" s="150" t="str">
        <f t="shared" si="6"/>
        <v>NB EMP. PROPRIETAIRE ADMIN.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160Z</v>
      </c>
      <c r="S104" s="150">
        <f t="shared" si="9"/>
        <v>0</v>
      </c>
      <c r="T104" s="152" t="str">
        <f>+VLOOKUP($L104,Data_Validation!$A:$D,1,0)</f>
        <v>160Z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1332</v>
      </c>
      <c r="B105" s="718" t="s">
        <v>578</v>
      </c>
      <c r="C105" s="720"/>
      <c r="D105" s="720"/>
      <c r="E105" s="720"/>
      <c r="F105" s="718" t="s">
        <v>1</v>
      </c>
      <c r="G105" s="718" t="s">
        <v>2455</v>
      </c>
      <c r="H105" s="673"/>
      <c r="I105" s="673">
        <v>0.5</v>
      </c>
      <c r="J105" s="673">
        <v>0</v>
      </c>
      <c r="K105" s="673">
        <v>0.5</v>
      </c>
      <c r="L105" s="149" t="str">
        <f t="shared" si="5"/>
        <v>161A</v>
      </c>
      <c r="M105" s="150" t="str">
        <f t="shared" si="6"/>
        <v>NB EMP. SUPERVISION - NEUF</v>
      </c>
      <c r="N105" s="151">
        <f>+IF(OR($Q105=Parametres!$G$2,$Q105=Parametres!$G$3),I105,C105)</f>
        <v>0.5</v>
      </c>
      <c r="O105" s="151">
        <f>+IF(OR($Q105=Parametres!$G$2,$Q105=Parametres!$G$3),J105,D105)</f>
        <v>0</v>
      </c>
      <c r="P105" s="151">
        <f>+IF(OR($Q105=Parametres!$G$2,$Q105=Parametres!$G$3),K105,E105)</f>
        <v>0.5</v>
      </c>
      <c r="Q105" s="150" t="str">
        <f t="shared" si="7"/>
        <v>1-Mémo</v>
      </c>
      <c r="R105" s="149" t="str">
        <f t="shared" si="8"/>
        <v>161</v>
      </c>
      <c r="S105" s="150">
        <f t="shared" si="9"/>
        <v>0</v>
      </c>
      <c r="T105" s="152" t="str">
        <f>+VLOOKUP($L105,Data_Validation!$A:$D,1,0)</f>
        <v>161A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1333</v>
      </c>
      <c r="B106" s="718" t="s">
        <v>579</v>
      </c>
      <c r="C106" s="720"/>
      <c r="D106" s="720"/>
      <c r="E106" s="720"/>
      <c r="F106" s="718" t="s">
        <v>1</v>
      </c>
      <c r="G106" s="718" t="s">
        <v>2455</v>
      </c>
      <c r="H106" s="673"/>
      <c r="I106" s="672">
        <v>0.5</v>
      </c>
      <c r="J106" s="672">
        <v>0</v>
      </c>
      <c r="K106" s="672">
        <v>0.5</v>
      </c>
      <c r="L106" s="149" t="str">
        <f t="shared" si="5"/>
        <v>161B</v>
      </c>
      <c r="M106" s="150" t="str">
        <f t="shared" si="6"/>
        <v>NB EMP. SUPERVISION - USAGE</v>
      </c>
      <c r="N106" s="151">
        <f>+IF(OR($Q106=Parametres!$G$2,$Q106=Parametres!$G$3),I106,C106)</f>
        <v>0.5</v>
      </c>
      <c r="O106" s="151">
        <f>+IF(OR($Q106=Parametres!$G$2,$Q106=Parametres!$G$3),J106,D106)</f>
        <v>0</v>
      </c>
      <c r="P106" s="151">
        <f>+IF(OR($Q106=Parametres!$G$2,$Q106=Parametres!$G$3),K106,E106)</f>
        <v>0.5</v>
      </c>
      <c r="Q106" s="150" t="str">
        <f t="shared" si="7"/>
        <v>1-Mémo</v>
      </c>
      <c r="R106" s="149" t="str">
        <f t="shared" si="8"/>
        <v>161</v>
      </c>
      <c r="S106" s="150">
        <f t="shared" si="9"/>
        <v>0</v>
      </c>
      <c r="T106" s="152" t="str">
        <f>+VLOOKUP($L106,Data_Validation!$A:$D,1,0)</f>
        <v>161B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1334</v>
      </c>
      <c r="B107" s="718" t="s">
        <v>580</v>
      </c>
      <c r="C107" s="720"/>
      <c r="D107" s="720"/>
      <c r="E107" s="720"/>
      <c r="F107" s="718" t="s">
        <v>1</v>
      </c>
      <c r="G107" s="718" t="s">
        <v>2455</v>
      </c>
      <c r="H107" s="673"/>
      <c r="I107" s="672">
        <v>0.5</v>
      </c>
      <c r="J107" s="672">
        <v>0</v>
      </c>
      <c r="K107" s="672">
        <v>0.5</v>
      </c>
      <c r="L107" s="149" t="str">
        <f t="shared" si="5"/>
        <v>161C</v>
      </c>
      <c r="M107" s="150" t="str">
        <f t="shared" si="6"/>
        <v>NB EMP. SUPERBISION - SERVICE</v>
      </c>
      <c r="N107" s="151">
        <f>+IF(OR($Q107=Parametres!$G$2,$Q107=Parametres!$G$3),I107,C107)</f>
        <v>0.5</v>
      </c>
      <c r="O107" s="151">
        <f>+IF(OR($Q107=Parametres!$G$2,$Q107=Parametres!$G$3),J107,D107)</f>
        <v>0</v>
      </c>
      <c r="P107" s="151">
        <f>+IF(OR($Q107=Parametres!$G$2,$Q107=Parametres!$G$3),K107,E107)</f>
        <v>0.5</v>
      </c>
      <c r="Q107" s="150" t="str">
        <f t="shared" si="7"/>
        <v>1-Mémo</v>
      </c>
      <c r="R107" s="149" t="str">
        <f t="shared" si="8"/>
        <v>161</v>
      </c>
      <c r="S107" s="150">
        <f t="shared" si="9"/>
        <v>0</v>
      </c>
      <c r="T107" s="152" t="str">
        <f>+VLOOKUP($L107,Data_Validation!$A:$D,1,0)</f>
        <v>161C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1335</v>
      </c>
      <c r="B108" s="718" t="s">
        <v>581</v>
      </c>
      <c r="C108" s="720"/>
      <c r="D108" s="720"/>
      <c r="E108" s="720"/>
      <c r="F108" s="718" t="s">
        <v>1</v>
      </c>
      <c r="G108" s="718" t="s">
        <v>2455</v>
      </c>
      <c r="H108" s="673"/>
      <c r="I108" s="673">
        <v>0.5</v>
      </c>
      <c r="J108" s="673">
        <v>0</v>
      </c>
      <c r="K108" s="673">
        <v>0.5</v>
      </c>
      <c r="L108" s="149" t="str">
        <f t="shared" si="5"/>
        <v>161D</v>
      </c>
      <c r="M108" s="150" t="str">
        <f t="shared" si="6"/>
        <v>NB EMP. SUPERVISION - PIECES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161</v>
      </c>
      <c r="S108" s="150">
        <f t="shared" si="9"/>
        <v>0</v>
      </c>
      <c r="T108" s="152" t="str">
        <f>+VLOOKUP($L108,Data_Validation!$A:$D,1,0)</f>
        <v>161D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1336</v>
      </c>
      <c r="B109" s="718" t="s">
        <v>582</v>
      </c>
      <c r="C109" s="720"/>
      <c r="D109" s="720"/>
      <c r="E109" s="720"/>
      <c r="F109" s="718" t="s">
        <v>1</v>
      </c>
      <c r="G109" s="718" t="s">
        <v>2455</v>
      </c>
      <c r="H109" s="673"/>
      <c r="I109" s="672">
        <v>0.5</v>
      </c>
      <c r="J109" s="672">
        <v>0</v>
      </c>
      <c r="K109" s="672">
        <v>0.5</v>
      </c>
      <c r="L109" s="149" t="str">
        <f t="shared" si="5"/>
        <v>161Z</v>
      </c>
      <c r="M109" s="150" t="str">
        <f t="shared" si="6"/>
        <v>NB EMP. SUPERVISION - ADMIN.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161</v>
      </c>
      <c r="S109" s="150">
        <f t="shared" si="9"/>
        <v>0</v>
      </c>
      <c r="T109" s="152" t="str">
        <f>+VLOOKUP($L109,Data_Validation!$A:$D,1,0)</f>
        <v>161Z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1337</v>
      </c>
      <c r="B110" s="718" t="s">
        <v>583</v>
      </c>
      <c r="C110" s="720"/>
      <c r="D110" s="720"/>
      <c r="E110" s="720"/>
      <c r="F110" s="718" t="s">
        <v>1</v>
      </c>
      <c r="G110" s="718" t="s">
        <v>583</v>
      </c>
      <c r="H110" s="673"/>
      <c r="I110" s="672">
        <v>1</v>
      </c>
      <c r="J110" s="672">
        <v>0</v>
      </c>
      <c r="K110" s="672">
        <v>1</v>
      </c>
      <c r="L110" s="149" t="str">
        <f t="shared" si="5"/>
        <v>164</v>
      </c>
      <c r="M110" s="150" t="str">
        <f t="shared" si="6"/>
        <v>NB EMP. VENDEURS BMW - F&amp;I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7"/>
        <v>1-Mémo</v>
      </c>
      <c r="R110" s="149" t="str">
        <f t="shared" si="8"/>
        <v>164</v>
      </c>
      <c r="S110" s="150">
        <f t="shared" si="9"/>
        <v>0</v>
      </c>
      <c r="T110" s="152" t="str">
        <f>+VLOOKUP($L110,Data_Validation!$A:$D,1,0)</f>
        <v>164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1338</v>
      </c>
      <c r="B111" s="718" t="s">
        <v>584</v>
      </c>
      <c r="C111" s="720"/>
      <c r="D111" s="720"/>
      <c r="E111" s="720"/>
      <c r="F111" s="718" t="s">
        <v>1</v>
      </c>
      <c r="G111" s="718" t="s">
        <v>583</v>
      </c>
      <c r="H111" s="609"/>
      <c r="I111" s="608">
        <v>2</v>
      </c>
      <c r="J111" s="608">
        <v>0</v>
      </c>
      <c r="K111" s="608">
        <v>2</v>
      </c>
      <c r="L111" s="149" t="str">
        <f t="shared" si="5"/>
        <v>164A</v>
      </c>
      <c r="M111" s="150" t="str">
        <f t="shared" si="6"/>
        <v>NB EMP. VENDEURS BMW - NEUF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164</v>
      </c>
      <c r="S111" s="150">
        <f t="shared" si="9"/>
        <v>0</v>
      </c>
      <c r="T111" s="152" t="str">
        <f>+VLOOKUP($L111,Data_Validation!$A:$D,1,0)</f>
        <v>164A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1339</v>
      </c>
      <c r="B112" s="718" t="s">
        <v>585</v>
      </c>
      <c r="C112" s="719"/>
      <c r="D112" s="719"/>
      <c r="E112" s="719"/>
      <c r="F112" s="718" t="s">
        <v>1</v>
      </c>
      <c r="G112" s="718" t="s">
        <v>583</v>
      </c>
      <c r="H112" s="719"/>
      <c r="I112" s="720">
        <v>2</v>
      </c>
      <c r="J112" s="720">
        <v>0</v>
      </c>
      <c r="K112" s="720">
        <v>2</v>
      </c>
      <c r="L112" s="149" t="str">
        <f t="shared" si="5"/>
        <v>164B</v>
      </c>
      <c r="M112" s="150" t="str">
        <f t="shared" si="6"/>
        <v>NB EMP. VENDEURS BMW - USAGE</v>
      </c>
      <c r="N112" s="151">
        <f>+IF(OR($Q112=Parametres!$G$2,$Q112=Parametres!$G$3),I112,C112)</f>
        <v>2</v>
      </c>
      <c r="O112" s="504">
        <f>+IF(OR($Q112=Parametres!$G$2,$Q112=Parametres!$G$3),J112,D112)</f>
        <v>0</v>
      </c>
      <c r="P112" s="151">
        <f>+IF(OR($Q112=Parametres!$G$2,$Q112=Parametres!$G$3),K112,E112)</f>
        <v>2</v>
      </c>
      <c r="Q112" s="150" t="str">
        <f t="shared" si="7"/>
        <v>1-Mémo</v>
      </c>
      <c r="R112" s="149" t="str">
        <f t="shared" si="8"/>
        <v>164</v>
      </c>
      <c r="S112" s="150">
        <f t="shared" si="9"/>
        <v>0</v>
      </c>
      <c r="T112" s="152" t="str">
        <f>+VLOOKUP($L112,Data_Validation!$A:$D,1,0)</f>
        <v>164B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1340</v>
      </c>
      <c r="B113" s="718" t="s">
        <v>586</v>
      </c>
      <c r="C113" s="720"/>
      <c r="D113" s="720"/>
      <c r="E113" s="720"/>
      <c r="F113" s="718" t="s">
        <v>1</v>
      </c>
      <c r="G113" s="718" t="s">
        <v>586</v>
      </c>
      <c r="H113" s="719"/>
      <c r="I113" s="719">
        <v>2</v>
      </c>
      <c r="J113" s="719">
        <v>0</v>
      </c>
      <c r="K113" s="719">
        <v>2</v>
      </c>
      <c r="L113" s="149" t="str">
        <f t="shared" si="5"/>
        <v>164D</v>
      </c>
      <c r="M113" s="150" t="str">
        <f t="shared" si="6"/>
        <v>NB EMP. COMMIS COMPTOIR - PIECES</v>
      </c>
      <c r="N113" s="151">
        <f>+IF(OR($Q113=Parametres!$G$2,$Q113=Parametres!$G$3),I113,C113)</f>
        <v>2</v>
      </c>
      <c r="O113" s="151">
        <f>+IF(OR($Q113=Parametres!$G$2,$Q113=Parametres!$G$3),J113,D113)</f>
        <v>0</v>
      </c>
      <c r="P113" s="151">
        <f>+IF(OR($Q113=Parametres!$G$2,$Q113=Parametres!$G$3),K113,E113)</f>
        <v>2</v>
      </c>
      <c r="Q113" s="150" t="str">
        <f t="shared" si="7"/>
        <v>1-Mémo</v>
      </c>
      <c r="R113" s="149" t="str">
        <f t="shared" si="8"/>
        <v>164D</v>
      </c>
      <c r="S113" s="150">
        <f t="shared" si="9"/>
        <v>0</v>
      </c>
      <c r="T113" s="152" t="str">
        <f>+VLOOKUP($L113,Data_Validation!$A:$D,1,0)</f>
        <v>164D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2000</v>
      </c>
      <c r="B114" s="718" t="s">
        <v>2001</v>
      </c>
      <c r="C114" s="719"/>
      <c r="D114" s="719"/>
      <c r="E114" s="719"/>
      <c r="F114" s="718" t="s">
        <v>1</v>
      </c>
      <c r="G114" s="718" t="s">
        <v>2002</v>
      </c>
      <c r="H114" s="719"/>
      <c r="I114" s="720">
        <v>0.5</v>
      </c>
      <c r="J114" s="720">
        <v>0</v>
      </c>
      <c r="K114" s="720">
        <v>0.5</v>
      </c>
      <c r="L114" s="149" t="str">
        <f t="shared" si="5"/>
        <v>166A</v>
      </c>
      <c r="M114" s="150" t="str">
        <f t="shared" si="6"/>
        <v>NB EMP. AUTRES - NEUF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166</v>
      </c>
      <c r="S114" s="150">
        <f t="shared" si="9"/>
        <v>0</v>
      </c>
      <c r="T114" s="152" t="str">
        <f>+VLOOKUP($L114,Data_Validation!$A:$D,1,0)</f>
        <v>166A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2003</v>
      </c>
      <c r="B115" s="718" t="s">
        <v>2004</v>
      </c>
      <c r="C115" s="720"/>
      <c r="D115" s="720"/>
      <c r="E115" s="720"/>
      <c r="F115" s="718" t="s">
        <v>1</v>
      </c>
      <c r="G115" s="718" t="s">
        <v>2002</v>
      </c>
      <c r="H115" s="673"/>
      <c r="I115" s="673">
        <v>0.5</v>
      </c>
      <c r="J115" s="673">
        <v>0</v>
      </c>
      <c r="K115" s="673">
        <v>0.5</v>
      </c>
      <c r="L115" s="149" t="str">
        <f t="shared" si="5"/>
        <v>166B</v>
      </c>
      <c r="M115" s="150" t="str">
        <f t="shared" si="6"/>
        <v>NB EMP. AUTRES - USAGE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166</v>
      </c>
      <c r="S115" s="150">
        <f t="shared" si="9"/>
        <v>0</v>
      </c>
      <c r="T115" s="152" t="str">
        <f>+VLOOKUP($L115,Data_Validation!$A:$D,1,0)</f>
        <v>166B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2002</v>
      </c>
      <c r="H116" s="666"/>
      <c r="I116" s="665">
        <v>1.5</v>
      </c>
      <c r="J116" s="665">
        <v>0</v>
      </c>
      <c r="K116" s="665">
        <v>1.5</v>
      </c>
      <c r="L116" s="149" t="str">
        <f t="shared" si="5"/>
        <v>166C</v>
      </c>
      <c r="M116" s="150" t="str">
        <f t="shared" si="6"/>
        <v>NB EMP. AUTRES - SERVICE</v>
      </c>
      <c r="N116" s="151">
        <f>+IF(OR($Q116=Parametres!$G$2,$Q116=Parametres!$G$3),I116,C116)</f>
        <v>1.5</v>
      </c>
      <c r="O116" s="151">
        <f>+IF(OR($Q116=Parametres!$G$2,$Q116=Parametres!$G$3),J116,D116)</f>
        <v>0</v>
      </c>
      <c r="P116" s="151">
        <f>+IF(OR($Q116=Parametres!$G$2,$Q116=Parametres!$G$3),K116,E116)</f>
        <v>1.5</v>
      </c>
      <c r="Q116" s="150" t="str">
        <f t="shared" si="7"/>
        <v>1-Mémo</v>
      </c>
      <c r="R116" s="149" t="str">
        <f t="shared" si="8"/>
        <v>166</v>
      </c>
      <c r="S116" s="150">
        <f t="shared" si="9"/>
        <v>0</v>
      </c>
      <c r="T116" s="152" t="str">
        <f>+VLOOKUP($L116,Data_Validation!$A:$D,1,0)</f>
        <v>166C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1342</v>
      </c>
      <c r="B117" s="718" t="s">
        <v>588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2</v>
      </c>
      <c r="J117" s="720">
        <v>0</v>
      </c>
      <c r="K117" s="720">
        <v>2</v>
      </c>
      <c r="L117" s="149" t="str">
        <f t="shared" si="5"/>
        <v>166Z</v>
      </c>
      <c r="M117" s="150" t="str">
        <f t="shared" si="6"/>
        <v>NB EMP. AUTRES - ADMIN.</v>
      </c>
      <c r="N117" s="151">
        <f>+IF(OR($Q117=Parametres!$G$2,$Q117=Parametres!$G$3),I117,C117)</f>
        <v>2</v>
      </c>
      <c r="O117" s="151">
        <f>+IF(OR($Q117=Parametres!$G$2,$Q117=Parametres!$G$3),J117,D117)</f>
        <v>0</v>
      </c>
      <c r="P117" s="151">
        <f>+IF(OR($Q117=Parametres!$G$2,$Q117=Parametres!$G$3),K117,E117)</f>
        <v>2</v>
      </c>
      <c r="Q117" s="150" t="str">
        <f t="shared" si="7"/>
        <v>1-Mémo</v>
      </c>
      <c r="R117" s="149" t="str">
        <f t="shared" si="8"/>
        <v>166</v>
      </c>
      <c r="S117" s="150">
        <f t="shared" si="9"/>
        <v>0</v>
      </c>
      <c r="T117" s="152" t="str">
        <f>+VLOOKUP($L117,Data_Validation!$A:$D,1,0)</f>
        <v>166Z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1343</v>
      </c>
      <c r="B118" s="718" t="s">
        <v>589</v>
      </c>
      <c r="C118" s="720"/>
      <c r="D118" s="720"/>
      <c r="E118" s="720"/>
      <c r="F118" s="718" t="s">
        <v>1</v>
      </c>
      <c r="G118" s="718" t="s">
        <v>2461</v>
      </c>
      <c r="H118" s="673"/>
      <c r="I118" s="672">
        <v>6</v>
      </c>
      <c r="J118" s="672">
        <v>0</v>
      </c>
      <c r="K118" s="672">
        <v>6</v>
      </c>
      <c r="L118" s="149" t="str">
        <f t="shared" si="5"/>
        <v>170C</v>
      </c>
      <c r="M118" s="150" t="str">
        <f t="shared" si="6"/>
        <v>NB EMP. MECANICIENS - SERVICE</v>
      </c>
      <c r="N118" s="151">
        <f>+IF(OR($Q118=Parametres!$G$2,$Q118=Parametres!$G$3),I118,C118)</f>
        <v>6</v>
      </c>
      <c r="O118" s="151">
        <f>+IF(OR($Q118=Parametres!$G$2,$Q118=Parametres!$G$3),J118,D118)</f>
        <v>0</v>
      </c>
      <c r="P118" s="151">
        <f>+IF(OR($Q118=Parametres!$G$2,$Q118=Parametres!$G$3),K118,E118)</f>
        <v>6</v>
      </c>
      <c r="Q118" s="150" t="str">
        <f t="shared" si="7"/>
        <v>1-Mémo</v>
      </c>
      <c r="R118" s="149" t="str">
        <f t="shared" si="8"/>
        <v>170</v>
      </c>
      <c r="S118" s="150">
        <f t="shared" si="9"/>
        <v>0</v>
      </c>
      <c r="T118" s="152" t="str">
        <f>+VLOOKUP($L118,Data_Validation!$A:$D,1,0)</f>
        <v>170C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1344</v>
      </c>
      <c r="B119" s="718" t="s">
        <v>1345</v>
      </c>
      <c r="C119" s="719"/>
      <c r="D119" s="719"/>
      <c r="E119" s="719"/>
      <c r="F119" s="718" t="s">
        <v>1</v>
      </c>
      <c r="G119" s="718" t="s">
        <v>1345</v>
      </c>
      <c r="H119" s="719"/>
      <c r="I119" s="720">
        <v>0.08</v>
      </c>
      <c r="J119" s="720">
        <v>0</v>
      </c>
      <c r="K119" s="720">
        <v>0.08</v>
      </c>
      <c r="L119" s="149" t="str">
        <f t="shared" si="5"/>
        <v>172M</v>
      </c>
      <c r="M119" s="150" t="str">
        <f t="shared" si="6"/>
        <v># DE BAIE DE TECHNICIEN</v>
      </c>
      <c r="N119" s="151">
        <f>+IF(OR($Q119=Parametres!$G$2,$Q119=Parametres!$G$3),I119,C119)</f>
        <v>0.08</v>
      </c>
      <c r="O119" s="151">
        <f>+IF(OR($Q119=Parametres!$G$2,$Q119=Parametres!$G$3),J119,D119)</f>
        <v>0</v>
      </c>
      <c r="P119" s="151">
        <f>+IF(OR($Q119=Parametres!$G$2,$Q119=Parametres!$G$3),K119,E119)</f>
        <v>0.08</v>
      </c>
      <c r="Q119" s="150" t="str">
        <f t="shared" si="7"/>
        <v>1-Mémo</v>
      </c>
      <c r="R119" s="149" t="str">
        <f t="shared" si="8"/>
        <v>172M</v>
      </c>
      <c r="S119" s="150">
        <f t="shared" si="9"/>
        <v>0</v>
      </c>
      <c r="T119" s="152" t="str">
        <f>+VLOOKUP($L119,Data_Validation!$A:$D,1,0)</f>
        <v>172M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1346</v>
      </c>
      <c r="B120" s="718" t="s">
        <v>1347</v>
      </c>
      <c r="C120" s="720"/>
      <c r="D120" s="720"/>
      <c r="E120" s="720"/>
      <c r="F120" s="718" t="s">
        <v>1</v>
      </c>
      <c r="G120" s="718" t="s">
        <v>1347</v>
      </c>
      <c r="H120" s="673"/>
      <c r="I120" s="672">
        <v>0.04</v>
      </c>
      <c r="J120" s="672">
        <v>0</v>
      </c>
      <c r="K120" s="672">
        <v>0.04</v>
      </c>
      <c r="L120" s="149" t="str">
        <f t="shared" si="5"/>
        <v>172N</v>
      </c>
      <c r="M120" s="150" t="str">
        <f t="shared" si="6"/>
        <v># DE BAIE DE LAVAGE</v>
      </c>
      <c r="N120" s="151">
        <f>+IF(OR($Q120=Parametres!$G$2,$Q120=Parametres!$G$3),I120,C120)</f>
        <v>0.04</v>
      </c>
      <c r="O120" s="151">
        <f>+IF(OR($Q120=Parametres!$G$2,$Q120=Parametres!$G$3),J120,D120)</f>
        <v>0</v>
      </c>
      <c r="P120" s="151">
        <f>+IF(OR($Q120=Parametres!$G$2,$Q120=Parametres!$G$3),K120,E120)</f>
        <v>0.04</v>
      </c>
      <c r="Q120" s="150" t="str">
        <f t="shared" si="7"/>
        <v>1-Mémo</v>
      </c>
      <c r="R120" s="149" t="str">
        <f t="shared" si="8"/>
        <v>172N</v>
      </c>
      <c r="S120" s="150">
        <f t="shared" si="9"/>
        <v>0</v>
      </c>
      <c r="T120" s="152" t="str">
        <f>+VLOOKUP($L120,Data_Validation!$A:$D,1,0)</f>
        <v>172N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1348</v>
      </c>
      <c r="B121" s="718" t="s">
        <v>590</v>
      </c>
      <c r="C121" s="720"/>
      <c r="D121" s="720"/>
      <c r="E121" s="720"/>
      <c r="F121" s="718" t="s">
        <v>1</v>
      </c>
      <c r="G121" s="718" t="s">
        <v>2456</v>
      </c>
      <c r="H121" s="666"/>
      <c r="I121" s="665">
        <v>2</v>
      </c>
      <c r="J121" s="665">
        <v>0</v>
      </c>
      <c r="K121" s="665">
        <v>2</v>
      </c>
      <c r="L121" s="149" t="str">
        <f t="shared" si="5"/>
        <v>173C</v>
      </c>
      <c r="M121" s="150" t="str">
        <f t="shared" si="6"/>
        <v>NB EMP. AVISEURS - SERVICE</v>
      </c>
      <c r="N121" s="151">
        <f>+IF(OR($Q121=Parametres!$G$2,$Q121=Parametres!$G$3),I121,C121)</f>
        <v>2</v>
      </c>
      <c r="O121" s="151">
        <f>+IF(OR($Q121=Parametres!$G$2,$Q121=Parametres!$G$3),J121,D121)</f>
        <v>0</v>
      </c>
      <c r="P121" s="151">
        <f>+IF(OR($Q121=Parametres!$G$2,$Q121=Parametres!$G$3),K121,E121)</f>
        <v>2</v>
      </c>
      <c r="Q121" s="150" t="str">
        <f t="shared" si="7"/>
        <v>1-Mémo</v>
      </c>
      <c r="R121" s="149" t="str">
        <f t="shared" si="8"/>
        <v>173</v>
      </c>
      <c r="S121" s="150">
        <f t="shared" si="9"/>
        <v>0</v>
      </c>
      <c r="T121" s="152" t="str">
        <f>+VLOOKUP($L121,Data_Validation!$A:$D,1,0)</f>
        <v>173C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1349</v>
      </c>
      <c r="B122" s="718" t="s">
        <v>591</v>
      </c>
      <c r="C122" s="720"/>
      <c r="D122" s="720"/>
      <c r="E122" s="720"/>
      <c r="F122" s="718" t="s">
        <v>1</v>
      </c>
      <c r="G122" s="718" t="s">
        <v>2457</v>
      </c>
      <c r="H122" s="673"/>
      <c r="I122" s="672">
        <v>179.95</v>
      </c>
      <c r="J122" s="672">
        <v>0</v>
      </c>
      <c r="K122" s="672">
        <v>179.95</v>
      </c>
      <c r="L122" s="149" t="str">
        <f t="shared" si="5"/>
        <v>175A</v>
      </c>
      <c r="M122" s="150" t="str">
        <f t="shared" si="6"/>
        <v>TAUX M/O CLIENT BMW</v>
      </c>
      <c r="N122" s="151">
        <f>+IF(OR($Q122=Parametres!$G$2,$Q122=Parametres!$G$3),I122,C122)</f>
        <v>179.95</v>
      </c>
      <c r="O122" s="504">
        <f>+IF(OR($Q122=Parametres!$G$2,$Q122=Parametres!$G$3),J122,D122)</f>
        <v>0</v>
      </c>
      <c r="P122" s="151">
        <f>+IF(OR($Q122=Parametres!$G$2,$Q122=Parametres!$G$3),K122,E122)</f>
        <v>179.95</v>
      </c>
      <c r="Q122" s="150" t="str">
        <f t="shared" si="7"/>
        <v>1-Mémo</v>
      </c>
      <c r="R122" s="149" t="str">
        <f t="shared" si="8"/>
        <v>175</v>
      </c>
      <c r="S122" s="150">
        <f t="shared" si="9"/>
        <v>0</v>
      </c>
      <c r="T122" s="152" t="str">
        <f>+VLOOKUP($L122,Data_Validation!$A:$D,1,0)</f>
        <v>175A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1350</v>
      </c>
      <c r="B123" s="718" t="s">
        <v>592</v>
      </c>
      <c r="C123" s="720"/>
      <c r="D123" s="720"/>
      <c r="E123" s="720"/>
      <c r="F123" s="718" t="s">
        <v>1</v>
      </c>
      <c r="G123" s="718" t="s">
        <v>2458</v>
      </c>
      <c r="H123" s="607"/>
      <c r="I123" s="153">
        <v>135.24</v>
      </c>
      <c r="J123" s="153">
        <v>0</v>
      </c>
      <c r="K123" s="153">
        <v>135.24</v>
      </c>
      <c r="L123" s="149" t="str">
        <f t="shared" si="5"/>
        <v>176A</v>
      </c>
      <c r="M123" s="150" t="str">
        <f t="shared" si="6"/>
        <v>TAUX M/O GARANTIE BMW</v>
      </c>
      <c r="N123" s="151">
        <f>+IF(OR($Q123=Parametres!$G$2,$Q123=Parametres!$G$3),I123,C123)</f>
        <v>135.24</v>
      </c>
      <c r="O123" s="504">
        <f>+IF(OR($Q123=Parametres!$G$2,$Q123=Parametres!$G$3),J123,D123)</f>
        <v>0</v>
      </c>
      <c r="P123" s="151">
        <f>+IF(OR($Q123=Parametres!$G$2,$Q123=Parametres!$G$3),K123,E123)</f>
        <v>135.24</v>
      </c>
      <c r="Q123" s="150" t="str">
        <f t="shared" si="7"/>
        <v>1-Mémo</v>
      </c>
      <c r="R123" s="149" t="str">
        <f t="shared" si="8"/>
        <v>176</v>
      </c>
      <c r="S123" s="150">
        <f t="shared" si="9"/>
        <v>0</v>
      </c>
      <c r="T123" s="152" t="str">
        <f>+VLOOKUP($L123,Data_Validation!$A:$D,1,0)</f>
        <v>176A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1351</v>
      </c>
      <c r="B124" s="718" t="s">
        <v>593</v>
      </c>
      <c r="C124" s="720"/>
      <c r="D124" s="720"/>
      <c r="E124" s="720"/>
      <c r="F124" s="718" t="s">
        <v>1</v>
      </c>
      <c r="G124" s="718" t="s">
        <v>2459</v>
      </c>
      <c r="H124" s="609"/>
      <c r="I124" s="608">
        <v>179.95</v>
      </c>
      <c r="J124" s="608">
        <v>0</v>
      </c>
      <c r="K124" s="608">
        <v>179.95</v>
      </c>
      <c r="L124" s="149" t="str">
        <f t="shared" si="5"/>
        <v>177A</v>
      </c>
      <c r="M124" s="150" t="str">
        <f t="shared" si="6"/>
        <v>TAUX M/O INTERNE BMW</v>
      </c>
      <c r="N124" s="151">
        <f>+IF(OR($Q124=Parametres!$G$2,$Q124=Parametres!$G$3),I124,C124)</f>
        <v>179.95</v>
      </c>
      <c r="O124" s="151">
        <f>+IF(OR($Q124=Parametres!$G$2,$Q124=Parametres!$G$3),J124,D124)</f>
        <v>0</v>
      </c>
      <c r="P124" s="151">
        <f>+IF(OR($Q124=Parametres!$G$2,$Q124=Parametres!$G$3),K124,E124)</f>
        <v>179.95</v>
      </c>
      <c r="Q124" s="150" t="str">
        <f t="shared" si="7"/>
        <v>1-Mémo</v>
      </c>
      <c r="R124" s="149" t="str">
        <f t="shared" si="8"/>
        <v>177</v>
      </c>
      <c r="S124" s="150">
        <f t="shared" si="9"/>
        <v>0</v>
      </c>
      <c r="T124" s="152" t="str">
        <f>+VLOOKUP($L124,Data_Validation!$A:$D,1,0)</f>
        <v>177A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1352</v>
      </c>
      <c r="B125" s="718" t="s">
        <v>1353</v>
      </c>
      <c r="C125" s="720"/>
      <c r="D125" s="720"/>
      <c r="E125" s="720"/>
      <c r="F125" s="718" t="s">
        <v>1</v>
      </c>
      <c r="G125" s="718" t="s">
        <v>2459</v>
      </c>
      <c r="H125" s="607"/>
      <c r="I125" s="608">
        <v>70</v>
      </c>
      <c r="J125" s="608">
        <v>0</v>
      </c>
      <c r="K125" s="608">
        <v>70</v>
      </c>
      <c r="L125" s="149" t="str">
        <f t="shared" si="5"/>
        <v>177S</v>
      </c>
      <c r="M125" s="150" t="str">
        <f t="shared" si="6"/>
        <v>TAUX M/O PROGRAMME SPA BMW</v>
      </c>
      <c r="N125" s="151">
        <f>+IF(OR($Q125=Parametres!$G$2,$Q125=Parametres!$G$3),I125,C125)</f>
        <v>70</v>
      </c>
      <c r="O125" s="151">
        <f>+IF(OR($Q125=Parametres!$G$2,$Q125=Parametres!$G$3),J125,D125)</f>
        <v>0</v>
      </c>
      <c r="P125" s="151">
        <f>+IF(OR($Q125=Parametres!$G$2,$Q125=Parametres!$G$3),K125,E125)</f>
        <v>70</v>
      </c>
      <c r="Q125" s="150" t="str">
        <f t="shared" si="7"/>
        <v>1-Mémo</v>
      </c>
      <c r="R125" s="149" t="str">
        <f t="shared" si="8"/>
        <v>177</v>
      </c>
      <c r="S125" s="150">
        <f t="shared" si="9"/>
        <v>0</v>
      </c>
      <c r="T125" s="152" t="str">
        <f>+VLOOKUP($L125,Data_Validation!$A:$D,1,0)</f>
        <v>177S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1354</v>
      </c>
      <c r="B126" s="718" t="s">
        <v>594</v>
      </c>
      <c r="C126" s="720"/>
      <c r="D126" s="720"/>
      <c r="E126" s="720"/>
      <c r="F126" s="718" t="s">
        <v>1</v>
      </c>
      <c r="G126" s="718" t="s">
        <v>2460</v>
      </c>
      <c r="H126" s="673"/>
      <c r="I126" s="673">
        <v>168.38</v>
      </c>
      <c r="J126" s="673">
        <v>-4.68</v>
      </c>
      <c r="K126" s="673">
        <v>163.69999999999999</v>
      </c>
      <c r="L126" s="149" t="str">
        <f t="shared" si="5"/>
        <v>178D</v>
      </c>
      <c r="M126" s="150" t="str">
        <f t="shared" si="6"/>
        <v>PRODUCTIVITE TECHNICIEN</v>
      </c>
      <c r="N126" s="151">
        <f>+IF(OR($Q126=Parametres!$G$2,$Q126=Parametres!$G$3),I126,C126)</f>
        <v>168.38</v>
      </c>
      <c r="O126" s="504">
        <f>+IF(OR($Q126=Parametres!$G$2,$Q126=Parametres!$G$3),J126,D126)</f>
        <v>-4.68</v>
      </c>
      <c r="P126" s="151">
        <f>+IF(OR($Q126=Parametres!$G$2,$Q126=Parametres!$G$3),K126,E126)</f>
        <v>163.69999999999999</v>
      </c>
      <c r="Q126" s="150" t="str">
        <f t="shared" si="7"/>
        <v>1-Mémo</v>
      </c>
      <c r="R126" s="149" t="str">
        <f t="shared" si="8"/>
        <v>178</v>
      </c>
      <c r="S126" s="150">
        <f t="shared" si="9"/>
        <v>0</v>
      </c>
      <c r="T126" s="152" t="str">
        <f>+VLOOKUP($L126,Data_Validation!$A:$D,1,0)</f>
        <v>178D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1355</v>
      </c>
      <c r="B127" s="718" t="s">
        <v>595</v>
      </c>
      <c r="C127" s="720"/>
      <c r="D127" s="720"/>
      <c r="E127" s="720"/>
      <c r="F127" s="718" t="s">
        <v>1</v>
      </c>
      <c r="G127" s="718" t="s">
        <v>595</v>
      </c>
      <c r="H127" s="673"/>
      <c r="I127" s="672">
        <v>2.11</v>
      </c>
      <c r="J127" s="672">
        <v>0.21</v>
      </c>
      <c r="K127" s="672">
        <v>2.3199999999999998</v>
      </c>
      <c r="L127" s="149" t="str">
        <f t="shared" si="5"/>
        <v>179</v>
      </c>
      <c r="M127" s="150" t="str">
        <f t="shared" si="6"/>
        <v>NOMBRE DE JOURS OUVRABLE SERVICE</v>
      </c>
      <c r="N127" s="151">
        <f>+IF(OR($Q127=Parametres!$G$2,$Q127=Parametres!$G$3),I127,C127)</f>
        <v>2.11</v>
      </c>
      <c r="O127" s="504">
        <f>+IF(OR($Q127=Parametres!$G$2,$Q127=Parametres!$G$3),J127,D127)</f>
        <v>0.21</v>
      </c>
      <c r="P127" s="151">
        <f>+IF(OR($Q127=Parametres!$G$2,$Q127=Parametres!$G$3),K127,E127)</f>
        <v>2.3199999999999998</v>
      </c>
      <c r="Q127" s="150" t="str">
        <f t="shared" si="7"/>
        <v>1-Mémo</v>
      </c>
      <c r="R127" s="149" t="str">
        <f t="shared" si="8"/>
        <v>179</v>
      </c>
      <c r="S127" s="150">
        <f t="shared" si="9"/>
        <v>0</v>
      </c>
      <c r="T127" s="152" t="str">
        <f>+VLOOKUP($L127,Data_Validation!$A:$D,1,0)</f>
        <v>179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399</v>
      </c>
      <c r="B128" s="718" t="s">
        <v>370</v>
      </c>
      <c r="C128" s="719">
        <v>-41951.88</v>
      </c>
      <c r="D128" s="719">
        <v>930161.66</v>
      </c>
      <c r="E128" s="719">
        <v>888209.78</v>
      </c>
      <c r="F128" s="718" t="s">
        <v>2227</v>
      </c>
      <c r="G128" s="718" t="s">
        <v>370</v>
      </c>
      <c r="H128" s="719"/>
      <c r="I128" s="720"/>
      <c r="J128" s="720"/>
      <c r="K128" s="720"/>
      <c r="L128" s="149" t="str">
        <f t="shared" si="5"/>
        <v>205</v>
      </c>
      <c r="M128" s="150" t="str">
        <f t="shared" si="6"/>
        <v>CONTRATS EN TRANSIT</v>
      </c>
      <c r="N128" s="151">
        <f>+IF(OR($Q128=Parametres!$G$2,$Q128=Parametres!$G$3),I128,C128)</f>
        <v>-41951.88</v>
      </c>
      <c r="O128" s="151">
        <f>+IF(OR($Q128=Parametres!$G$2,$Q128=Parametres!$G$3),J128,D128)</f>
        <v>930161.66</v>
      </c>
      <c r="P128" s="151">
        <f>+IF(OR($Q128=Parametres!$G$2,$Q128=Parametres!$G$3),K128,E128)</f>
        <v>888209.78</v>
      </c>
      <c r="Q128" s="150" t="str">
        <f t="shared" si="7"/>
        <v>2-Actifs</v>
      </c>
      <c r="R128" s="149" t="str">
        <f t="shared" si="8"/>
        <v>205</v>
      </c>
      <c r="S128" s="150">
        <f t="shared" si="9"/>
        <v>0</v>
      </c>
      <c r="T128" s="152" t="str">
        <f>+VLOOKUP($L128,Data_Validation!$A:$D,1,0)</f>
        <v>205</v>
      </c>
      <c r="U128" s="152" t="str">
        <f>+VLOOKUP($L128,Data_Validation!$A:$D,3,0)</f>
        <v>Bilan</v>
      </c>
      <c r="V128" s="152" t="str">
        <f>+VLOOKUP($L128,Data_Validation!$A:$D,4,0)</f>
        <v>Recevables Contrats en Transit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1817</v>
      </c>
      <c r="B129" s="718" t="s">
        <v>392</v>
      </c>
      <c r="C129" s="720">
        <v>-9656.1200000000008</v>
      </c>
      <c r="D129" s="720">
        <v>0</v>
      </c>
      <c r="E129" s="720">
        <v>-9656.1200000000008</v>
      </c>
      <c r="F129" s="718" t="s">
        <v>2227</v>
      </c>
      <c r="G129" s="718" t="s">
        <v>392</v>
      </c>
      <c r="H129" s="673"/>
      <c r="I129" s="672"/>
      <c r="J129" s="672"/>
      <c r="K129" s="672"/>
      <c r="L129" s="149" t="str">
        <f t="shared" si="5"/>
        <v>223</v>
      </c>
      <c r="M129" s="150" t="str">
        <f t="shared" si="6"/>
        <v>PROVISION CREANCE DOUTEUSE</v>
      </c>
      <c r="N129" s="151">
        <f>+IF(OR($Q129=Parametres!$G$2,$Q129=Parametres!$G$3),I129,C129)</f>
        <v>-9656.1200000000008</v>
      </c>
      <c r="O129" s="151">
        <f>+IF(OR($Q129=Parametres!$G$2,$Q129=Parametres!$G$3),J129,D129)</f>
        <v>0</v>
      </c>
      <c r="P129" s="151">
        <f>+IF(OR($Q129=Parametres!$G$2,$Q129=Parametres!$G$3),K129,E129)</f>
        <v>-9656.1200000000008</v>
      </c>
      <c r="Q129" s="150" t="str">
        <f t="shared" si="7"/>
        <v>2-Actifs</v>
      </c>
      <c r="R129" s="149" t="str">
        <f t="shared" si="8"/>
        <v>223</v>
      </c>
      <c r="S129" s="150">
        <f t="shared" si="9"/>
        <v>0</v>
      </c>
      <c r="T129" s="152" t="str">
        <f>+VLOOKUP($L129,Data_Validation!$A:$D,1,0)</f>
        <v>223</v>
      </c>
      <c r="U129" s="152" t="str">
        <f>+VLOOKUP($L129,Data_Validation!$A:$D,3,0)</f>
        <v>Bilan</v>
      </c>
      <c r="V129" s="152" t="str">
        <f>+VLOOKUP($L129,Data_Validation!$A:$D,4,0)</f>
        <v>Recevables Pièces et Service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1779</v>
      </c>
      <c r="B130" s="718" t="s">
        <v>1780</v>
      </c>
      <c r="C130" s="720">
        <v>-5873.93</v>
      </c>
      <c r="D130" s="720">
        <v>-1000</v>
      </c>
      <c r="E130" s="720">
        <v>-6873.93</v>
      </c>
      <c r="F130" s="718" t="s">
        <v>2227</v>
      </c>
      <c r="G130" s="718" t="s">
        <v>2247</v>
      </c>
      <c r="H130" s="673"/>
      <c r="I130" s="672"/>
      <c r="J130" s="672"/>
      <c r="K130" s="672"/>
      <c r="L130" s="149" t="str">
        <f t="shared" ref="L130:L193" si="10">+B130</f>
        <v>270B</v>
      </c>
      <c r="M130" s="150" t="str">
        <f t="shared" ref="M130:M193" si="11">+A130</f>
        <v>ELECTRICITE PAYES D'AVANCE</v>
      </c>
      <c r="N130" s="151">
        <f>+IF(OR($Q130=Parametres!$G$2,$Q130=Parametres!$G$3),I130,C130)</f>
        <v>-5873.93</v>
      </c>
      <c r="O130" s="151">
        <f>+IF(OR($Q130=Parametres!$G$2,$Q130=Parametres!$G$3),J130,D130)</f>
        <v>-1000</v>
      </c>
      <c r="P130" s="151">
        <f>+IF(OR($Q130=Parametres!$G$2,$Q130=Parametres!$G$3),K130,E130)</f>
        <v>-6873.93</v>
      </c>
      <c r="Q130" s="150" t="str">
        <f t="shared" ref="Q130:Q193" si="12">+F130</f>
        <v>2-Actifs</v>
      </c>
      <c r="R130" s="149" t="str">
        <f t="shared" ref="R130:R193" si="13">+G130</f>
        <v>270</v>
      </c>
      <c r="S130" s="150">
        <f t="shared" ref="S130:S193" si="14">+H130</f>
        <v>0</v>
      </c>
      <c r="T130" s="152" t="str">
        <f>+VLOOKUP($L130,Data_Validation!$A:$D,1,0)</f>
        <v>270B</v>
      </c>
      <c r="U130" s="152" t="str">
        <f>+VLOOKUP($L130,Data_Validation!$A:$D,3,0)</f>
        <v>Bilan</v>
      </c>
      <c r="V130" s="152" t="str">
        <f>+VLOOKUP($L130,Data_Validation!$A:$D,4,0)</f>
        <v>Autres courus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1802</v>
      </c>
      <c r="B131" s="718" t="s">
        <v>442</v>
      </c>
      <c r="C131" s="720">
        <v>-5000</v>
      </c>
      <c r="D131" s="720">
        <v>0</v>
      </c>
      <c r="E131" s="720">
        <v>-5000</v>
      </c>
      <c r="F131" s="718" t="s">
        <v>2227</v>
      </c>
      <c r="G131" s="718" t="s">
        <v>386</v>
      </c>
      <c r="H131" s="673"/>
      <c r="I131" s="672"/>
      <c r="J131" s="672"/>
      <c r="K131" s="672"/>
      <c r="L131" s="149" t="str">
        <f t="shared" si="10"/>
        <v>275C</v>
      </c>
      <c r="M131" s="150" t="str">
        <f t="shared" si="11"/>
        <v>FPA PUB USAGE</v>
      </c>
      <c r="N131" s="151">
        <f>+IF(OR($Q131=Parametres!$G$2,$Q131=Parametres!$G$3),I131,C131)</f>
        <v>-5000</v>
      </c>
      <c r="O131" s="151">
        <f>+IF(OR($Q131=Parametres!$G$2,$Q131=Parametres!$G$3),J131,D131)</f>
        <v>0</v>
      </c>
      <c r="P131" s="151">
        <f>+IF(OR($Q131=Parametres!$G$2,$Q131=Parametres!$G$3),K131,E131)</f>
        <v>-5000</v>
      </c>
      <c r="Q131" s="150" t="str">
        <f t="shared" si="12"/>
        <v>2-Actifs</v>
      </c>
      <c r="R131" s="149" t="str">
        <f t="shared" si="13"/>
        <v>274</v>
      </c>
      <c r="S131" s="150">
        <f t="shared" si="14"/>
        <v>0</v>
      </c>
      <c r="T131" s="152" t="str">
        <f>+VLOOKUP($L131,Data_Validation!$A:$D,1,0)</f>
        <v>275C</v>
      </c>
      <c r="U131" s="152" t="str">
        <f>+VLOOKUP($L131,Data_Validation!$A:$D,3,0)</f>
        <v>Bilan</v>
      </c>
      <c r="V131" s="152" t="str">
        <f>+VLOOKUP($L131,Data_Validation!$A:$D,4,0)</f>
        <v>Frais Payés d'Avance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405</v>
      </c>
      <c r="B132" s="718" t="s">
        <v>406</v>
      </c>
      <c r="C132" s="720">
        <v>-3413.08</v>
      </c>
      <c r="D132" s="720">
        <v>2971.83</v>
      </c>
      <c r="E132" s="720">
        <v>-441.25</v>
      </c>
      <c r="F132" s="718" t="s">
        <v>2227</v>
      </c>
      <c r="G132" s="718" t="s">
        <v>386</v>
      </c>
      <c r="H132" s="673"/>
      <c r="I132" s="672"/>
      <c r="J132" s="672"/>
      <c r="K132" s="672"/>
      <c r="L132" s="149" t="str">
        <f t="shared" si="10"/>
        <v>279B</v>
      </c>
      <c r="M132" s="150" t="str">
        <f t="shared" si="11"/>
        <v>FPA AUTRES</v>
      </c>
      <c r="N132" s="151">
        <f>+IF(OR($Q132=Parametres!$G$2,$Q132=Parametres!$G$3),I132,C132)</f>
        <v>-3413.08</v>
      </c>
      <c r="O132" s="151">
        <f>+IF(OR($Q132=Parametres!$G$2,$Q132=Parametres!$G$3),J132,D132)</f>
        <v>2971.83</v>
      </c>
      <c r="P132" s="151">
        <f>+IF(OR($Q132=Parametres!$G$2,$Q132=Parametres!$G$3),K132,E132)</f>
        <v>-441.25</v>
      </c>
      <c r="Q132" s="150" t="str">
        <f t="shared" si="12"/>
        <v>2-Actifs</v>
      </c>
      <c r="R132" s="149" t="str">
        <f t="shared" si="13"/>
        <v>274</v>
      </c>
      <c r="S132" s="150">
        <f t="shared" si="14"/>
        <v>0</v>
      </c>
      <c r="T132" s="152" t="str">
        <f>+VLOOKUP($L132,Data_Validation!$A:$D,1,0)</f>
        <v>279B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940</v>
      </c>
      <c r="B133" s="718" t="s">
        <v>386</v>
      </c>
      <c r="C133" s="720">
        <v>-2750</v>
      </c>
      <c r="D133" s="720">
        <v>3125</v>
      </c>
      <c r="E133" s="720">
        <v>375</v>
      </c>
      <c r="F133" s="718" t="s">
        <v>2227</v>
      </c>
      <c r="G133" s="718" t="s">
        <v>386</v>
      </c>
      <c r="H133" s="673"/>
      <c r="I133" s="672"/>
      <c r="J133" s="672"/>
      <c r="K133" s="672"/>
      <c r="L133" s="149" t="str">
        <f t="shared" si="10"/>
        <v>274</v>
      </c>
      <c r="M133" s="150" t="str">
        <f t="shared" si="11"/>
        <v>FPA CONTRATS DE SERVICE</v>
      </c>
      <c r="N133" s="151">
        <f>+IF(OR($Q133=Parametres!$G$2,$Q133=Parametres!$G$3),I133,C133)</f>
        <v>-2750</v>
      </c>
      <c r="O133" s="151">
        <f>+IF(OR($Q133=Parametres!$G$2,$Q133=Parametres!$G$3),J133,D133)</f>
        <v>3125</v>
      </c>
      <c r="P133" s="151">
        <f>+IF(OR($Q133=Parametres!$G$2,$Q133=Parametres!$G$3),K133,E133)</f>
        <v>375</v>
      </c>
      <c r="Q133" s="150" t="str">
        <f t="shared" si="12"/>
        <v>2-Actifs</v>
      </c>
      <c r="R133" s="149" t="str">
        <f t="shared" si="13"/>
        <v>274</v>
      </c>
      <c r="S133" s="150">
        <f t="shared" si="14"/>
        <v>0</v>
      </c>
      <c r="T133" s="152" t="str">
        <f>+VLOOKUP($L133,Data_Validation!$A:$D,1,0)</f>
        <v>274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1192</v>
      </c>
      <c r="B134" s="718" t="s">
        <v>881</v>
      </c>
      <c r="C134" s="720">
        <v>-1432.98</v>
      </c>
      <c r="D134" s="720">
        <v>2838.94</v>
      </c>
      <c r="E134" s="720">
        <v>1405.96</v>
      </c>
      <c r="F134" s="718" t="s">
        <v>2227</v>
      </c>
      <c r="G134" s="718" t="s">
        <v>881</v>
      </c>
      <c r="H134" s="673"/>
      <c r="I134" s="672"/>
      <c r="J134" s="672"/>
      <c r="K134" s="672"/>
      <c r="L134" s="149" t="str">
        <f t="shared" si="10"/>
        <v>247</v>
      </c>
      <c r="M134" s="150" t="str">
        <f t="shared" si="11"/>
        <v>INV. SOUS TRAITANCE</v>
      </c>
      <c r="N134" s="151">
        <f>+IF(OR($Q134=Parametres!$G$2,$Q134=Parametres!$G$3),I134,C134)</f>
        <v>-1432.98</v>
      </c>
      <c r="O134" s="151">
        <f>+IF(OR($Q134=Parametres!$G$2,$Q134=Parametres!$G$3),J134,D134)</f>
        <v>2838.94</v>
      </c>
      <c r="P134" s="151">
        <f>+IF(OR($Q134=Parametres!$G$2,$Q134=Parametres!$G$3),K134,E134)</f>
        <v>1405.96</v>
      </c>
      <c r="Q134" s="150" t="str">
        <f t="shared" si="12"/>
        <v>2-Actifs</v>
      </c>
      <c r="R134" s="149" t="str">
        <f t="shared" si="13"/>
        <v>247</v>
      </c>
      <c r="S134" s="150">
        <f t="shared" si="14"/>
        <v>0</v>
      </c>
      <c r="T134" s="152" t="str">
        <f>+VLOOKUP($L134,Data_Validation!$A:$D,1,0)</f>
        <v>247</v>
      </c>
      <c r="U134" s="152" t="str">
        <f>+VLOOKUP($L134,Data_Validation!$A:$D,3,0)</f>
        <v>Bilan</v>
      </c>
      <c r="V134" s="152" t="str">
        <f>+VLOOKUP($L134,Data_Validation!$A:$D,4,0)</f>
        <v>Sous-Traitance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597</v>
      </c>
      <c r="B135" s="718" t="s">
        <v>598</v>
      </c>
      <c r="C135" s="720">
        <v>-1416.2</v>
      </c>
      <c r="D135" s="720">
        <v>0</v>
      </c>
      <c r="E135" s="720">
        <v>-1416.2</v>
      </c>
      <c r="F135" s="718" t="s">
        <v>2227</v>
      </c>
      <c r="G135" s="718" t="s">
        <v>386</v>
      </c>
      <c r="H135" s="673"/>
      <c r="I135" s="672"/>
      <c r="J135" s="672"/>
      <c r="K135" s="672"/>
      <c r="L135" s="149" t="str">
        <f t="shared" si="10"/>
        <v>276B</v>
      </c>
      <c r="M135" s="150" t="str">
        <f t="shared" si="11"/>
        <v>FPA FORMATION</v>
      </c>
      <c r="N135" s="151">
        <f>+IF(OR($Q135=Parametres!$G$2,$Q135=Parametres!$G$3),I135,C135)</f>
        <v>-1416.2</v>
      </c>
      <c r="O135" s="151">
        <f>+IF(OR($Q135=Parametres!$G$2,$Q135=Parametres!$G$3),J135,D135)</f>
        <v>0</v>
      </c>
      <c r="P135" s="151">
        <f>+IF(OR($Q135=Parametres!$G$2,$Q135=Parametres!$G$3),K135,E135)</f>
        <v>-1416.2</v>
      </c>
      <c r="Q135" s="150" t="str">
        <f t="shared" si="12"/>
        <v>2-Actifs</v>
      </c>
      <c r="R135" s="149" t="str">
        <f t="shared" si="13"/>
        <v>274</v>
      </c>
      <c r="S135" s="150">
        <f t="shared" si="14"/>
        <v>0</v>
      </c>
      <c r="T135" s="152" t="str">
        <f>+VLOOKUP($L135,Data_Validation!$A:$D,1,0)</f>
        <v>276B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1917</v>
      </c>
      <c r="B136" s="718" t="s">
        <v>1918</v>
      </c>
      <c r="C136" s="719">
        <v>-1010.3</v>
      </c>
      <c r="D136" s="719">
        <v>0</v>
      </c>
      <c r="E136" s="719">
        <v>-1010.3</v>
      </c>
      <c r="F136" s="718" t="s">
        <v>2227</v>
      </c>
      <c r="G136" s="718" t="s">
        <v>451</v>
      </c>
      <c r="H136" s="719"/>
      <c r="I136" s="720"/>
      <c r="J136" s="720"/>
      <c r="K136" s="720"/>
      <c r="L136" s="149" t="str">
        <f t="shared" si="10"/>
        <v>224</v>
      </c>
      <c r="M136" s="150" t="str">
        <f t="shared" si="11"/>
        <v>PROVISION PROGRAMMES MANUFACTURIERS</v>
      </c>
      <c r="N136" s="151">
        <f>+IF(OR($Q136=Parametres!$G$2,$Q136=Parametres!$G$3),I136,C136)</f>
        <v>-1010.3</v>
      </c>
      <c r="O136" s="151">
        <f>+IF(OR($Q136=Parametres!$G$2,$Q136=Parametres!$G$3),J136,D136)</f>
        <v>0</v>
      </c>
      <c r="P136" s="151">
        <f>+IF(OR($Q136=Parametres!$G$2,$Q136=Parametres!$G$3),K136,E136)</f>
        <v>-1010.3</v>
      </c>
      <c r="Q136" s="150" t="str">
        <f t="shared" si="12"/>
        <v>2-Actifs</v>
      </c>
      <c r="R136" s="149" t="str">
        <f t="shared" si="13"/>
        <v>221A</v>
      </c>
      <c r="S136" s="150">
        <f t="shared" si="14"/>
        <v>0</v>
      </c>
      <c r="T136" s="152" t="str">
        <f>+VLOOKUP($L136,Data_Validation!$A:$D,1,0)</f>
        <v>224</v>
      </c>
      <c r="U136" s="152" t="str">
        <f>+VLOOKUP($L136,Data_Validation!$A:$D,3,0)</f>
        <v>Bilan</v>
      </c>
      <c r="V136" s="152" t="str">
        <f>+VLOOKUP($L136,Data_Validation!$A:$D,4,0)</f>
        <v>Recevables Manufacturier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1887</v>
      </c>
      <c r="B137" s="718" t="s">
        <v>1888</v>
      </c>
      <c r="C137" s="720">
        <v>-189.87</v>
      </c>
      <c r="D137" s="720">
        <v>189.87</v>
      </c>
      <c r="E137" s="720">
        <v>0</v>
      </c>
      <c r="F137" s="718" t="s">
        <v>2227</v>
      </c>
      <c r="G137" s="718" t="s">
        <v>386</v>
      </c>
      <c r="H137" s="673"/>
      <c r="I137" s="672"/>
      <c r="J137" s="672"/>
      <c r="K137" s="672"/>
      <c r="L137" s="149" t="str">
        <f t="shared" si="10"/>
        <v>275E</v>
      </c>
      <c r="M137" s="150" t="str">
        <f t="shared" si="11"/>
        <v>FPA PUB FIXE</v>
      </c>
      <c r="N137" s="151">
        <f>+IF(OR($Q137=Parametres!$G$2,$Q137=Parametres!$G$3),I137,C137)</f>
        <v>-189.87</v>
      </c>
      <c r="O137" s="151">
        <f>+IF(OR($Q137=Parametres!$G$2,$Q137=Parametres!$G$3),J137,D137)</f>
        <v>189.87</v>
      </c>
      <c r="P137" s="151">
        <f>+IF(OR($Q137=Parametres!$G$2,$Q137=Parametres!$G$3),K137,E137)</f>
        <v>0</v>
      </c>
      <c r="Q137" s="150" t="str">
        <f t="shared" si="12"/>
        <v>2-Actifs</v>
      </c>
      <c r="R137" s="149" t="str">
        <f t="shared" si="13"/>
        <v>274</v>
      </c>
      <c r="S137" s="150">
        <f t="shared" si="14"/>
        <v>0</v>
      </c>
      <c r="T137" s="152" t="str">
        <f>+VLOOKUP($L137,Data_Validation!$A:$D,1,0)</f>
        <v>275E</v>
      </c>
      <c r="U137" s="152" t="str">
        <f>+VLOOKUP($L137,Data_Validation!$A:$D,3,0)</f>
        <v>Bilan</v>
      </c>
      <c r="V137" s="152" t="str">
        <f>+VLOOKUP($L137,Data_Validation!$A:$D,4,0)</f>
        <v>Frais Payés d'Avance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2214</v>
      </c>
      <c r="B138" s="718" t="s">
        <v>2215</v>
      </c>
      <c r="C138" s="720">
        <v>0</v>
      </c>
      <c r="D138" s="720">
        <v>-459.67</v>
      </c>
      <c r="E138" s="720">
        <v>-459.67</v>
      </c>
      <c r="F138" s="718" t="s">
        <v>2227</v>
      </c>
      <c r="G138" s="718" t="s">
        <v>2215</v>
      </c>
      <c r="H138" s="673"/>
      <c r="I138" s="672"/>
      <c r="J138" s="672"/>
      <c r="K138" s="672"/>
      <c r="L138" s="149" t="str">
        <f t="shared" si="10"/>
        <v>225</v>
      </c>
      <c r="M138" s="150" t="str">
        <f t="shared" si="11"/>
        <v>VENTE COMPTANT</v>
      </c>
      <c r="N138" s="151">
        <f>+IF(OR($Q138=Parametres!$G$2,$Q138=Parametres!$G$3),I138,C138)</f>
        <v>0</v>
      </c>
      <c r="O138" s="504">
        <f>+IF(OR($Q138=Parametres!$G$2,$Q138=Parametres!$G$3),J138,D138)</f>
        <v>-459.67</v>
      </c>
      <c r="P138" s="151">
        <f>+IF(OR($Q138=Parametres!$G$2,$Q138=Parametres!$G$3),K138,E138)</f>
        <v>-459.67</v>
      </c>
      <c r="Q138" s="150" t="str">
        <f t="shared" si="12"/>
        <v>2-Actifs</v>
      </c>
      <c r="R138" s="149" t="str">
        <f t="shared" si="13"/>
        <v>225</v>
      </c>
      <c r="S138" s="150">
        <f t="shared" si="14"/>
        <v>0</v>
      </c>
      <c r="T138" s="152" t="str">
        <f>+VLOOKUP($L138,Data_Validation!$A:$D,1,0)</f>
        <v>225</v>
      </c>
      <c r="U138" s="152" t="str">
        <f>+VLOOKUP($L138,Data_Validation!$A:$D,3,0)</f>
        <v>Bilan</v>
      </c>
      <c r="V138" s="152" t="str">
        <f>+VLOOKUP($L138,Data_Validation!$A:$D,4,0)</f>
        <v>Recevables Pièces et Service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2124</v>
      </c>
      <c r="B139" s="718" t="s">
        <v>2125</v>
      </c>
      <c r="C139" s="720">
        <v>0</v>
      </c>
      <c r="D139" s="720">
        <v>16128.4</v>
      </c>
      <c r="E139" s="720">
        <v>16128.4</v>
      </c>
      <c r="F139" s="718" t="s">
        <v>2227</v>
      </c>
      <c r="G139" s="718" t="s">
        <v>2247</v>
      </c>
      <c r="H139" s="673"/>
      <c r="I139" s="673"/>
      <c r="J139" s="673"/>
      <c r="K139" s="673"/>
      <c r="L139" s="149" t="str">
        <f t="shared" si="10"/>
        <v>279</v>
      </c>
      <c r="M139" s="150" t="str">
        <f t="shared" si="11"/>
        <v>TAXES A RECEVOIR</v>
      </c>
      <c r="N139" s="151">
        <f>+IF(OR($Q139=Parametres!$G$2,$Q139=Parametres!$G$3),I139,C139)</f>
        <v>0</v>
      </c>
      <c r="O139" s="151">
        <f>+IF(OR($Q139=Parametres!$G$2,$Q139=Parametres!$G$3),J139,D139)</f>
        <v>16128.4</v>
      </c>
      <c r="P139" s="151">
        <f>+IF(OR($Q139=Parametres!$G$2,$Q139=Parametres!$G$3),K139,E139)</f>
        <v>16128.4</v>
      </c>
      <c r="Q139" s="150" t="str">
        <f t="shared" si="12"/>
        <v>2-Actifs</v>
      </c>
      <c r="R139" s="149" t="str">
        <f t="shared" si="13"/>
        <v>270</v>
      </c>
      <c r="S139" s="150">
        <f t="shared" si="14"/>
        <v>0</v>
      </c>
      <c r="T139" s="152" t="str">
        <f>+VLOOKUP($L139,Data_Validation!$A:$D,1,0)</f>
        <v>279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1942</v>
      </c>
      <c r="B140" s="718" t="s">
        <v>1943</v>
      </c>
      <c r="C140" s="720">
        <v>0</v>
      </c>
      <c r="D140" s="720">
        <v>2150</v>
      </c>
      <c r="E140" s="720">
        <v>2150</v>
      </c>
      <c r="F140" s="718" t="s">
        <v>2227</v>
      </c>
      <c r="G140" s="718" t="s">
        <v>2247</v>
      </c>
      <c r="H140" s="673"/>
      <c r="I140" s="672"/>
      <c r="J140" s="672"/>
      <c r="K140" s="672"/>
      <c r="L140" s="149" t="str">
        <f t="shared" si="10"/>
        <v>279A</v>
      </c>
      <c r="M140" s="150" t="str">
        <f t="shared" si="11"/>
        <v>INTERCO</v>
      </c>
      <c r="N140" s="151">
        <f>+IF(OR($Q140=Parametres!$G$2,$Q140=Parametres!$G$3),I140,C140)</f>
        <v>0</v>
      </c>
      <c r="O140" s="151">
        <f>+IF(OR($Q140=Parametres!$G$2,$Q140=Parametres!$G$3),J140,D140)</f>
        <v>2150</v>
      </c>
      <c r="P140" s="151">
        <f>+IF(OR($Q140=Parametres!$G$2,$Q140=Parametres!$G$3),K140,E140)</f>
        <v>2150</v>
      </c>
      <c r="Q140" s="150" t="str">
        <f t="shared" si="12"/>
        <v>2-Actifs</v>
      </c>
      <c r="R140" s="149" t="str">
        <f t="shared" si="13"/>
        <v>270</v>
      </c>
      <c r="S140" s="150">
        <f t="shared" si="14"/>
        <v>0</v>
      </c>
      <c r="T140" s="152" t="str">
        <f>+VLOOKUP($L140,Data_Validation!$A:$D,1,0)</f>
        <v>279A</v>
      </c>
      <c r="U140" s="152" t="str">
        <f>+VLOOKUP($L140,Data_Validation!$A:$D,3,0)</f>
        <v>Bilan</v>
      </c>
      <c r="V140" s="152" t="str">
        <f>+VLOOKUP($L140,Data_Validation!$A:$D,4,0)</f>
        <v>Frais Payés d'Avance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1748</v>
      </c>
      <c r="B141" s="718" t="s">
        <v>1009</v>
      </c>
      <c r="C141" s="719">
        <v>275</v>
      </c>
      <c r="D141" s="719">
        <v>-150</v>
      </c>
      <c r="E141" s="719">
        <v>125</v>
      </c>
      <c r="F141" s="718" t="s">
        <v>2227</v>
      </c>
      <c r="G141" s="718" t="s">
        <v>386</v>
      </c>
      <c r="H141" s="719"/>
      <c r="I141" s="720"/>
      <c r="J141" s="720"/>
      <c r="K141" s="720"/>
      <c r="L141" s="149" t="str">
        <f t="shared" si="10"/>
        <v>276A</v>
      </c>
      <c r="M141" s="150" t="str">
        <f t="shared" si="11"/>
        <v>FPA CCAQ</v>
      </c>
      <c r="N141" s="151">
        <f>+IF(OR($Q141=Parametres!$G$2,$Q141=Parametres!$G$3),I141,C141)</f>
        <v>275</v>
      </c>
      <c r="O141" s="151">
        <f>+IF(OR($Q141=Parametres!$G$2,$Q141=Parametres!$G$3),J141,D141)</f>
        <v>-150</v>
      </c>
      <c r="P141" s="151">
        <f>+IF(OR($Q141=Parametres!$G$2,$Q141=Parametres!$G$3),K141,E141)</f>
        <v>125</v>
      </c>
      <c r="Q141" s="150" t="str">
        <f t="shared" si="12"/>
        <v>2-Actifs</v>
      </c>
      <c r="R141" s="149" t="str">
        <f t="shared" si="13"/>
        <v>274</v>
      </c>
      <c r="S141" s="150">
        <f t="shared" si="14"/>
        <v>0</v>
      </c>
      <c r="T141" s="152" t="str">
        <f>+VLOOKUP($L141,Data_Validation!$A:$D,1,0)</f>
        <v>276A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358</v>
      </c>
      <c r="B142" s="718" t="s">
        <v>371</v>
      </c>
      <c r="C142" s="719">
        <v>700</v>
      </c>
      <c r="D142" s="719">
        <v>0</v>
      </c>
      <c r="E142" s="719">
        <v>700</v>
      </c>
      <c r="F142" s="718" t="s">
        <v>2227</v>
      </c>
      <c r="G142" s="718" t="s">
        <v>371</v>
      </c>
      <c r="H142" s="719"/>
      <c r="I142" s="720"/>
      <c r="J142" s="720"/>
      <c r="K142" s="720"/>
      <c r="L142" s="149" t="str">
        <f t="shared" si="10"/>
        <v>200</v>
      </c>
      <c r="M142" s="150" t="str">
        <f t="shared" si="11"/>
        <v>PETITE CAISSE</v>
      </c>
      <c r="N142" s="151">
        <f>+IF(OR($Q142=Parametres!$G$2,$Q142=Parametres!$G$3),I142,C142)</f>
        <v>700</v>
      </c>
      <c r="O142" s="504">
        <f>+IF(OR($Q142=Parametres!$G$2,$Q142=Parametres!$G$3),J142,D142)</f>
        <v>0</v>
      </c>
      <c r="P142" s="151">
        <f>+IF(OR($Q142=Parametres!$G$2,$Q142=Parametres!$G$3),K142,E142)</f>
        <v>700</v>
      </c>
      <c r="Q142" s="150" t="str">
        <f t="shared" si="12"/>
        <v>2-Actifs</v>
      </c>
      <c r="R142" s="149" t="str">
        <f t="shared" si="13"/>
        <v>200</v>
      </c>
      <c r="S142" s="150">
        <f t="shared" si="14"/>
        <v>0</v>
      </c>
      <c r="T142" s="152" t="str">
        <f>+VLOOKUP($L142,Data_Validation!$A:$D,1,0)</f>
        <v>200</v>
      </c>
      <c r="U142" s="152" t="str">
        <f>+VLOOKUP($L142,Data_Validation!$A:$D,3,0)</f>
        <v>Bilan</v>
      </c>
      <c r="V142" s="152" t="str">
        <f>+VLOOKUP($L142,Data_Validation!$A:$D,4,0)</f>
        <v>encaisse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2333</v>
      </c>
      <c r="B143" s="718" t="s">
        <v>2334</v>
      </c>
      <c r="C143" s="720">
        <v>857.27</v>
      </c>
      <c r="D143" s="720">
        <v>-857.27</v>
      </c>
      <c r="E143" s="720">
        <v>0</v>
      </c>
      <c r="F143" s="718" t="s">
        <v>2227</v>
      </c>
      <c r="G143" s="718" t="s">
        <v>372</v>
      </c>
      <c r="H143" s="666"/>
      <c r="I143" s="665"/>
      <c r="J143" s="665"/>
      <c r="K143" s="665"/>
      <c r="L143" s="149" t="str">
        <f t="shared" si="10"/>
        <v>220A</v>
      </c>
      <c r="M143" s="150" t="str">
        <f t="shared" si="11"/>
        <v>ASS COLLECTIVE EMPLOYES A/R</v>
      </c>
      <c r="N143" s="151">
        <f>+IF(OR($Q143=Parametres!$G$2,$Q143=Parametres!$G$3),I143,C143)</f>
        <v>857.27</v>
      </c>
      <c r="O143" s="151">
        <f>+IF(OR($Q143=Parametres!$G$2,$Q143=Parametres!$G$3),J143,D143)</f>
        <v>-857.27</v>
      </c>
      <c r="P143" s="151">
        <f>+IF(OR($Q143=Parametres!$G$2,$Q143=Parametres!$G$3),K143,E143)</f>
        <v>0</v>
      </c>
      <c r="Q143" s="150" t="str">
        <f t="shared" si="12"/>
        <v>2-Actifs</v>
      </c>
      <c r="R143" s="149" t="str">
        <f t="shared" si="13"/>
        <v>220</v>
      </c>
      <c r="S143" s="150">
        <f t="shared" si="14"/>
        <v>0</v>
      </c>
      <c r="T143" s="152" t="str">
        <f>+VLOOKUP($L143,Data_Validation!$A:$D,1,0)</f>
        <v>220A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1365</v>
      </c>
      <c r="B144" s="718" t="s">
        <v>376</v>
      </c>
      <c r="C144" s="720">
        <v>2144.98</v>
      </c>
      <c r="D144" s="720">
        <v>0</v>
      </c>
      <c r="E144" s="720">
        <v>2144.98</v>
      </c>
      <c r="F144" s="718" t="s">
        <v>2227</v>
      </c>
      <c r="G144" s="718" t="s">
        <v>376</v>
      </c>
      <c r="H144" s="673"/>
      <c r="I144" s="672"/>
      <c r="J144" s="672"/>
      <c r="K144" s="672"/>
      <c r="L144" s="149" t="str">
        <f t="shared" si="10"/>
        <v>285</v>
      </c>
      <c r="M144" s="150" t="str">
        <f t="shared" si="11"/>
        <v>VEHICULES DE COMPAGNIE</v>
      </c>
      <c r="N144" s="151">
        <f>+IF(OR($Q144=Parametres!$G$2,$Q144=Parametres!$G$3),I144,C144)</f>
        <v>2144.98</v>
      </c>
      <c r="O144" s="151">
        <f>+IF(OR($Q144=Parametres!$G$2,$Q144=Parametres!$G$3),J144,D144)</f>
        <v>0</v>
      </c>
      <c r="P144" s="151">
        <f>+IF(OR($Q144=Parametres!$G$2,$Q144=Parametres!$G$3),K144,E144)</f>
        <v>2144.98</v>
      </c>
      <c r="Q144" s="150" t="str">
        <f t="shared" si="12"/>
        <v>2-Actifs</v>
      </c>
      <c r="R144" s="149" t="str">
        <f t="shared" si="13"/>
        <v>285</v>
      </c>
      <c r="S144" s="150">
        <f t="shared" si="14"/>
        <v>0</v>
      </c>
      <c r="T144" s="152" t="str">
        <f>+VLOOKUP($L144,Data_Validation!$A:$D,1,0)</f>
        <v>285</v>
      </c>
      <c r="U144" s="152" t="str">
        <f>+VLOOKUP($L144,Data_Validation!$A:$D,3,0)</f>
        <v>Bilan</v>
      </c>
      <c r="V144" s="152" t="str">
        <f>+VLOOKUP($L144,Data_Validation!$A:$D,4,0)</f>
        <v>Équipements Service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380</v>
      </c>
      <c r="B145" s="718" t="s">
        <v>462</v>
      </c>
      <c r="C145" s="720">
        <v>2793.85</v>
      </c>
      <c r="D145" s="720">
        <v>-1161.04</v>
      </c>
      <c r="E145" s="720">
        <v>1632.81</v>
      </c>
      <c r="F145" s="718" t="s">
        <v>2227</v>
      </c>
      <c r="G145" s="718" t="s">
        <v>462</v>
      </c>
      <c r="H145" s="673"/>
      <c r="I145" s="672"/>
      <c r="J145" s="672"/>
      <c r="K145" s="672"/>
      <c r="L145" s="149" t="str">
        <f t="shared" si="10"/>
        <v>248</v>
      </c>
      <c r="M145" s="150" t="str">
        <f t="shared" si="11"/>
        <v>TRAVAUX EN COURS</v>
      </c>
      <c r="N145" s="151">
        <f>+IF(OR($Q145=Parametres!$G$2,$Q145=Parametres!$G$3),I145,C145)</f>
        <v>2793.85</v>
      </c>
      <c r="O145" s="151">
        <f>+IF(OR($Q145=Parametres!$G$2,$Q145=Parametres!$G$3),J145,D145)</f>
        <v>-1161.04</v>
      </c>
      <c r="P145" s="151">
        <f>+IF(OR($Q145=Parametres!$G$2,$Q145=Parametres!$G$3),K145,E145)</f>
        <v>1632.81</v>
      </c>
      <c r="Q145" s="150" t="str">
        <f t="shared" si="12"/>
        <v>2-Actifs</v>
      </c>
      <c r="R145" s="149" t="str">
        <f t="shared" si="13"/>
        <v>248</v>
      </c>
      <c r="S145" s="150">
        <f t="shared" si="14"/>
        <v>0</v>
      </c>
      <c r="T145" s="152" t="str">
        <f>+VLOOKUP($L145,Data_Validation!$A:$D,1,0)</f>
        <v>248</v>
      </c>
      <c r="U145" s="152" t="str">
        <f>+VLOOKUP($L145,Data_Validation!$A:$D,3,0)</f>
        <v>Bilan</v>
      </c>
      <c r="V145" s="152" t="str">
        <f>+VLOOKUP($L145,Data_Validation!$A:$D,4,0)</f>
        <v>Travaux en Cours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362</v>
      </c>
      <c r="B146" s="718" t="s">
        <v>1147</v>
      </c>
      <c r="C146" s="720">
        <v>2821.66</v>
      </c>
      <c r="D146" s="720">
        <v>1390.89</v>
      </c>
      <c r="E146" s="720">
        <v>4212.55</v>
      </c>
      <c r="F146" s="718" t="s">
        <v>2227</v>
      </c>
      <c r="G146" s="718" t="s">
        <v>421</v>
      </c>
      <c r="H146" s="673"/>
      <c r="I146" s="672"/>
      <c r="J146" s="672"/>
      <c r="K146" s="672"/>
      <c r="L146" s="149" t="str">
        <f t="shared" si="10"/>
        <v>243F</v>
      </c>
      <c r="M146" s="150" t="str">
        <f t="shared" si="11"/>
        <v>AJUSTEMENT INVENTAIRE PIECES</v>
      </c>
      <c r="N146" s="151">
        <f>+IF(OR($Q146=Parametres!$G$2,$Q146=Parametres!$G$3),I146,C146)</f>
        <v>2821.66</v>
      </c>
      <c r="O146" s="151">
        <f>+IF(OR($Q146=Parametres!$G$2,$Q146=Parametres!$G$3),J146,D146)</f>
        <v>1390.89</v>
      </c>
      <c r="P146" s="151">
        <f>+IF(OR($Q146=Parametres!$G$2,$Q146=Parametres!$G$3),K146,E146)</f>
        <v>4212.55</v>
      </c>
      <c r="Q146" s="150" t="str">
        <f t="shared" si="12"/>
        <v>2-Actifs</v>
      </c>
      <c r="R146" s="149" t="str">
        <f t="shared" si="13"/>
        <v>243A</v>
      </c>
      <c r="S146" s="150">
        <f t="shared" si="14"/>
        <v>0</v>
      </c>
      <c r="T146" s="152" t="str">
        <f>+VLOOKUP($L146,Data_Validation!$A:$D,1,0)</f>
        <v>243F</v>
      </c>
      <c r="U146" s="152" t="str">
        <f>+VLOOKUP($L146,Data_Validation!$A:$D,3,0)</f>
        <v>Bilan</v>
      </c>
      <c r="V146" s="152" t="str">
        <f>+VLOOKUP($L146,Data_Validation!$A:$D,4,0)</f>
        <v>Inventaire Pièces, Pneus, Huile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1021</v>
      </c>
      <c r="B147" s="718" t="s">
        <v>1022</v>
      </c>
      <c r="C147" s="720">
        <v>3000</v>
      </c>
      <c r="D147" s="720">
        <v>0</v>
      </c>
      <c r="E147" s="720">
        <v>3000</v>
      </c>
      <c r="F147" s="718" t="s">
        <v>2227</v>
      </c>
      <c r="G147" s="718" t="s">
        <v>1022</v>
      </c>
      <c r="H147" s="673"/>
      <c r="I147" s="672"/>
      <c r="J147" s="672"/>
      <c r="K147" s="672"/>
      <c r="L147" s="149" t="str">
        <f t="shared" si="10"/>
        <v>290</v>
      </c>
      <c r="M147" s="150" t="str">
        <f t="shared" si="11"/>
        <v>DEPOTS SUR CONTRATS</v>
      </c>
      <c r="N147" s="151">
        <f>+IF(OR($Q147=Parametres!$G$2,$Q147=Parametres!$G$3),I147,C147)</f>
        <v>3000</v>
      </c>
      <c r="O147" s="504">
        <f>+IF(OR($Q147=Parametres!$G$2,$Q147=Parametres!$G$3),J147,D147)</f>
        <v>0</v>
      </c>
      <c r="P147" s="151">
        <f>+IF(OR($Q147=Parametres!$G$2,$Q147=Parametres!$G$3),K147,E147)</f>
        <v>3000</v>
      </c>
      <c r="Q147" s="150" t="str">
        <f t="shared" si="12"/>
        <v>2-Actifs</v>
      </c>
      <c r="R147" s="149" t="str">
        <f t="shared" si="13"/>
        <v>290</v>
      </c>
      <c r="S147" s="150">
        <f t="shared" si="14"/>
        <v>0</v>
      </c>
      <c r="T147" s="152" t="str">
        <f>+VLOOKUP($L147,Data_Validation!$A:$D,1,0)</f>
        <v>290</v>
      </c>
      <c r="U147" s="152" t="str">
        <f>+VLOOKUP($L147,Data_Validation!$A:$D,3,0)</f>
        <v>Bilan</v>
      </c>
      <c r="V147" s="152" t="str">
        <f>+VLOOKUP($L147,Data_Validation!$A:$D,4,0)</f>
        <v>Recevables Autres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1093</v>
      </c>
      <c r="B148" s="718" t="s">
        <v>375</v>
      </c>
      <c r="C148" s="720">
        <v>13480.13</v>
      </c>
      <c r="D148" s="720">
        <v>-23195.69</v>
      </c>
      <c r="E148" s="720">
        <v>-9715.56</v>
      </c>
      <c r="F148" s="718" t="s">
        <v>2227</v>
      </c>
      <c r="G148" s="718" t="s">
        <v>375</v>
      </c>
      <c r="H148" s="673"/>
      <c r="I148" s="673"/>
      <c r="J148" s="673"/>
      <c r="K148" s="673"/>
      <c r="L148" s="149" t="str">
        <f t="shared" si="10"/>
        <v>210</v>
      </c>
      <c r="M148" s="150" t="str">
        <f t="shared" si="11"/>
        <v>RECEVABLES VEHICULES</v>
      </c>
      <c r="N148" s="151">
        <f>+IF(OR($Q148=Parametres!$G$2,$Q148=Parametres!$G$3),I148,C148)</f>
        <v>13480.13</v>
      </c>
      <c r="O148" s="504">
        <f>+IF(OR($Q148=Parametres!$G$2,$Q148=Parametres!$G$3),J148,D148)</f>
        <v>-23195.69</v>
      </c>
      <c r="P148" s="151">
        <f>+IF(OR($Q148=Parametres!$G$2,$Q148=Parametres!$G$3),K148,E148)</f>
        <v>-9715.56</v>
      </c>
      <c r="Q148" s="150" t="str">
        <f t="shared" si="12"/>
        <v>2-Actifs</v>
      </c>
      <c r="R148" s="149" t="str">
        <f t="shared" si="13"/>
        <v>210</v>
      </c>
      <c r="S148" s="150">
        <f t="shared" si="14"/>
        <v>0</v>
      </c>
      <c r="T148" s="152" t="str">
        <f>+VLOOKUP($L148,Data_Validation!$A:$D,1,0)</f>
        <v>210</v>
      </c>
      <c r="U148" s="152" t="str">
        <f>+VLOOKUP($L148,Data_Validation!$A:$D,3,0)</f>
        <v>Bilan</v>
      </c>
      <c r="V148" s="152" t="str">
        <f>+VLOOKUP($L148,Data_Validation!$A:$D,4,0)</f>
        <v>Recevables Véhicules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1811</v>
      </c>
      <c r="B149" s="718" t="s">
        <v>1812</v>
      </c>
      <c r="C149" s="720">
        <v>13596.69</v>
      </c>
      <c r="D149" s="720">
        <v>-1237.97</v>
      </c>
      <c r="E149" s="720">
        <v>12358.72</v>
      </c>
      <c r="F149" s="718" t="s">
        <v>2227</v>
      </c>
      <c r="G149" s="718" t="s">
        <v>2247</v>
      </c>
      <c r="H149" s="673"/>
      <c r="I149" s="673"/>
      <c r="J149" s="673"/>
      <c r="K149" s="673"/>
      <c r="L149" s="149" t="str">
        <f t="shared" si="10"/>
        <v>270C</v>
      </c>
      <c r="M149" s="150" t="str">
        <f t="shared" si="11"/>
        <v>PLAQUES PAYES D'AVANCE</v>
      </c>
      <c r="N149" s="151">
        <f>+IF(OR($Q149=Parametres!$G$2,$Q149=Parametres!$G$3),I149,C149)</f>
        <v>13596.69</v>
      </c>
      <c r="O149" s="151">
        <f>+IF(OR($Q149=Parametres!$G$2,$Q149=Parametres!$G$3),J149,D149)</f>
        <v>-1237.97</v>
      </c>
      <c r="P149" s="151">
        <f>+IF(OR($Q149=Parametres!$G$2,$Q149=Parametres!$G$3),K149,E149)</f>
        <v>12358.72</v>
      </c>
      <c r="Q149" s="150" t="str">
        <f t="shared" si="12"/>
        <v>2-Actifs</v>
      </c>
      <c r="R149" s="149" t="str">
        <f t="shared" si="13"/>
        <v>270</v>
      </c>
      <c r="S149" s="150">
        <f t="shared" si="14"/>
        <v>0</v>
      </c>
      <c r="T149" s="152" t="str">
        <f>+VLOOKUP($L149,Data_Validation!$A:$D,1,0)</f>
        <v>270C</v>
      </c>
      <c r="U149" s="152" t="str">
        <f>+VLOOKUP($L149,Data_Validation!$A:$D,3,0)</f>
        <v>Bilan</v>
      </c>
      <c r="V149" s="152" t="str">
        <f>+VLOOKUP($L149,Data_Validation!$A:$D,4,0)</f>
        <v>Frais Payés d'Avance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1821</v>
      </c>
      <c r="B150" s="718" t="s">
        <v>446</v>
      </c>
      <c r="C150" s="720">
        <v>15815.73</v>
      </c>
      <c r="D150" s="720">
        <v>-6151.1</v>
      </c>
      <c r="E150" s="720">
        <v>9664.6299999999992</v>
      </c>
      <c r="F150" s="718" t="s">
        <v>2227</v>
      </c>
      <c r="G150" s="718" t="s">
        <v>2247</v>
      </c>
      <c r="H150" s="673"/>
      <c r="I150" s="672"/>
      <c r="J150" s="672"/>
      <c r="K150" s="672"/>
      <c r="L150" s="149" t="str">
        <f t="shared" si="10"/>
        <v>270A</v>
      </c>
      <c r="M150" s="150" t="str">
        <f t="shared" si="11"/>
        <v>TAXES PAYEES D'AVANCE</v>
      </c>
      <c r="N150" s="151">
        <f>+IF(OR($Q150=Parametres!$G$2,$Q150=Parametres!$G$3),I150,C150)</f>
        <v>15815.73</v>
      </c>
      <c r="O150" s="151">
        <f>+IF(OR($Q150=Parametres!$G$2,$Q150=Parametres!$G$3),J150,D150)</f>
        <v>-6151.1</v>
      </c>
      <c r="P150" s="151">
        <f>+IF(OR($Q150=Parametres!$G$2,$Q150=Parametres!$G$3),K150,E150)</f>
        <v>9664.6299999999992</v>
      </c>
      <c r="Q150" s="150" t="str">
        <f t="shared" si="12"/>
        <v>2-Actifs</v>
      </c>
      <c r="R150" s="149" t="str">
        <f t="shared" si="13"/>
        <v>270</v>
      </c>
      <c r="S150" s="150">
        <f t="shared" si="14"/>
        <v>0</v>
      </c>
      <c r="T150" s="152" t="str">
        <f>+VLOOKUP($L150,Data_Validation!$A:$D,1,0)</f>
        <v>270A</v>
      </c>
      <c r="U150" s="152" t="str">
        <f>+VLOOKUP($L150,Data_Validation!$A:$D,3,0)</f>
        <v>Bilan</v>
      </c>
      <c r="V150" s="152" t="str">
        <f>+VLOOKUP($L150,Data_Validation!$A:$D,4,0)</f>
        <v>Frais Payés d'Avance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1356</v>
      </c>
      <c r="B151" s="718" t="s">
        <v>381</v>
      </c>
      <c r="C151" s="719">
        <v>17171.47</v>
      </c>
      <c r="D151" s="719">
        <v>0</v>
      </c>
      <c r="E151" s="719">
        <v>17171.47</v>
      </c>
      <c r="F151" s="718" t="s">
        <v>2227</v>
      </c>
      <c r="G151" s="718" t="s">
        <v>381</v>
      </c>
      <c r="H151" s="719"/>
      <c r="I151" s="720"/>
      <c r="J151" s="720"/>
      <c r="K151" s="720"/>
      <c r="L151" s="149" t="str">
        <f t="shared" si="10"/>
        <v>283</v>
      </c>
      <c r="M151" s="150" t="str">
        <f t="shared" si="11"/>
        <v>EQUIPEMENTS PIECES &amp; ACCESSOIRES</v>
      </c>
      <c r="N151" s="151">
        <f>+IF(OR($Q151=Parametres!$G$2,$Q151=Parametres!$G$3),I151,C151)</f>
        <v>17171.47</v>
      </c>
      <c r="O151" s="504">
        <f>+IF(OR($Q151=Parametres!$G$2,$Q151=Parametres!$G$3),J151,D151)</f>
        <v>0</v>
      </c>
      <c r="P151" s="151">
        <f>+IF(OR($Q151=Parametres!$G$2,$Q151=Parametres!$G$3),K151,E151)</f>
        <v>17171.47</v>
      </c>
      <c r="Q151" s="150" t="str">
        <f t="shared" si="12"/>
        <v>2-Actifs</v>
      </c>
      <c r="R151" s="149" t="str">
        <f t="shared" si="13"/>
        <v>283</v>
      </c>
      <c r="S151" s="150">
        <f t="shared" si="14"/>
        <v>0</v>
      </c>
      <c r="T151" s="152" t="str">
        <f>+VLOOKUP($L151,Data_Validation!$A:$D,1,0)</f>
        <v>283</v>
      </c>
      <c r="U151" s="152" t="str">
        <f>+VLOOKUP($L151,Data_Validation!$A:$D,3,0)</f>
        <v>Bilan</v>
      </c>
      <c r="V151" s="152" t="str">
        <f>+VLOOKUP($L151,Data_Validation!$A:$D,4,0)</f>
        <v>Équipements Service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2340</v>
      </c>
      <c r="B152" s="718" t="s">
        <v>2341</v>
      </c>
      <c r="C152" s="720">
        <v>30400</v>
      </c>
      <c r="D152" s="720">
        <v>70775</v>
      </c>
      <c r="E152" s="720">
        <v>101175</v>
      </c>
      <c r="F152" s="718" t="s">
        <v>2227</v>
      </c>
      <c r="G152" s="718" t="s">
        <v>375</v>
      </c>
      <c r="H152" s="673"/>
      <c r="I152" s="672"/>
      <c r="J152" s="672"/>
      <c r="K152" s="672"/>
      <c r="L152" s="149" t="str">
        <f t="shared" si="10"/>
        <v>210L</v>
      </c>
      <c r="M152" s="150" t="str">
        <f t="shared" si="11"/>
        <v>A/R INTERCO WHOLESALE &amp; ECHANGE</v>
      </c>
      <c r="N152" s="151">
        <f>+IF(OR($Q152=Parametres!$G$2,$Q152=Parametres!$G$3),I152,C152)</f>
        <v>30400</v>
      </c>
      <c r="O152" s="151">
        <f>+IF(OR($Q152=Parametres!$G$2,$Q152=Parametres!$G$3),J152,D152)</f>
        <v>70775</v>
      </c>
      <c r="P152" s="151">
        <f>+IF(OR($Q152=Parametres!$G$2,$Q152=Parametres!$G$3),K152,E152)</f>
        <v>101175</v>
      </c>
      <c r="Q152" s="150" t="str">
        <f t="shared" si="12"/>
        <v>2-Actifs</v>
      </c>
      <c r="R152" s="149" t="str">
        <f t="shared" si="13"/>
        <v>210</v>
      </c>
      <c r="S152" s="150">
        <f t="shared" si="14"/>
        <v>0</v>
      </c>
      <c r="T152" s="152" t="str">
        <f>+VLOOKUP($L152,Data_Validation!$A:$D,1,0)</f>
        <v>210L</v>
      </c>
      <c r="U152" s="152" t="str">
        <f>+VLOOKUP($L152,Data_Validation!$A:$D,3,0)</f>
        <v>bilan</v>
      </c>
      <c r="V152" s="152" t="str">
        <f>+VLOOKUP($L152,Data_Validation!$A:$D,4,0)</f>
        <v>Recevables Intercos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1788</v>
      </c>
      <c r="B153" s="718" t="s">
        <v>965</v>
      </c>
      <c r="C153" s="720">
        <v>36944.92</v>
      </c>
      <c r="D153" s="720">
        <v>-27260.080000000002</v>
      </c>
      <c r="E153" s="720">
        <v>9684.84</v>
      </c>
      <c r="F153" s="718" t="s">
        <v>2227</v>
      </c>
      <c r="G153" s="718" t="s">
        <v>2248</v>
      </c>
      <c r="H153" s="673"/>
      <c r="I153" s="672"/>
      <c r="J153" s="672"/>
      <c r="K153" s="672"/>
      <c r="L153" s="149" t="str">
        <f t="shared" si="10"/>
        <v>222A</v>
      </c>
      <c r="M153" s="150" t="str">
        <f t="shared" si="11"/>
        <v>RECLAMATION GARANTIE A/R BMW</v>
      </c>
      <c r="N153" s="151">
        <f>+IF(OR($Q153=Parametres!$G$2,$Q153=Parametres!$G$3),I153,C153)</f>
        <v>36944.92</v>
      </c>
      <c r="O153" s="151">
        <f>+IF(OR($Q153=Parametres!$G$2,$Q153=Parametres!$G$3),J153,D153)</f>
        <v>-27260.080000000002</v>
      </c>
      <c r="P153" s="151">
        <f>+IF(OR($Q153=Parametres!$G$2,$Q153=Parametres!$G$3),K153,E153)</f>
        <v>9684.84</v>
      </c>
      <c r="Q153" s="150" t="str">
        <f t="shared" si="12"/>
        <v>2-Actifs</v>
      </c>
      <c r="R153" s="149" t="str">
        <f t="shared" si="13"/>
        <v>222</v>
      </c>
      <c r="S153" s="150">
        <f t="shared" si="14"/>
        <v>0</v>
      </c>
      <c r="T153" s="152" t="str">
        <f>+VLOOKUP($L153,Data_Validation!$A:$D,1,0)</f>
        <v>222A</v>
      </c>
      <c r="U153" s="152" t="str">
        <f>+VLOOKUP($L153,Data_Validation!$A:$D,3,0)</f>
        <v>Bilan</v>
      </c>
      <c r="V153" s="152" t="str">
        <f>+VLOOKUP($L153,Data_Validation!$A:$D,4,0)</f>
        <v>Recevables Garantie Manufacturier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444</v>
      </c>
      <c r="B154" s="718" t="s">
        <v>372</v>
      </c>
      <c r="C154" s="720">
        <v>38927.32</v>
      </c>
      <c r="D154" s="720">
        <v>56510.79</v>
      </c>
      <c r="E154" s="720">
        <v>95438.11</v>
      </c>
      <c r="F154" s="718" t="s">
        <v>2227</v>
      </c>
      <c r="G154" s="718" t="s">
        <v>372</v>
      </c>
      <c r="H154" s="673"/>
      <c r="I154" s="672"/>
      <c r="J154" s="672"/>
      <c r="K154" s="672"/>
      <c r="L154" s="149" t="str">
        <f t="shared" si="10"/>
        <v>220</v>
      </c>
      <c r="M154" s="150" t="str">
        <f t="shared" si="11"/>
        <v>RECEVABLES PIECES ET SERVICE</v>
      </c>
      <c r="N154" s="151">
        <f>+IF(OR($Q154=Parametres!$G$2,$Q154=Parametres!$G$3),I154,C154)</f>
        <v>38927.32</v>
      </c>
      <c r="O154" s="151">
        <f>+IF(OR($Q154=Parametres!$G$2,$Q154=Parametres!$G$3),J154,D154)</f>
        <v>56510.79</v>
      </c>
      <c r="P154" s="151">
        <f>+IF(OR($Q154=Parametres!$G$2,$Q154=Parametres!$G$3),K154,E154)</f>
        <v>95438.11</v>
      </c>
      <c r="Q154" s="150" t="str">
        <f t="shared" si="12"/>
        <v>2-Actifs</v>
      </c>
      <c r="R154" s="149" t="str">
        <f t="shared" si="13"/>
        <v>220</v>
      </c>
      <c r="S154" s="150">
        <f t="shared" si="14"/>
        <v>0</v>
      </c>
      <c r="T154" s="152" t="str">
        <f>+VLOOKUP($L154,Data_Validation!$A:$D,1,0)</f>
        <v>220</v>
      </c>
      <c r="U154" s="152" t="str">
        <f>+VLOOKUP($L154,Data_Validation!$A:$D,3,0)</f>
        <v>Bilan</v>
      </c>
      <c r="V154" s="152" t="str">
        <f>+VLOOKUP($L154,Data_Validation!$A:$D,4,0)</f>
        <v>Recevables Pièces et Service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1833</v>
      </c>
      <c r="B155" s="718" t="s">
        <v>451</v>
      </c>
      <c r="C155" s="720">
        <v>75127.77</v>
      </c>
      <c r="D155" s="720">
        <v>-23376</v>
      </c>
      <c r="E155" s="720">
        <v>51751.77</v>
      </c>
      <c r="F155" s="718" t="s">
        <v>2227</v>
      </c>
      <c r="G155" s="718" t="s">
        <v>451</v>
      </c>
      <c r="H155" s="673"/>
      <c r="I155" s="672"/>
      <c r="J155" s="672"/>
      <c r="K155" s="672"/>
      <c r="L155" s="149" t="str">
        <f t="shared" si="10"/>
        <v>221A</v>
      </c>
      <c r="M155" s="150" t="str">
        <f t="shared" si="11"/>
        <v>PROGRAMMES A/R MANUFACTURIER</v>
      </c>
      <c r="N155" s="151">
        <f>+IF(OR($Q155=Parametres!$G$2,$Q155=Parametres!$G$3),I155,C155)</f>
        <v>75127.77</v>
      </c>
      <c r="O155" s="151">
        <f>+IF(OR($Q155=Parametres!$G$2,$Q155=Parametres!$G$3),J155,D155)</f>
        <v>-23376</v>
      </c>
      <c r="P155" s="151">
        <f>+IF(OR($Q155=Parametres!$G$2,$Q155=Parametres!$G$3),K155,E155)</f>
        <v>51751.77</v>
      </c>
      <c r="Q155" s="150" t="str">
        <f t="shared" si="12"/>
        <v>2-Actifs</v>
      </c>
      <c r="R155" s="149" t="str">
        <f t="shared" si="13"/>
        <v>221A</v>
      </c>
      <c r="S155" s="150">
        <f t="shared" si="14"/>
        <v>0</v>
      </c>
      <c r="T155" s="152" t="str">
        <f>+VLOOKUP($L155,Data_Validation!$A:$D,1,0)</f>
        <v>221A</v>
      </c>
      <c r="U155" s="152" t="str">
        <f>+VLOOKUP($L155,Data_Validation!$A:$D,3,0)</f>
        <v>Bilan</v>
      </c>
      <c r="V155" s="152" t="str">
        <f>+VLOOKUP($L155,Data_Validation!$A:$D,4,0)</f>
        <v>Recevables Manufacturier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1359</v>
      </c>
      <c r="B156" s="718" t="s">
        <v>1360</v>
      </c>
      <c r="C156" s="719">
        <v>77175.42</v>
      </c>
      <c r="D156" s="719">
        <v>0</v>
      </c>
      <c r="E156" s="719">
        <v>77175.42</v>
      </c>
      <c r="F156" s="718" t="s">
        <v>2227</v>
      </c>
      <c r="G156" s="718" t="s">
        <v>1360</v>
      </c>
      <c r="H156" s="719"/>
      <c r="I156" s="720"/>
      <c r="J156" s="720"/>
      <c r="K156" s="720"/>
      <c r="L156" s="149" t="str">
        <f t="shared" si="10"/>
        <v>284B</v>
      </c>
      <c r="M156" s="150" t="str">
        <f t="shared" si="11"/>
        <v>ENSEIGNE</v>
      </c>
      <c r="N156" s="151">
        <f>+IF(OR($Q156=Parametres!$G$2,$Q156=Parametres!$G$3),I156,C156)</f>
        <v>77175.42</v>
      </c>
      <c r="O156" s="504">
        <f>+IF(OR($Q156=Parametres!$G$2,$Q156=Parametres!$G$3),J156,D156)</f>
        <v>0</v>
      </c>
      <c r="P156" s="151">
        <f>+IF(OR($Q156=Parametres!$G$2,$Q156=Parametres!$G$3),K156,E156)</f>
        <v>77175.42</v>
      </c>
      <c r="Q156" s="150" t="str">
        <f t="shared" si="12"/>
        <v>2-Actifs</v>
      </c>
      <c r="R156" s="149" t="str">
        <f t="shared" si="13"/>
        <v>284B</v>
      </c>
      <c r="S156" s="150">
        <f t="shared" si="14"/>
        <v>0</v>
      </c>
      <c r="T156" s="152" t="str">
        <f>+VLOOKUP($L156,Data_Validation!$A:$D,1,0)</f>
        <v>284B</v>
      </c>
      <c r="U156" s="152" t="str">
        <f>+VLOOKUP($L156,Data_Validation!$A:$D,3,0)</f>
        <v>Bilan</v>
      </c>
      <c r="V156" s="152" t="str">
        <f>+VLOOKUP($L156,Data_Validation!$A:$D,4,0)</f>
        <v>Enseigne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1114</v>
      </c>
      <c r="B157" s="718" t="s">
        <v>385</v>
      </c>
      <c r="C157" s="719">
        <v>102808.85</v>
      </c>
      <c r="D157" s="719">
        <v>33226.910000000003</v>
      </c>
      <c r="E157" s="719">
        <v>136035.76</v>
      </c>
      <c r="F157" s="718" t="s">
        <v>2227</v>
      </c>
      <c r="G157" s="718" t="s">
        <v>385</v>
      </c>
      <c r="H157" s="719"/>
      <c r="I157" s="720"/>
      <c r="J157" s="720"/>
      <c r="K157" s="720"/>
      <c r="L157" s="149" t="str">
        <f t="shared" si="10"/>
        <v>221</v>
      </c>
      <c r="M157" s="150" t="str">
        <f t="shared" si="11"/>
        <v>BONIS A/R MANUFACTURIER</v>
      </c>
      <c r="N157" s="151">
        <f>+IF(OR($Q157=Parametres!$G$2,$Q157=Parametres!$G$3),I157,C157)</f>
        <v>102808.85</v>
      </c>
      <c r="O157" s="504">
        <f>+IF(OR($Q157=Parametres!$G$2,$Q157=Parametres!$G$3),J157,D157)</f>
        <v>33226.910000000003</v>
      </c>
      <c r="P157" s="151">
        <f>+IF(OR($Q157=Parametres!$G$2,$Q157=Parametres!$G$3),K157,E157)</f>
        <v>136035.76</v>
      </c>
      <c r="Q157" s="150" t="str">
        <f t="shared" si="12"/>
        <v>2-Actifs</v>
      </c>
      <c r="R157" s="149" t="str">
        <f t="shared" si="13"/>
        <v>221</v>
      </c>
      <c r="S157" s="150">
        <f t="shared" si="14"/>
        <v>0</v>
      </c>
      <c r="T157" s="152" t="str">
        <f>+VLOOKUP($L157,Data_Validation!$A:$D,1,0)</f>
        <v>221</v>
      </c>
      <c r="U157" s="152" t="str">
        <f>+VLOOKUP($L157,Data_Validation!$A:$D,3,0)</f>
        <v>Bilan</v>
      </c>
      <c r="V157" s="152" t="str">
        <f>+VLOOKUP($L157,Data_Validation!$A:$D,4,0)</f>
        <v>Recevables Manufacturier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1073</v>
      </c>
      <c r="B158" s="718" t="s">
        <v>397</v>
      </c>
      <c r="C158" s="720">
        <v>103469.39</v>
      </c>
      <c r="D158" s="720">
        <v>285904.08</v>
      </c>
      <c r="E158" s="720">
        <v>389373.47</v>
      </c>
      <c r="F158" s="718" t="s">
        <v>2227</v>
      </c>
      <c r="G158" s="718" t="s">
        <v>375</v>
      </c>
      <c r="H158" s="666"/>
      <c r="I158" s="665"/>
      <c r="J158" s="665"/>
      <c r="K158" s="665"/>
      <c r="L158" s="149" t="str">
        <f t="shared" si="10"/>
        <v>210A</v>
      </c>
      <c r="M158" s="150" t="str">
        <f t="shared" si="11"/>
        <v>WHOLESALE &amp; ECHANGE A/R</v>
      </c>
      <c r="N158" s="151">
        <f>+IF(OR($Q158=Parametres!$G$2,$Q158=Parametres!$G$3),I158,C158)</f>
        <v>103469.39</v>
      </c>
      <c r="O158" s="151">
        <f>+IF(OR($Q158=Parametres!$G$2,$Q158=Parametres!$G$3),J158,D158)</f>
        <v>285904.08</v>
      </c>
      <c r="P158" s="151">
        <f>+IF(OR($Q158=Parametres!$G$2,$Q158=Parametres!$G$3),K158,E158)</f>
        <v>389373.47</v>
      </c>
      <c r="Q158" s="150" t="str">
        <f t="shared" si="12"/>
        <v>2-Actifs</v>
      </c>
      <c r="R158" s="149" t="str">
        <f t="shared" si="13"/>
        <v>210</v>
      </c>
      <c r="S158" s="150">
        <f t="shared" si="14"/>
        <v>0</v>
      </c>
      <c r="T158" s="152" t="str">
        <f>+VLOOKUP($L158,Data_Validation!$A:$D,1,0)</f>
        <v>210A</v>
      </c>
      <c r="U158" s="152" t="str">
        <f>+VLOOKUP($L158,Data_Validation!$A:$D,3,0)</f>
        <v>Bilan</v>
      </c>
      <c r="V158" s="152" t="str">
        <f>+VLOOKUP($L158,Data_Validation!$A:$D,4,0)</f>
        <v>Recevables Véhicules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1193</v>
      </c>
      <c r="B159" s="718" t="s">
        <v>1010</v>
      </c>
      <c r="C159" s="720">
        <v>113500</v>
      </c>
      <c r="D159" s="720">
        <v>-18500</v>
      </c>
      <c r="E159" s="720">
        <v>95000</v>
      </c>
      <c r="F159" s="718" t="s">
        <v>2227</v>
      </c>
      <c r="G159" s="718" t="s">
        <v>451</v>
      </c>
      <c r="H159" s="673"/>
      <c r="I159" s="672"/>
      <c r="J159" s="672"/>
      <c r="K159" s="672"/>
      <c r="L159" s="149" t="str">
        <f t="shared" si="10"/>
        <v>221C</v>
      </c>
      <c r="M159" s="150" t="str">
        <f t="shared" si="11"/>
        <v>ROULEZ VERT A RECEVOIR</v>
      </c>
      <c r="N159" s="151">
        <f>+IF(OR($Q159=Parametres!$G$2,$Q159=Parametres!$G$3),I159,C159)</f>
        <v>113500</v>
      </c>
      <c r="O159" s="151">
        <f>+IF(OR($Q159=Parametres!$G$2,$Q159=Parametres!$G$3),J159,D159)</f>
        <v>-18500</v>
      </c>
      <c r="P159" s="151">
        <f>+IF(OR($Q159=Parametres!$G$2,$Q159=Parametres!$G$3),K159,E159)</f>
        <v>95000</v>
      </c>
      <c r="Q159" s="150" t="str">
        <f t="shared" si="12"/>
        <v>2-Actifs</v>
      </c>
      <c r="R159" s="149" t="str">
        <f t="shared" si="13"/>
        <v>221A</v>
      </c>
      <c r="S159" s="150">
        <f t="shared" si="14"/>
        <v>0</v>
      </c>
      <c r="T159" s="152" t="str">
        <f>+VLOOKUP($L159,Data_Validation!$A:$D,1,0)</f>
        <v>221C</v>
      </c>
      <c r="U159" s="152" t="str">
        <f>+VLOOKUP($L159,Data_Validation!$A:$D,3,0)</f>
        <v>Bilan</v>
      </c>
      <c r="V159" s="152" t="str">
        <f>+VLOOKUP($L159,Data_Validation!$A:$D,4,0)</f>
        <v>Recevables Autres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1825</v>
      </c>
      <c r="B160" s="718" t="s">
        <v>427</v>
      </c>
      <c r="C160" s="720">
        <v>158155.38</v>
      </c>
      <c r="D160" s="720">
        <v>29480.3</v>
      </c>
      <c r="E160" s="720">
        <v>187635.68</v>
      </c>
      <c r="F160" s="718" t="s">
        <v>2227</v>
      </c>
      <c r="G160" s="718" t="s">
        <v>421</v>
      </c>
      <c r="H160" s="673"/>
      <c r="I160" s="672"/>
      <c r="J160" s="672"/>
      <c r="K160" s="672"/>
      <c r="L160" s="149" t="str">
        <f t="shared" si="10"/>
        <v>249</v>
      </c>
      <c r="M160" s="150" t="str">
        <f t="shared" si="11"/>
        <v>INV. PNEUS</v>
      </c>
      <c r="N160" s="151">
        <f>+IF(OR($Q160=Parametres!$G$2,$Q160=Parametres!$G$3),I160,C160)</f>
        <v>158155.38</v>
      </c>
      <c r="O160" s="151">
        <f>+IF(OR($Q160=Parametres!$G$2,$Q160=Parametres!$G$3),J160,D160)</f>
        <v>29480.3</v>
      </c>
      <c r="P160" s="151">
        <f>+IF(OR($Q160=Parametres!$G$2,$Q160=Parametres!$G$3),K160,E160)</f>
        <v>187635.68</v>
      </c>
      <c r="Q160" s="150" t="str">
        <f t="shared" si="12"/>
        <v>2-Actifs</v>
      </c>
      <c r="R160" s="149" t="str">
        <f t="shared" si="13"/>
        <v>243A</v>
      </c>
      <c r="S160" s="150">
        <f t="shared" si="14"/>
        <v>0</v>
      </c>
      <c r="T160" s="152" t="str">
        <f>+VLOOKUP($L160,Data_Validation!$A:$D,1,0)</f>
        <v>249</v>
      </c>
      <c r="U160" s="152" t="str">
        <f>+VLOOKUP($L160,Data_Validation!$A:$D,3,0)</f>
        <v>Bilan</v>
      </c>
      <c r="V160" s="152" t="str">
        <f>+VLOOKUP($L160,Data_Validation!$A:$D,4,0)</f>
        <v>Inventaire Pièces, Pneus, Huile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1361</v>
      </c>
      <c r="B161" s="718" t="s">
        <v>1362</v>
      </c>
      <c r="C161" s="719">
        <v>165672.13</v>
      </c>
      <c r="D161" s="719">
        <v>0</v>
      </c>
      <c r="E161" s="719">
        <v>165672.13</v>
      </c>
      <c r="F161" s="718" t="s">
        <v>2227</v>
      </c>
      <c r="G161" s="718" t="s">
        <v>1362</v>
      </c>
      <c r="H161" s="719"/>
      <c r="I161" s="720"/>
      <c r="J161" s="720"/>
      <c r="K161" s="720"/>
      <c r="L161" s="149" t="str">
        <f t="shared" si="10"/>
        <v>284C</v>
      </c>
      <c r="M161" s="150" t="str">
        <f t="shared" si="11"/>
        <v>EQUIPEMENTS INFORMATIQUE</v>
      </c>
      <c r="N161" s="151">
        <f>+IF(OR($Q161=Parametres!$G$2,$Q161=Parametres!$G$3),I161,C161)</f>
        <v>165672.13</v>
      </c>
      <c r="O161" s="151">
        <f>+IF(OR($Q161=Parametres!$G$2,$Q161=Parametres!$G$3),J161,D161)</f>
        <v>0</v>
      </c>
      <c r="P161" s="151">
        <f>+IF(OR($Q161=Parametres!$G$2,$Q161=Parametres!$G$3),K161,E161)</f>
        <v>165672.13</v>
      </c>
      <c r="Q161" s="150" t="str">
        <f t="shared" si="12"/>
        <v>2-Actifs</v>
      </c>
      <c r="R161" s="149" t="str">
        <f t="shared" si="13"/>
        <v>284C</v>
      </c>
      <c r="S161" s="150">
        <f t="shared" si="14"/>
        <v>0</v>
      </c>
      <c r="T161" s="152" t="str">
        <f>+VLOOKUP($L161,Data_Validation!$A:$D,1,0)</f>
        <v>284C</v>
      </c>
      <c r="U161" s="152" t="str">
        <f>+VLOOKUP($L161,Data_Validation!$A:$D,3,0)</f>
        <v>Bilan</v>
      </c>
      <c r="V161" s="152" t="str">
        <f>+VLOOKUP($L161,Data_Validation!$A:$D,4,0)</f>
        <v>Équipements Informatique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1107</v>
      </c>
      <c r="B162" s="718" t="s">
        <v>421</v>
      </c>
      <c r="C162" s="720">
        <v>287701.88</v>
      </c>
      <c r="D162" s="720">
        <v>6273.41</v>
      </c>
      <c r="E162" s="720">
        <v>293975.28999999998</v>
      </c>
      <c r="F162" s="718" t="s">
        <v>2227</v>
      </c>
      <c r="G162" s="718" t="s">
        <v>421</v>
      </c>
      <c r="H162" s="673"/>
      <c r="I162" s="672"/>
      <c r="J162" s="672"/>
      <c r="K162" s="672"/>
      <c r="L162" s="149" t="str">
        <f t="shared" si="10"/>
        <v>243A</v>
      </c>
      <c r="M162" s="150" t="str">
        <f t="shared" si="11"/>
        <v>INV. PIECES BMW</v>
      </c>
      <c r="N162" s="151">
        <f>+IF(OR($Q162=Parametres!$G$2,$Q162=Parametres!$G$3),I162,C162)</f>
        <v>287701.88</v>
      </c>
      <c r="O162" s="151">
        <f>+IF(OR($Q162=Parametres!$G$2,$Q162=Parametres!$G$3),J162,D162)</f>
        <v>6273.41</v>
      </c>
      <c r="P162" s="151">
        <f>+IF(OR($Q162=Parametres!$G$2,$Q162=Parametres!$G$3),K162,E162)</f>
        <v>293975.28999999998</v>
      </c>
      <c r="Q162" s="150" t="str">
        <f t="shared" si="12"/>
        <v>2-Actifs</v>
      </c>
      <c r="R162" s="149" t="str">
        <f t="shared" si="13"/>
        <v>243A</v>
      </c>
      <c r="S162" s="150">
        <f t="shared" si="14"/>
        <v>0</v>
      </c>
      <c r="T162" s="152" t="str">
        <f>+VLOOKUP($L162,Data_Validation!$A:$D,1,0)</f>
        <v>243A</v>
      </c>
      <c r="U162" s="152" t="str">
        <f>+VLOOKUP($L162,Data_Validation!$A:$D,3,0)</f>
        <v>Bilan</v>
      </c>
      <c r="V162" s="152" t="str">
        <f>+VLOOKUP($L162,Data_Validation!$A:$D,4,0)</f>
        <v>Inventaire Pièces, Pneus, Huile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2198</v>
      </c>
      <c r="B163" s="718" t="s">
        <v>2199</v>
      </c>
      <c r="C163" s="719">
        <v>302234.23999999999</v>
      </c>
      <c r="D163" s="719">
        <v>-302261.19</v>
      </c>
      <c r="E163" s="719">
        <v>-26.95</v>
      </c>
      <c r="F163" s="718" t="s">
        <v>2227</v>
      </c>
      <c r="G163" s="718" t="s">
        <v>372</v>
      </c>
      <c r="H163" s="719"/>
      <c r="I163" s="720"/>
      <c r="J163" s="720"/>
      <c r="K163" s="720"/>
      <c r="L163" s="149" t="str">
        <f t="shared" si="10"/>
        <v>220L</v>
      </c>
      <c r="M163" s="150" t="str">
        <f t="shared" si="11"/>
        <v>A/R INTERCOS P&amp;S</v>
      </c>
      <c r="N163" s="151">
        <f>+IF(OR($Q163=Parametres!$G$2,$Q163=Parametres!$G$3),I163,C163)</f>
        <v>302234.23999999999</v>
      </c>
      <c r="O163" s="151">
        <f>+IF(OR($Q163=Parametres!$G$2,$Q163=Parametres!$G$3),J163,D163)</f>
        <v>-302261.19</v>
      </c>
      <c r="P163" s="151">
        <f>+IF(OR($Q163=Parametres!$G$2,$Q163=Parametres!$G$3),K163,E163)</f>
        <v>-26.95</v>
      </c>
      <c r="Q163" s="150" t="str">
        <f t="shared" si="12"/>
        <v>2-Actifs</v>
      </c>
      <c r="R163" s="149" t="str">
        <f t="shared" si="13"/>
        <v>220</v>
      </c>
      <c r="S163" s="150">
        <f t="shared" si="14"/>
        <v>0</v>
      </c>
      <c r="T163" s="152" t="str">
        <f>+VLOOKUP($L163,Data_Validation!$A:$D,1,0)</f>
        <v>220L</v>
      </c>
      <c r="U163" s="152" t="str">
        <f>+VLOOKUP($L163,Data_Validation!$A:$D,3,0)</f>
        <v>Bilan</v>
      </c>
      <c r="V163" s="152" t="str">
        <f>+VLOOKUP($L163,Data_Validation!$A:$D,4,0)</f>
        <v>Recevables Intercos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1083</v>
      </c>
      <c r="B164" s="718" t="s">
        <v>408</v>
      </c>
      <c r="C164" s="719">
        <v>364773.94</v>
      </c>
      <c r="D164" s="719">
        <v>207283.89</v>
      </c>
      <c r="E164" s="719">
        <v>572057.82999999996</v>
      </c>
      <c r="F164" s="718" t="s">
        <v>2227</v>
      </c>
      <c r="G164" s="718" t="s">
        <v>408</v>
      </c>
      <c r="H164" s="719"/>
      <c r="I164" s="720"/>
      <c r="J164" s="720"/>
      <c r="K164" s="720"/>
      <c r="L164" s="149" t="str">
        <f t="shared" si="10"/>
        <v>240A</v>
      </c>
      <c r="M164" s="150" t="str">
        <f t="shared" si="11"/>
        <v>INV. VOITURES USAGEES BMW</v>
      </c>
      <c r="N164" s="151">
        <f>+IF(OR($Q164=Parametres!$G$2,$Q164=Parametres!$G$3),I164,C164)</f>
        <v>364773.94</v>
      </c>
      <c r="O164" s="505">
        <f>+IF(OR($Q164=Parametres!$G$2,$Q164=Parametres!$G$3),J164,D164)</f>
        <v>207283.89</v>
      </c>
      <c r="P164" s="151">
        <f>+IF(OR($Q164=Parametres!$G$2,$Q164=Parametres!$G$3),K164,E164)</f>
        <v>572057.82999999996</v>
      </c>
      <c r="Q164" s="150" t="str">
        <f t="shared" si="12"/>
        <v>2-Actifs</v>
      </c>
      <c r="R164" s="149" t="str">
        <f t="shared" si="13"/>
        <v>240A</v>
      </c>
      <c r="S164" s="150">
        <f t="shared" si="14"/>
        <v>0</v>
      </c>
      <c r="T164" s="152" t="str">
        <f>+VLOOKUP($L164,Data_Validation!$A:$D,1,0)</f>
        <v>240A</v>
      </c>
      <c r="U164" s="152" t="str">
        <f>+VLOOKUP($L164,Data_Validation!$A:$D,3,0)</f>
        <v>Bilan</v>
      </c>
      <c r="V164" s="152" t="str">
        <f>+VLOOKUP($L164,Data_Validation!$A:$D,4,0)</f>
        <v>Inventaire Véhicules Usagés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1357</v>
      </c>
      <c r="B165" s="718" t="s">
        <v>1358</v>
      </c>
      <c r="C165" s="720">
        <v>381227.14</v>
      </c>
      <c r="D165" s="720">
        <v>0</v>
      </c>
      <c r="E165" s="720">
        <v>381227.14</v>
      </c>
      <c r="F165" s="718" t="s">
        <v>2227</v>
      </c>
      <c r="G165" s="718" t="s">
        <v>1358</v>
      </c>
      <c r="H165" s="673"/>
      <c r="I165" s="673"/>
      <c r="J165" s="673"/>
      <c r="K165" s="673"/>
      <c r="L165" s="149" t="str">
        <f t="shared" si="10"/>
        <v>284A</v>
      </c>
      <c r="M165" s="150" t="str">
        <f t="shared" si="11"/>
        <v>MEUBLES &amp; ACCESSOIRES</v>
      </c>
      <c r="N165" s="151">
        <f>+IF(OR($Q165=Parametres!$G$2,$Q165=Parametres!$G$3),I165,C165)</f>
        <v>381227.14</v>
      </c>
      <c r="O165" s="151">
        <f>+IF(OR($Q165=Parametres!$G$2,$Q165=Parametres!$G$3),J165,D165)</f>
        <v>0</v>
      </c>
      <c r="P165" s="151">
        <f>+IF(OR($Q165=Parametres!$G$2,$Q165=Parametres!$G$3),K165,E165)</f>
        <v>381227.14</v>
      </c>
      <c r="Q165" s="150" t="str">
        <f t="shared" si="12"/>
        <v>2-Actifs</v>
      </c>
      <c r="R165" s="149" t="str">
        <f t="shared" si="13"/>
        <v>284A</v>
      </c>
      <c r="S165" s="150">
        <f t="shared" si="14"/>
        <v>0</v>
      </c>
      <c r="T165" s="152" t="str">
        <f>+VLOOKUP($L165,Data_Validation!$A:$D,1,0)</f>
        <v>284A</v>
      </c>
      <c r="U165" s="152" t="str">
        <f>+VLOOKUP($L165,Data_Validation!$A:$D,3,0)</f>
        <v>Bilan</v>
      </c>
      <c r="V165" s="152" t="str">
        <f>+VLOOKUP($L165,Data_Validation!$A:$D,4,0)</f>
        <v>Mobilier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1840</v>
      </c>
      <c r="B166" s="718" t="s">
        <v>819</v>
      </c>
      <c r="C166" s="719">
        <v>414076.69</v>
      </c>
      <c r="D166" s="719">
        <v>152340.70000000001</v>
      </c>
      <c r="E166" s="719">
        <v>566417.39</v>
      </c>
      <c r="F166" s="718" t="s">
        <v>2227</v>
      </c>
      <c r="G166" s="718" t="s">
        <v>819</v>
      </c>
      <c r="H166" s="719"/>
      <c r="I166" s="720"/>
      <c r="J166" s="720"/>
      <c r="K166" s="720"/>
      <c r="L166" s="149" t="str">
        <f t="shared" si="10"/>
        <v>242A</v>
      </c>
      <c r="M166" s="150" t="str">
        <f t="shared" si="11"/>
        <v>INV. CAMIONS USAGES BMW</v>
      </c>
      <c r="N166" s="151">
        <f>+IF(OR($Q166=Parametres!$G$2,$Q166=Parametres!$G$3),I166,C166)</f>
        <v>414076.69</v>
      </c>
      <c r="O166" s="506">
        <f>+IF(OR($Q166=Parametres!$G$2,$Q166=Parametres!$G$3),J166,D166)</f>
        <v>152340.70000000001</v>
      </c>
      <c r="P166" s="151">
        <f>+IF(OR($Q166=Parametres!$G$2,$Q166=Parametres!$G$3),K166,E166)</f>
        <v>566417.39</v>
      </c>
      <c r="Q166" s="150" t="str">
        <f t="shared" si="12"/>
        <v>2-Actifs</v>
      </c>
      <c r="R166" s="149" t="str">
        <f t="shared" si="13"/>
        <v>242A</v>
      </c>
      <c r="S166" s="150">
        <f t="shared" si="14"/>
        <v>0</v>
      </c>
      <c r="T166" s="152" t="str">
        <f>+VLOOKUP($L166,Data_Validation!$A:$D,1,0)</f>
        <v>242A</v>
      </c>
      <c r="U166" s="152" t="str">
        <f>+VLOOKUP($L166,Data_Validation!$A:$D,3,0)</f>
        <v>Bilan</v>
      </c>
      <c r="V166" s="152" t="str">
        <f>+VLOOKUP($L166,Data_Validation!$A:$D,4,0)</f>
        <v>Inventaire Véhicules Usagés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1092</v>
      </c>
      <c r="B167" s="718" t="s">
        <v>432</v>
      </c>
      <c r="C167" s="720">
        <v>451522.88</v>
      </c>
      <c r="D167" s="720">
        <v>84226.17</v>
      </c>
      <c r="E167" s="720">
        <v>535749.05000000005</v>
      </c>
      <c r="F167" s="718" t="s">
        <v>2227</v>
      </c>
      <c r="G167" s="718" t="s">
        <v>432</v>
      </c>
      <c r="H167" s="673"/>
      <c r="I167" s="672"/>
      <c r="J167" s="672"/>
      <c r="K167" s="672"/>
      <c r="L167" s="149" t="str">
        <f t="shared" si="10"/>
        <v>240C</v>
      </c>
      <c r="M167" s="150" t="str">
        <f t="shared" si="11"/>
        <v>INV. VEHICULES USAGES AUTRES</v>
      </c>
      <c r="N167" s="151">
        <f>+IF(OR($Q167=Parametres!$G$2,$Q167=Parametres!$G$3),I167,C167)</f>
        <v>451522.88</v>
      </c>
      <c r="O167" s="151">
        <f>+IF(OR($Q167=Parametres!$G$2,$Q167=Parametres!$G$3),J167,D167)</f>
        <v>84226.17</v>
      </c>
      <c r="P167" s="151">
        <f>+IF(OR($Q167=Parametres!$G$2,$Q167=Parametres!$G$3),K167,E167)</f>
        <v>535749.05000000005</v>
      </c>
      <c r="Q167" s="150" t="str">
        <f t="shared" si="12"/>
        <v>2-Actifs</v>
      </c>
      <c r="R167" s="149" t="str">
        <f t="shared" si="13"/>
        <v>240C</v>
      </c>
      <c r="S167" s="150">
        <f t="shared" si="14"/>
        <v>0</v>
      </c>
      <c r="T167" s="152" t="str">
        <f>+VLOOKUP($L167,Data_Validation!$A:$D,1,0)</f>
        <v>240C</v>
      </c>
      <c r="U167" s="152" t="str">
        <f>+VLOOKUP($L167,Data_Validation!$A:$D,3,0)</f>
        <v>Bilan</v>
      </c>
      <c r="V167" s="152" t="str">
        <f>+VLOOKUP($L167,Data_Validation!$A:$D,4,0)</f>
        <v>Inventaire Véhicules Usagés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2338</v>
      </c>
      <c r="B168" s="718" t="s">
        <v>2339</v>
      </c>
      <c r="C168" s="720">
        <v>600000</v>
      </c>
      <c r="D168" s="720">
        <v>200000</v>
      </c>
      <c r="E168" s="720">
        <v>800000</v>
      </c>
      <c r="F168" s="718" t="s">
        <v>2227</v>
      </c>
      <c r="G168" s="718" t="s">
        <v>359</v>
      </c>
      <c r="H168" s="673"/>
      <c r="I168" s="672"/>
      <c r="J168" s="672"/>
      <c r="K168" s="672"/>
      <c r="L168" s="149" t="str">
        <f t="shared" si="10"/>
        <v>202B</v>
      </c>
      <c r="M168" s="150" t="str">
        <f t="shared" si="11"/>
        <v>PAIEMENTS FORFAITAIRES FLOOR PLAN</v>
      </c>
      <c r="N168" s="151">
        <f>+IF(OR($Q168=Parametres!$G$2,$Q168=Parametres!$G$3),I168,C168)</f>
        <v>600000</v>
      </c>
      <c r="O168" s="151">
        <f>+IF(OR($Q168=Parametres!$G$2,$Q168=Parametres!$G$3),J168,D168)</f>
        <v>200000</v>
      </c>
      <c r="P168" s="151">
        <f>+IF(OR($Q168=Parametres!$G$2,$Q168=Parametres!$G$3),K168,E168)</f>
        <v>800000</v>
      </c>
      <c r="Q168" s="150" t="str">
        <f t="shared" si="12"/>
        <v>2-Actifs</v>
      </c>
      <c r="R168" s="149" t="str">
        <f t="shared" si="13"/>
        <v>202</v>
      </c>
      <c r="S168" s="150">
        <f t="shared" si="14"/>
        <v>0</v>
      </c>
      <c r="T168" s="152" t="str">
        <f>+VLOOKUP($L168,Data_Validation!$A:$D,1,0)</f>
        <v>202B</v>
      </c>
      <c r="U168" s="152" t="str">
        <f>+VLOOKUP($L168,Data_Validation!$A:$D,3,0)</f>
        <v>bilan</v>
      </c>
      <c r="V168" s="152" t="str">
        <f>+VLOOKUP($L168,Data_Validation!$A:$D,4,0)</f>
        <v>Encaisse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1184</v>
      </c>
      <c r="B169" s="718" t="s">
        <v>388</v>
      </c>
      <c r="C169" s="720">
        <v>660239.79</v>
      </c>
      <c r="D169" s="720">
        <v>0</v>
      </c>
      <c r="E169" s="720">
        <v>660239.79</v>
      </c>
      <c r="F169" s="718" t="s">
        <v>2227</v>
      </c>
      <c r="G169" s="718" t="s">
        <v>388</v>
      </c>
      <c r="H169" s="666"/>
      <c r="I169" s="665"/>
      <c r="J169" s="665"/>
      <c r="K169" s="665"/>
      <c r="L169" s="149" t="str">
        <f t="shared" si="10"/>
        <v>282</v>
      </c>
      <c r="M169" s="150" t="str">
        <f t="shared" si="11"/>
        <v>EQUIPEMENTS &amp; OUTILLAGES</v>
      </c>
      <c r="N169" s="151">
        <f>+IF(OR($Q169=Parametres!$G$2,$Q169=Parametres!$G$3),I169,C169)</f>
        <v>660239.79</v>
      </c>
      <c r="O169" s="151">
        <f>+IF(OR($Q169=Parametres!$G$2,$Q169=Parametres!$G$3),J169,D169)</f>
        <v>0</v>
      </c>
      <c r="P169" s="151">
        <f>+IF(OR($Q169=Parametres!$G$2,$Q169=Parametres!$G$3),K169,E169)</f>
        <v>660239.79</v>
      </c>
      <c r="Q169" s="150" t="str">
        <f t="shared" si="12"/>
        <v>2-Actifs</v>
      </c>
      <c r="R169" s="149" t="str">
        <f t="shared" si="13"/>
        <v>282</v>
      </c>
      <c r="S169" s="150">
        <f t="shared" si="14"/>
        <v>0</v>
      </c>
      <c r="T169" s="152" t="str">
        <f>+VLOOKUP($L169,Data_Validation!$A:$D,1,0)</f>
        <v>282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1020</v>
      </c>
      <c r="B170" s="718" t="s">
        <v>600</v>
      </c>
      <c r="C170" s="719">
        <v>1380660.47</v>
      </c>
      <c r="D170" s="719">
        <v>0</v>
      </c>
      <c r="E170" s="719">
        <v>1380660.47</v>
      </c>
      <c r="F170" s="718" t="s">
        <v>2227</v>
      </c>
      <c r="G170" s="718" t="s">
        <v>600</v>
      </c>
      <c r="H170" s="719"/>
      <c r="I170" s="720"/>
      <c r="J170" s="720"/>
      <c r="K170" s="720"/>
      <c r="L170" s="149" t="str">
        <f t="shared" si="10"/>
        <v>286</v>
      </c>
      <c r="M170" s="150" t="str">
        <f t="shared" si="11"/>
        <v>AMELIORATION LOCATIVE</v>
      </c>
      <c r="N170" s="151">
        <f>+IF(OR($Q170=Parametres!$G$2,$Q170=Parametres!$G$3),I170,C170)</f>
        <v>1380660.47</v>
      </c>
      <c r="O170" s="504">
        <f>+IF(OR($Q170=Parametres!$G$2,$Q170=Parametres!$G$3),J170,D170)</f>
        <v>0</v>
      </c>
      <c r="P170" s="151">
        <f>+IF(OR($Q170=Parametres!$G$2,$Q170=Parametres!$G$3),K170,E170)</f>
        <v>1380660.47</v>
      </c>
      <c r="Q170" s="150" t="str">
        <f t="shared" si="12"/>
        <v>2-Actifs</v>
      </c>
      <c r="R170" s="149" t="str">
        <f t="shared" si="13"/>
        <v>286</v>
      </c>
      <c r="S170" s="150">
        <f t="shared" si="14"/>
        <v>0</v>
      </c>
      <c r="T170" s="152" t="str">
        <f>+VLOOKUP($L170,Data_Validation!$A:$D,1,0)</f>
        <v>286</v>
      </c>
      <c r="U170" s="152" t="str">
        <f>+VLOOKUP($L170,Data_Validation!$A:$D,3,0)</f>
        <v>Bilan</v>
      </c>
      <c r="V170" s="152" t="str">
        <f>+VLOOKUP($L170,Data_Validation!$A:$D,4,0)</f>
        <v>Améliorations Locatives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1069</v>
      </c>
      <c r="B171" s="718" t="s">
        <v>359</v>
      </c>
      <c r="C171" s="720">
        <v>1691774.84</v>
      </c>
      <c r="D171" s="720">
        <v>-51612.13</v>
      </c>
      <c r="E171" s="720">
        <v>1640162.71</v>
      </c>
      <c r="F171" s="718" t="s">
        <v>2227</v>
      </c>
      <c r="G171" s="718" t="s">
        <v>359</v>
      </c>
      <c r="H171" s="673"/>
      <c r="I171" s="673"/>
      <c r="J171" s="673"/>
      <c r="K171" s="673"/>
      <c r="L171" s="149" t="str">
        <f t="shared" si="10"/>
        <v>202</v>
      </c>
      <c r="M171" s="150" t="str">
        <f t="shared" si="11"/>
        <v>ENCAISSE</v>
      </c>
      <c r="N171" s="151">
        <f>+IF(OR($Q171=Parametres!$G$2,$Q171=Parametres!$G$3),I171,C171)</f>
        <v>1691774.84</v>
      </c>
      <c r="O171" s="151">
        <f>+IF(OR($Q171=Parametres!$G$2,$Q171=Parametres!$G$3),J171,D171)</f>
        <v>-51612.13</v>
      </c>
      <c r="P171" s="151">
        <f>+IF(OR($Q171=Parametres!$G$2,$Q171=Parametres!$G$3),K171,E171)</f>
        <v>1640162.71</v>
      </c>
      <c r="Q171" s="150" t="str">
        <f t="shared" si="12"/>
        <v>2-Actifs</v>
      </c>
      <c r="R171" s="149" t="str">
        <f t="shared" si="13"/>
        <v>202</v>
      </c>
      <c r="S171" s="150">
        <f t="shared" si="14"/>
        <v>0</v>
      </c>
      <c r="T171" s="152" t="str">
        <f>+VLOOKUP($L171,Data_Validation!$A:$D,1,0)</f>
        <v>202</v>
      </c>
      <c r="U171" s="152" t="str">
        <f>+VLOOKUP($L171,Data_Validation!$A:$D,3,0)</f>
        <v>Bilan</v>
      </c>
      <c r="V171" s="152" t="str">
        <f>+VLOOKUP($L171,Data_Validation!$A:$D,4,0)</f>
        <v>encaisse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1176</v>
      </c>
      <c r="B172" s="718" t="s">
        <v>353</v>
      </c>
      <c r="C172" s="719">
        <v>1751032.54</v>
      </c>
      <c r="D172" s="719">
        <v>-286137</v>
      </c>
      <c r="E172" s="719">
        <v>1464895.54</v>
      </c>
      <c r="F172" s="718" t="s">
        <v>2227</v>
      </c>
      <c r="G172" s="718" t="s">
        <v>353</v>
      </c>
      <c r="H172" s="719"/>
      <c r="I172" s="720"/>
      <c r="J172" s="720"/>
      <c r="K172" s="720"/>
      <c r="L172" s="149" t="str">
        <f t="shared" si="10"/>
        <v>234</v>
      </c>
      <c r="M172" s="150" t="str">
        <f t="shared" si="11"/>
        <v>INVENTAIRE VEHICULES I</v>
      </c>
      <c r="N172" s="151">
        <f>+IF(OR($Q172=Parametres!$G$2,$Q172=Parametres!$G$3),I172,C172)</f>
        <v>1751032.54</v>
      </c>
      <c r="O172" s="505">
        <f>+IF(OR($Q172=Parametres!$G$2,$Q172=Parametres!$G$3),J172,D172)</f>
        <v>-286137</v>
      </c>
      <c r="P172" s="151">
        <f>+IF(OR($Q172=Parametres!$G$2,$Q172=Parametres!$G$3),K172,E172)</f>
        <v>1464895.54</v>
      </c>
      <c r="Q172" s="150" t="str">
        <f t="shared" si="12"/>
        <v>2-Actifs</v>
      </c>
      <c r="R172" s="149" t="str">
        <f t="shared" si="13"/>
        <v>234</v>
      </c>
      <c r="S172" s="150">
        <f t="shared" si="14"/>
        <v>0</v>
      </c>
      <c r="T172" s="152" t="str">
        <f>+VLOOKUP($L172,Data_Validation!$A:$D,1,0)</f>
        <v>234</v>
      </c>
      <c r="U172" s="152" t="str">
        <f>+VLOOKUP($L172,Data_Validation!$A:$D,3,0)</f>
        <v>Bilan</v>
      </c>
      <c r="V172" s="152" t="str">
        <f>+VLOOKUP($L172,Data_Validation!$A:$D,4,0)</f>
        <v>Inventaire Véhicules Neufs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1850</v>
      </c>
      <c r="B173" s="718" t="s">
        <v>352</v>
      </c>
      <c r="C173" s="720">
        <v>2036072.61</v>
      </c>
      <c r="D173" s="720">
        <v>-341956.69</v>
      </c>
      <c r="E173" s="720">
        <v>1694115.92</v>
      </c>
      <c r="F173" s="718" t="s">
        <v>2227</v>
      </c>
      <c r="G173" s="718" t="s">
        <v>352</v>
      </c>
      <c r="H173" s="666"/>
      <c r="I173" s="665"/>
      <c r="J173" s="665"/>
      <c r="K173" s="665"/>
      <c r="L173" s="149" t="str">
        <f t="shared" si="10"/>
        <v>230</v>
      </c>
      <c r="M173" s="150" t="str">
        <f t="shared" si="11"/>
        <v>INV. VOITURES NEUVES BMW</v>
      </c>
      <c r="N173" s="151">
        <f>+IF(OR($Q173=Parametres!$G$2,$Q173=Parametres!$G$3),I173,C173)</f>
        <v>2036072.61</v>
      </c>
      <c r="O173" s="151">
        <f>+IF(OR($Q173=Parametres!$G$2,$Q173=Parametres!$G$3),J173,D173)</f>
        <v>-341956.69</v>
      </c>
      <c r="P173" s="151">
        <f>+IF(OR($Q173=Parametres!$G$2,$Q173=Parametres!$G$3),K173,E173)</f>
        <v>1694115.92</v>
      </c>
      <c r="Q173" s="150" t="str">
        <f t="shared" si="12"/>
        <v>2-Actifs</v>
      </c>
      <c r="R173" s="149" t="str">
        <f t="shared" si="13"/>
        <v>230</v>
      </c>
      <c r="S173" s="150">
        <f t="shared" si="14"/>
        <v>0</v>
      </c>
      <c r="T173" s="152" t="str">
        <f>+VLOOKUP($L173,Data_Validation!$A:$D,1,0)</f>
        <v>230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2493</v>
      </c>
      <c r="B174" s="718" t="s">
        <v>2494</v>
      </c>
      <c r="C174" s="719">
        <v>2050000</v>
      </c>
      <c r="D174" s="719">
        <v>300000</v>
      </c>
      <c r="E174" s="719">
        <v>2350000</v>
      </c>
      <c r="F174" s="718" t="s">
        <v>2227</v>
      </c>
      <c r="G174" s="718" t="s">
        <v>2494</v>
      </c>
      <c r="H174" s="719"/>
      <c r="I174" s="720"/>
      <c r="J174" s="720"/>
      <c r="K174" s="720"/>
      <c r="L174" s="149" t="str">
        <f t="shared" si="10"/>
        <v>297</v>
      </c>
      <c r="M174" s="150" t="str">
        <f t="shared" si="11"/>
        <v>AUTRES NOTES &amp; RECEVABLES</v>
      </c>
      <c r="N174" s="151">
        <f>+IF(OR($Q174=Parametres!$G$2,$Q174=Parametres!$G$3),I174,C174)</f>
        <v>2050000</v>
      </c>
      <c r="O174" s="505">
        <f>+IF(OR($Q174=Parametres!$G$2,$Q174=Parametres!$G$3),J174,D174)</f>
        <v>300000</v>
      </c>
      <c r="P174" s="151">
        <f>+IF(OR($Q174=Parametres!$G$2,$Q174=Parametres!$G$3),K174,E174)</f>
        <v>2350000</v>
      </c>
      <c r="Q174" s="150" t="str">
        <f t="shared" si="12"/>
        <v>2-Actifs</v>
      </c>
      <c r="R174" s="149" t="str">
        <f t="shared" si="13"/>
        <v>297</v>
      </c>
      <c r="S174" s="150">
        <f t="shared" si="14"/>
        <v>0</v>
      </c>
      <c r="T174" s="152" t="str">
        <f>+VLOOKUP($L174,Data_Validation!$A:$D,1,0)</f>
        <v>297</v>
      </c>
      <c r="U174" s="152" t="str">
        <f>+VLOOKUP($L174,Data_Validation!$A:$D,3,0)</f>
        <v>Bilan</v>
      </c>
      <c r="V174" s="152" t="str">
        <f>+VLOOKUP($L174,Data_Validation!$A:$D,4,0)</f>
        <v>Avances à Recevoir Long Terme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1074</v>
      </c>
      <c r="B175" s="718" t="s">
        <v>382</v>
      </c>
      <c r="C175" s="720">
        <v>3924858.03</v>
      </c>
      <c r="D175" s="720">
        <v>-1297548.3899999999</v>
      </c>
      <c r="E175" s="720">
        <v>2627309.64</v>
      </c>
      <c r="F175" s="718" t="s">
        <v>2227</v>
      </c>
      <c r="G175" s="718" t="s">
        <v>382</v>
      </c>
      <c r="H175" s="673"/>
      <c r="I175" s="672"/>
      <c r="J175" s="672"/>
      <c r="K175" s="672"/>
      <c r="L175" s="149" t="str">
        <f t="shared" si="10"/>
        <v>232</v>
      </c>
      <c r="M175" s="150" t="str">
        <f t="shared" si="11"/>
        <v>INV. CAMIONS NEUFS BMW</v>
      </c>
      <c r="N175" s="151">
        <f>+IF(OR($Q175=Parametres!$G$2,$Q175=Parametres!$G$3),I175,C175)</f>
        <v>3924858.03</v>
      </c>
      <c r="O175" s="151">
        <f>+IF(OR($Q175=Parametres!$G$2,$Q175=Parametres!$G$3),J175,D175)</f>
        <v>-1297548.3899999999</v>
      </c>
      <c r="P175" s="151">
        <f>+IF(OR($Q175=Parametres!$G$2,$Q175=Parametres!$G$3),K175,E175)</f>
        <v>2627309.64</v>
      </c>
      <c r="Q175" s="150" t="str">
        <f t="shared" si="12"/>
        <v>2-Actifs</v>
      </c>
      <c r="R175" s="149" t="str">
        <f t="shared" si="13"/>
        <v>232</v>
      </c>
      <c r="S175" s="150">
        <f t="shared" si="14"/>
        <v>0</v>
      </c>
      <c r="T175" s="152" t="str">
        <f>+VLOOKUP($L175,Data_Validation!$A:$D,1,0)</f>
        <v>232</v>
      </c>
      <c r="U175" s="152" t="str">
        <f>+VLOOKUP($L175,Data_Validation!$A:$D,3,0)</f>
        <v>Bilan</v>
      </c>
      <c r="V175" s="152" t="str">
        <f>+VLOOKUP($L175,Data_Validation!$A:$D,4,0)</f>
        <v>Inventaire Véhicules Neufs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2227</v>
      </c>
      <c r="G176" s="718" t="s">
        <v>1367</v>
      </c>
      <c r="H176" s="673"/>
      <c r="I176" s="672"/>
      <c r="J176" s="672"/>
      <c r="K176" s="672"/>
      <c r="L176" s="149" t="str">
        <f t="shared" si="10"/>
        <v>296</v>
      </c>
      <c r="M176" s="150" t="str">
        <f t="shared" si="1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3"/>
        <v>296</v>
      </c>
      <c r="S176" s="150">
        <f t="shared" si="14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1851</v>
      </c>
      <c r="B177" s="718" t="s">
        <v>363</v>
      </c>
      <c r="C177" s="720">
        <v>-8697046.4100000001</v>
      </c>
      <c r="D177" s="720">
        <v>736112.75</v>
      </c>
      <c r="E177" s="720">
        <v>-7960933.6600000001</v>
      </c>
      <c r="F177" s="718" t="s">
        <v>2228</v>
      </c>
      <c r="G177" s="718" t="s">
        <v>363</v>
      </c>
      <c r="H177" s="673"/>
      <c r="I177" s="672"/>
      <c r="J177" s="672"/>
      <c r="K177" s="672"/>
      <c r="L177" s="149" t="str">
        <f t="shared" si="10"/>
        <v>310</v>
      </c>
      <c r="M177" s="150" t="str">
        <f t="shared" si="11"/>
        <v>FINANCEMENT VEHICULES NEUFS</v>
      </c>
      <c r="N177" s="151">
        <f>+IF(OR($Q177=Parametres!$G$2,$Q177=Parametres!$G$3),I177,C177)</f>
        <v>-8697046.4100000001</v>
      </c>
      <c r="O177" s="151">
        <f>+IF(OR($Q177=Parametres!$G$2,$Q177=Parametres!$G$3),J177,D177)</f>
        <v>736112.75</v>
      </c>
      <c r="P177" s="151">
        <f>+IF(OR($Q177=Parametres!$G$2,$Q177=Parametres!$G$3),K177,E177)</f>
        <v>-7960933.6600000001</v>
      </c>
      <c r="Q177" s="150" t="str">
        <f t="shared" si="12"/>
        <v>3-Passifs</v>
      </c>
      <c r="R177" s="149" t="str">
        <f t="shared" si="13"/>
        <v>310</v>
      </c>
      <c r="S177" s="150">
        <f t="shared" si="14"/>
        <v>0</v>
      </c>
      <c r="T177" s="152" t="str">
        <f>+VLOOKUP($L177,Data_Validation!$A:$D,1,0)</f>
        <v>310</v>
      </c>
      <c r="U177" s="152" t="str">
        <f>+VLOOKUP($L177,Data_Validation!$A:$D,3,0)</f>
        <v>Bilan</v>
      </c>
      <c r="V177" s="152" t="str">
        <f>+VLOOKUP($L177,Data_Validation!$A:$D,4,0)</f>
        <v>Effet à Payer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1100</v>
      </c>
      <c r="B178" s="718" t="s">
        <v>1101</v>
      </c>
      <c r="C178" s="720">
        <v>-1101731</v>
      </c>
      <c r="D178" s="720">
        <v>0</v>
      </c>
      <c r="E178" s="720">
        <v>-1101731</v>
      </c>
      <c r="F178" s="718" t="s">
        <v>2228</v>
      </c>
      <c r="G178" s="718" t="s">
        <v>1101</v>
      </c>
      <c r="H178" s="673"/>
      <c r="I178" s="672"/>
      <c r="J178" s="672"/>
      <c r="K178" s="672"/>
      <c r="L178" s="149" t="str">
        <f t="shared" si="10"/>
        <v>337A</v>
      </c>
      <c r="M178" s="150" t="str">
        <f t="shared" si="11"/>
        <v>IMPOTS FUTURS</v>
      </c>
      <c r="N178" s="151">
        <f>+IF(OR($Q178=Parametres!$G$2,$Q178=Parametres!$G$3),I178,C178)</f>
        <v>-1101731</v>
      </c>
      <c r="O178" s="151">
        <f>+IF(OR($Q178=Parametres!$G$2,$Q178=Parametres!$G$3),J178,D178)</f>
        <v>0</v>
      </c>
      <c r="P178" s="151">
        <f>+IF(OR($Q178=Parametres!$G$2,$Q178=Parametres!$G$3),K178,E178)</f>
        <v>-1101731</v>
      </c>
      <c r="Q178" s="150" t="str">
        <f t="shared" si="12"/>
        <v>3-Passifs</v>
      </c>
      <c r="R178" s="149" t="str">
        <f t="shared" si="13"/>
        <v>337A</v>
      </c>
      <c r="S178" s="150">
        <f t="shared" si="14"/>
        <v>0</v>
      </c>
      <c r="T178" s="152" t="str">
        <f>+VLOOKUP($L178,Data_Validation!$A:$D,1,0)</f>
        <v>337A</v>
      </c>
      <c r="U178" s="152" t="str">
        <f>+VLOOKUP($L178,Data_Validation!$A:$D,3,0)</f>
        <v>Bilan</v>
      </c>
      <c r="V178" s="152" t="str">
        <f>+VLOOKUP($L178,Data_Validation!$A:$D,4,0)</f>
        <v>Impôts Futurs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1849</v>
      </c>
      <c r="B179" s="718" t="s">
        <v>355</v>
      </c>
      <c r="C179" s="720">
        <v>-820303.19</v>
      </c>
      <c r="D179" s="720">
        <v>-149091.24</v>
      </c>
      <c r="E179" s="720">
        <v>-969394.43</v>
      </c>
      <c r="F179" s="718" t="s">
        <v>2228</v>
      </c>
      <c r="G179" s="718" t="s">
        <v>355</v>
      </c>
      <c r="H179" s="673"/>
      <c r="I179" s="672"/>
      <c r="J179" s="672"/>
      <c r="K179" s="672"/>
      <c r="L179" s="149" t="str">
        <f t="shared" si="10"/>
        <v>311</v>
      </c>
      <c r="M179" s="150" t="str">
        <f t="shared" si="11"/>
        <v>FINANCEMENT VEHICULES USAGES</v>
      </c>
      <c r="N179" s="151">
        <f>+IF(OR($Q179=Parametres!$G$2,$Q179=Parametres!$G$3),I179,C179)</f>
        <v>-820303.19</v>
      </c>
      <c r="O179" s="151">
        <f>+IF(OR($Q179=Parametres!$G$2,$Q179=Parametres!$G$3),J179,D179)</f>
        <v>-149091.24</v>
      </c>
      <c r="P179" s="151">
        <f>+IF(OR($Q179=Parametres!$G$2,$Q179=Parametres!$G$3),K179,E179)</f>
        <v>-969394.43</v>
      </c>
      <c r="Q179" s="150" t="str">
        <f t="shared" si="12"/>
        <v>3-Passifs</v>
      </c>
      <c r="R179" s="149" t="str">
        <f t="shared" si="13"/>
        <v>311</v>
      </c>
      <c r="S179" s="150">
        <f t="shared" si="14"/>
        <v>0</v>
      </c>
      <c r="T179" s="152" t="str">
        <f>+VLOOKUP($L179,Data_Validation!$A:$D,1,0)</f>
        <v>311</v>
      </c>
      <c r="U179" s="152" t="str">
        <f>+VLOOKUP($L179,Data_Validation!$A:$D,3,0)</f>
        <v>Bilan</v>
      </c>
      <c r="V179" s="152" t="str">
        <f>+VLOOKUP($L179,Data_Validation!$A:$D,4,0)</f>
        <v>Effet à Payer Véhicules Usagés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2429</v>
      </c>
      <c r="B180" s="718" t="s">
        <v>2430</v>
      </c>
      <c r="C180" s="720">
        <v>-769562.13</v>
      </c>
      <c r="D180" s="720">
        <v>-46156.7</v>
      </c>
      <c r="E180" s="720">
        <v>-815718.83</v>
      </c>
      <c r="F180" s="718" t="s">
        <v>2228</v>
      </c>
      <c r="G180" s="718" t="s">
        <v>2430</v>
      </c>
      <c r="H180" s="673"/>
      <c r="I180" s="672"/>
      <c r="J180" s="672"/>
      <c r="K180" s="672"/>
      <c r="L180" s="149" t="str">
        <f t="shared" si="10"/>
        <v>327</v>
      </c>
      <c r="M180" s="150" t="str">
        <f t="shared" si="11"/>
        <v>IMPOTS SUR LE REVENU</v>
      </c>
      <c r="N180" s="151">
        <f>+IF(OR($Q180=Parametres!$G$2,$Q180=Parametres!$G$3),I180,C180)</f>
        <v>-769562.13</v>
      </c>
      <c r="O180" s="151">
        <f>+IF(OR($Q180=Parametres!$G$2,$Q180=Parametres!$G$3),J180,D180)</f>
        <v>-46156.7</v>
      </c>
      <c r="P180" s="151">
        <f>+IF(OR($Q180=Parametres!$G$2,$Q180=Parametres!$G$3),K180,E180)</f>
        <v>-815718.83</v>
      </c>
      <c r="Q180" s="150" t="str">
        <f t="shared" si="12"/>
        <v>3-Passifs</v>
      </c>
      <c r="R180" s="149" t="str">
        <f t="shared" si="13"/>
        <v>327</v>
      </c>
      <c r="S180" s="150">
        <f t="shared" si="14"/>
        <v>0</v>
      </c>
      <c r="T180" s="152" t="str">
        <f>+VLOOKUP($L180,Data_Validation!$A:$D,1,0)</f>
        <v>327</v>
      </c>
      <c r="U180" s="152" t="str">
        <f>+VLOOKUP($L180,Data_Validation!$A:$D,3,0)</f>
        <v>Bilan</v>
      </c>
      <c r="V180" s="152" t="str">
        <f>+VLOOKUP($L180,Data_Validation!$A:$D,4,0)</f>
        <v>Impôts à payer</v>
      </c>
      <c r="W180" s="152">
        <f>+VLOOKUP($L180,Data_Validation!$A:$E,5,0)</f>
        <v>0</v>
      </c>
      <c r="X180" s="152">
        <f>+VLOOKUP($L180,Data_Validation!$A:$F,6,0)</f>
        <v>0</v>
      </c>
    </row>
    <row r="181" spans="1:24" ht="15.75" customHeight="1">
      <c r="A181" s="718" t="s">
        <v>1130</v>
      </c>
      <c r="B181" s="718" t="s">
        <v>467</v>
      </c>
      <c r="C181" s="720">
        <v>-715405.06</v>
      </c>
      <c r="D181" s="720">
        <v>-10710</v>
      </c>
      <c r="E181" s="720">
        <v>-726115.06</v>
      </c>
      <c r="F181" s="718" t="s">
        <v>2228</v>
      </c>
      <c r="G181" s="718" t="s">
        <v>467</v>
      </c>
      <c r="H181" s="666"/>
      <c r="I181" s="665"/>
      <c r="J181" s="665"/>
      <c r="K181" s="665"/>
      <c r="L181" s="149" t="str">
        <f t="shared" si="10"/>
        <v>356</v>
      </c>
      <c r="M181" s="150" t="str">
        <f t="shared" si="11"/>
        <v>AMORT.CUM. AMELIORATION LOCATIVE</v>
      </c>
      <c r="N181" s="151">
        <f>+IF(OR($Q181=Parametres!$G$2,$Q181=Parametres!$G$3),I181,C181)</f>
        <v>-715405.06</v>
      </c>
      <c r="O181" s="151">
        <f>+IF(OR($Q181=Parametres!$G$2,$Q181=Parametres!$G$3),J181,D181)</f>
        <v>-10710</v>
      </c>
      <c r="P181" s="151">
        <f>+IF(OR($Q181=Parametres!$G$2,$Q181=Parametres!$G$3),K181,E181)</f>
        <v>-726115.06</v>
      </c>
      <c r="Q181" s="150" t="str">
        <f t="shared" si="12"/>
        <v>3-Passifs</v>
      </c>
      <c r="R181" s="149" t="str">
        <f t="shared" si="13"/>
        <v>356</v>
      </c>
      <c r="S181" s="150">
        <f t="shared" si="14"/>
        <v>0</v>
      </c>
      <c r="T181" s="152" t="str">
        <f>+VLOOKUP($L181,Data_Validation!$A:$D,1,0)</f>
        <v>356</v>
      </c>
      <c r="U181" s="152" t="str">
        <f>+VLOOKUP($L181,Data_Validation!$A:$D,3,0)</f>
        <v>Bilan</v>
      </c>
      <c r="V181" s="152" t="str">
        <f>+VLOOKUP($L181,Data_Validation!$A:$D,4,0)</f>
        <v>Améliorations Locatives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1711</v>
      </c>
      <c r="B182" s="718" t="s">
        <v>378</v>
      </c>
      <c r="C182" s="720">
        <v>-441278.88</v>
      </c>
      <c r="D182" s="720">
        <v>-5500</v>
      </c>
      <c r="E182" s="720">
        <v>-446778.88</v>
      </c>
      <c r="F182" s="718" t="s">
        <v>2228</v>
      </c>
      <c r="G182" s="718" t="s">
        <v>378</v>
      </c>
      <c r="H182" s="666"/>
      <c r="I182" s="665"/>
      <c r="J182" s="665"/>
      <c r="K182" s="665"/>
      <c r="L182" s="149" t="str">
        <f t="shared" si="10"/>
        <v>352</v>
      </c>
      <c r="M182" s="150" t="str">
        <f t="shared" si="11"/>
        <v>AMORT.CUM. EQUIP. &amp; OUTILLAGES</v>
      </c>
      <c r="N182" s="151">
        <f>+IF(OR($Q182=Parametres!$G$2,$Q182=Parametres!$G$3),I182,C182)</f>
        <v>-441278.88</v>
      </c>
      <c r="O182" s="151">
        <f>+IF(OR($Q182=Parametres!$G$2,$Q182=Parametres!$G$3),J182,D182)</f>
        <v>-5500</v>
      </c>
      <c r="P182" s="151">
        <f>+IF(OR($Q182=Parametres!$G$2,$Q182=Parametres!$G$3),K182,E182)</f>
        <v>-446778.88</v>
      </c>
      <c r="Q182" s="150" t="str">
        <f t="shared" si="12"/>
        <v>3-Passifs</v>
      </c>
      <c r="R182" s="149" t="str">
        <f t="shared" si="13"/>
        <v>352</v>
      </c>
      <c r="S182" s="150">
        <f t="shared" si="14"/>
        <v>0</v>
      </c>
      <c r="T182" s="152" t="str">
        <f>+VLOOKUP($L182,Data_Validation!$A:$D,1,0)</f>
        <v>352</v>
      </c>
      <c r="U182" s="152" t="str">
        <f>+VLOOKUP($L182,Data_Validation!$A:$D,3,0)</f>
        <v>Bilan</v>
      </c>
      <c r="V182" s="152" t="str">
        <f>+VLOOKUP($L182,Data_Validation!$A:$D,4,0)</f>
        <v>Équipements Service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1688</v>
      </c>
      <c r="B183" s="718" t="s">
        <v>1689</v>
      </c>
      <c r="C183" s="720">
        <v>-263528.95</v>
      </c>
      <c r="D183" s="720">
        <v>-3625</v>
      </c>
      <c r="E183" s="720">
        <v>-267153.95</v>
      </c>
      <c r="F183" s="718" t="s">
        <v>2228</v>
      </c>
      <c r="G183" s="718" t="s">
        <v>1689</v>
      </c>
      <c r="H183" s="673"/>
      <c r="I183" s="672"/>
      <c r="J183" s="672"/>
      <c r="K183" s="672"/>
      <c r="L183" s="149" t="str">
        <f t="shared" si="10"/>
        <v>354A</v>
      </c>
      <c r="M183" s="150" t="str">
        <f t="shared" si="11"/>
        <v>AMORT.CUM. MEUBLES &amp; ACCESSOIRES</v>
      </c>
      <c r="N183" s="151">
        <f>+IF(OR($Q183=Parametres!$G$2,$Q183=Parametres!$G$3),I183,C183)</f>
        <v>-263528.95</v>
      </c>
      <c r="O183" s="151">
        <f>+IF(OR($Q183=Parametres!$G$2,$Q183=Parametres!$G$3),J183,D183)</f>
        <v>-3625</v>
      </c>
      <c r="P183" s="151">
        <f>+IF(OR($Q183=Parametres!$G$2,$Q183=Parametres!$G$3),K183,E183)</f>
        <v>-267153.95</v>
      </c>
      <c r="Q183" s="150" t="str">
        <f t="shared" si="12"/>
        <v>3-Passifs</v>
      </c>
      <c r="R183" s="149" t="str">
        <f t="shared" si="13"/>
        <v>354A</v>
      </c>
      <c r="S183" s="150">
        <f t="shared" si="14"/>
        <v>0</v>
      </c>
      <c r="T183" s="152" t="str">
        <f>+VLOOKUP($L183,Data_Validation!$A:$D,1,0)</f>
        <v>354A</v>
      </c>
      <c r="U183" s="152" t="str">
        <f>+VLOOKUP($L183,Data_Validation!$A:$D,3,0)</f>
        <v>Bilan</v>
      </c>
      <c r="V183" s="152" t="str">
        <f>+VLOOKUP($L183,Data_Validation!$A:$D,4,0)</f>
        <v>Mobilier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1845</v>
      </c>
      <c r="B184" s="718" t="s">
        <v>403</v>
      </c>
      <c r="C184" s="720">
        <v>-193895.24</v>
      </c>
      <c r="D184" s="720">
        <v>-64730.83</v>
      </c>
      <c r="E184" s="720">
        <v>-258626.07</v>
      </c>
      <c r="F184" s="718" t="s">
        <v>2228</v>
      </c>
      <c r="G184" s="718" t="s">
        <v>403</v>
      </c>
      <c r="H184" s="666"/>
      <c r="I184" s="665"/>
      <c r="J184" s="665"/>
      <c r="K184" s="665"/>
      <c r="L184" s="149" t="str">
        <f t="shared" si="10"/>
        <v>324</v>
      </c>
      <c r="M184" s="150" t="str">
        <f t="shared" si="11"/>
        <v>TPS A PAYER</v>
      </c>
      <c r="N184" s="151">
        <f>+IF(OR($Q184=Parametres!$G$2,$Q184=Parametres!$G$3),I184,C184)</f>
        <v>-193895.24</v>
      </c>
      <c r="O184" s="151">
        <f>+IF(OR($Q184=Parametres!$G$2,$Q184=Parametres!$G$3),J184,D184)</f>
        <v>-64730.83</v>
      </c>
      <c r="P184" s="151">
        <f>+IF(OR($Q184=Parametres!$G$2,$Q184=Parametres!$G$3),K184,E184)</f>
        <v>-258626.07</v>
      </c>
      <c r="Q184" s="150" t="str">
        <f t="shared" si="12"/>
        <v>3-Passifs</v>
      </c>
      <c r="R184" s="149" t="str">
        <f t="shared" si="13"/>
        <v>324</v>
      </c>
      <c r="S184" s="150">
        <f t="shared" si="14"/>
        <v>0</v>
      </c>
      <c r="T184" s="152" t="str">
        <f>+VLOOKUP($L184,Data_Validation!$A:$D,1,0)</f>
        <v>324</v>
      </c>
      <c r="U184" s="152" t="str">
        <f>+VLOOKUP($L184,Data_Validation!$A:$D,3,0)</f>
        <v>Bilan</v>
      </c>
      <c r="V184" s="152" t="str">
        <f>+VLOOKUP($L184,Data_Validation!$A:$D,4,0)</f>
        <v>Taxes de Vente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1846</v>
      </c>
      <c r="B185" s="718" t="s">
        <v>354</v>
      </c>
      <c r="C185" s="720">
        <v>-175786.34</v>
      </c>
      <c r="D185" s="720">
        <v>31967</v>
      </c>
      <c r="E185" s="720">
        <v>-143819.34</v>
      </c>
      <c r="F185" s="718" t="s">
        <v>2228</v>
      </c>
      <c r="G185" s="718" t="s">
        <v>354</v>
      </c>
      <c r="H185" s="719"/>
      <c r="I185" s="719"/>
      <c r="J185" s="719"/>
      <c r="K185" s="719"/>
      <c r="L185" s="149" t="str">
        <f t="shared" si="10"/>
        <v>300</v>
      </c>
      <c r="M185" s="150" t="str">
        <f t="shared" si="11"/>
        <v>COMPTES FOURNISSEURS</v>
      </c>
      <c r="N185" s="151">
        <f>+IF(OR($Q185=Parametres!$G$2,$Q185=Parametres!$G$3),I185,C185)</f>
        <v>-175786.34</v>
      </c>
      <c r="O185" s="151">
        <f>+IF(OR($Q185=Parametres!$G$2,$Q185=Parametres!$G$3),J185,D185)</f>
        <v>31967</v>
      </c>
      <c r="P185" s="151">
        <f>+IF(OR($Q185=Parametres!$G$2,$Q185=Parametres!$G$3),K185,E185)</f>
        <v>-143819.34</v>
      </c>
      <c r="Q185" s="150" t="str">
        <f t="shared" si="12"/>
        <v>3-Passifs</v>
      </c>
      <c r="R185" s="149" t="str">
        <f t="shared" si="13"/>
        <v>300</v>
      </c>
      <c r="S185" s="150">
        <f t="shared" si="14"/>
        <v>0</v>
      </c>
      <c r="T185" s="152" t="str">
        <f>+VLOOKUP($L185,Data_Validation!$A:$D,1,0)</f>
        <v>300</v>
      </c>
      <c r="U185" s="152" t="str">
        <f>+VLOOKUP($L185,Data_Validation!$A:$D,3,0)</f>
        <v>Bilan</v>
      </c>
      <c r="V185" s="152" t="str">
        <f>+VLOOKUP($L185,Data_Validation!$A:$D,4,0)</f>
        <v>Comptes à Payer Fournisseurs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1789</v>
      </c>
      <c r="B186" s="718" t="s">
        <v>1790</v>
      </c>
      <c r="C186" s="720">
        <v>-151044.72</v>
      </c>
      <c r="D186" s="720">
        <v>-340</v>
      </c>
      <c r="E186" s="720">
        <v>-151384.72</v>
      </c>
      <c r="F186" s="718" t="s">
        <v>2228</v>
      </c>
      <c r="G186" s="718" t="s">
        <v>1790</v>
      </c>
      <c r="H186" s="673"/>
      <c r="I186" s="672"/>
      <c r="J186" s="672"/>
      <c r="K186" s="672"/>
      <c r="L186" s="149" t="str">
        <f t="shared" si="10"/>
        <v>354C</v>
      </c>
      <c r="M186" s="150" t="str">
        <f t="shared" si="11"/>
        <v>AMORT.CUM. EQUIP. INFORMATIQUE</v>
      </c>
      <c r="N186" s="151">
        <f>+IF(OR($Q186=Parametres!$G$2,$Q186=Parametres!$G$3),I186,C186)</f>
        <v>-151044.72</v>
      </c>
      <c r="O186" s="501">
        <f>+IF(OR($Q186=Parametres!$G$2,$Q186=Parametres!$G$3),J186,D186)</f>
        <v>-340</v>
      </c>
      <c r="P186" s="151">
        <f>+IF(OR($Q186=Parametres!$G$2,$Q186=Parametres!$G$3),K186,E186)</f>
        <v>-151384.72</v>
      </c>
      <c r="Q186" s="150" t="str">
        <f t="shared" si="12"/>
        <v>3-Passifs</v>
      </c>
      <c r="R186" s="149" t="str">
        <f t="shared" si="13"/>
        <v>354C</v>
      </c>
      <c r="S186" s="150">
        <f t="shared" si="14"/>
        <v>0</v>
      </c>
      <c r="T186" s="152" t="str">
        <f>+VLOOKUP($L186,Data_Validation!$A:$D,1,0)</f>
        <v>354C</v>
      </c>
      <c r="U186" s="152" t="str">
        <f>+VLOOKUP($L186,Data_Validation!$A:$D,3,0)</f>
        <v>Bilan</v>
      </c>
      <c r="V186" s="152" t="str">
        <f>+VLOOKUP($L186,Data_Validation!$A:$D,4,0)</f>
        <v>Équipements Informatique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2307</v>
      </c>
      <c r="B187" s="718" t="s">
        <v>2308</v>
      </c>
      <c r="C187" s="720">
        <v>-147514</v>
      </c>
      <c r="D187" s="720">
        <v>37803</v>
      </c>
      <c r="E187" s="720">
        <v>-109711</v>
      </c>
      <c r="F187" s="718" t="s">
        <v>2228</v>
      </c>
      <c r="G187" s="718" t="s">
        <v>2308</v>
      </c>
      <c r="H187" s="607"/>
      <c r="I187" s="153"/>
      <c r="J187" s="153"/>
      <c r="K187" s="153"/>
      <c r="L187" s="149" t="str">
        <f t="shared" si="10"/>
        <v>332</v>
      </c>
      <c r="M187" s="150" t="str">
        <f t="shared" si="11"/>
        <v>REVENU HOLDBACK DIFFERE</v>
      </c>
      <c r="N187" s="151">
        <f>+IF(OR($Q187=Parametres!$G$2,$Q187=Parametres!$G$3),I187,C187)</f>
        <v>-147514</v>
      </c>
      <c r="O187" s="151">
        <f>+IF(OR($Q187=Parametres!$G$2,$Q187=Parametres!$G$3),J187,D187)</f>
        <v>37803</v>
      </c>
      <c r="P187" s="151">
        <f>+IF(OR($Q187=Parametres!$G$2,$Q187=Parametres!$G$3),K187,E187)</f>
        <v>-109711</v>
      </c>
      <c r="Q187" s="150" t="str">
        <f t="shared" si="12"/>
        <v>3-Passifs</v>
      </c>
      <c r="R187" s="149" t="str">
        <f t="shared" si="13"/>
        <v>332</v>
      </c>
      <c r="S187" s="150">
        <f t="shared" si="14"/>
        <v>0</v>
      </c>
      <c r="T187" s="152" t="str">
        <f>+VLOOKUP($L187,Data_Validation!$A:$D,1,0)</f>
        <v>332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1108</v>
      </c>
      <c r="B188" s="718" t="s">
        <v>443</v>
      </c>
      <c r="C188" s="720">
        <v>-133088.43</v>
      </c>
      <c r="D188" s="720">
        <v>-10547.16</v>
      </c>
      <c r="E188" s="720">
        <v>-143635.59</v>
      </c>
      <c r="F188" s="718" t="s">
        <v>2228</v>
      </c>
      <c r="G188" s="718" t="s">
        <v>443</v>
      </c>
      <c r="H188" s="607"/>
      <c r="I188" s="153"/>
      <c r="J188" s="153"/>
      <c r="K188" s="153"/>
      <c r="L188" s="149" t="str">
        <f t="shared" si="10"/>
        <v>321A</v>
      </c>
      <c r="M188" s="150" t="str">
        <f t="shared" si="11"/>
        <v>VACANCES PAYEES</v>
      </c>
      <c r="N188" s="151">
        <f>+IF(OR($Q188=Parametres!$G$2,$Q188=Parametres!$G$3),I188,C188)</f>
        <v>-133088.43</v>
      </c>
      <c r="O188" s="506">
        <f>+IF(OR($Q188=Parametres!$G$2,$Q188=Parametres!$G$3),J188,D188)</f>
        <v>-10547.16</v>
      </c>
      <c r="P188" s="151">
        <f>+IF(OR($Q188=Parametres!$G$2,$Q188=Parametres!$G$3),K188,E188)</f>
        <v>-143635.59</v>
      </c>
      <c r="Q188" s="150" t="str">
        <f t="shared" si="12"/>
        <v>3-Passifs</v>
      </c>
      <c r="R188" s="149" t="str">
        <f t="shared" si="13"/>
        <v>321A</v>
      </c>
      <c r="S188" s="150">
        <f t="shared" si="14"/>
        <v>0</v>
      </c>
      <c r="T188" s="152" t="str">
        <f>+VLOOKUP($L188,Data_Validation!$A:$D,1,0)</f>
        <v>321A</v>
      </c>
      <c r="U188" s="152" t="str">
        <f>+VLOOKUP($L188,Data_Validation!$A:$D,3,0)</f>
        <v>Bilan</v>
      </c>
      <c r="V188" s="152" t="str">
        <f>+VLOOKUP($L188,Data_Validation!$A:$D,4,0)</f>
        <v>Salaires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391</v>
      </c>
      <c r="B189" s="718" t="s">
        <v>377</v>
      </c>
      <c r="C189" s="720">
        <v>-103853.99</v>
      </c>
      <c r="D189" s="720">
        <v>35500</v>
      </c>
      <c r="E189" s="720">
        <v>-68353.990000000005</v>
      </c>
      <c r="F189" s="718" t="s">
        <v>2228</v>
      </c>
      <c r="G189" s="718" t="s">
        <v>377</v>
      </c>
      <c r="H189" s="673"/>
      <c r="I189" s="673"/>
      <c r="J189" s="673"/>
      <c r="K189" s="673"/>
      <c r="L189" s="149" t="str">
        <f t="shared" si="10"/>
        <v>303</v>
      </c>
      <c r="M189" s="150" t="str">
        <f t="shared" si="11"/>
        <v>DEPOTS DE CLIENTS</v>
      </c>
      <c r="N189" s="151">
        <f>+IF(OR($Q189=Parametres!$G$2,$Q189=Parametres!$G$3),I189,C189)</f>
        <v>-103853.99</v>
      </c>
      <c r="O189" s="151">
        <f>+IF(OR($Q189=Parametres!$G$2,$Q189=Parametres!$G$3),J189,D189)</f>
        <v>35500</v>
      </c>
      <c r="P189" s="151">
        <f>+IF(OR($Q189=Parametres!$G$2,$Q189=Parametres!$G$3),K189,E189)</f>
        <v>-68353.990000000005</v>
      </c>
      <c r="Q189" s="150" t="str">
        <f t="shared" si="12"/>
        <v>3-Passifs</v>
      </c>
      <c r="R189" s="149" t="str">
        <f t="shared" si="13"/>
        <v>303</v>
      </c>
      <c r="S189" s="150">
        <f t="shared" si="14"/>
        <v>0</v>
      </c>
      <c r="T189" s="152" t="str">
        <f>+VLOOKUP($L189,Data_Validation!$A:$D,1,0)</f>
        <v>303</v>
      </c>
      <c r="U189" s="152" t="str">
        <f>+VLOOKUP($L189,Data_Validation!$A:$D,3,0)</f>
        <v>Bilan</v>
      </c>
      <c r="V189" s="152" t="str">
        <f>+VLOOKUP($L189,Data_Validation!$A:$D,4,0)</f>
        <v>Dépôts de Client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351</v>
      </c>
      <c r="B190" s="718" t="s">
        <v>1829</v>
      </c>
      <c r="C190" s="720">
        <v>-89464.15</v>
      </c>
      <c r="D190" s="720">
        <v>-7074.95</v>
      </c>
      <c r="E190" s="720">
        <v>-96539.1</v>
      </c>
      <c r="F190" s="718" t="s">
        <v>2228</v>
      </c>
      <c r="G190" s="718" t="s">
        <v>403</v>
      </c>
      <c r="H190" s="673"/>
      <c r="I190" s="672"/>
      <c r="J190" s="672"/>
      <c r="K190" s="672"/>
      <c r="L190" s="149" t="str">
        <f t="shared" si="10"/>
        <v>325</v>
      </c>
      <c r="M190" s="150" t="str">
        <f t="shared" si="11"/>
        <v>TVQ A PAYER</v>
      </c>
      <c r="N190" s="151">
        <f>+IF(OR($Q190=Parametres!$G$2,$Q190=Parametres!$G$3),I190,C190)</f>
        <v>-89464.15</v>
      </c>
      <c r="O190" s="151">
        <f>+IF(OR($Q190=Parametres!$G$2,$Q190=Parametres!$G$3),J190,D190)</f>
        <v>-7074.95</v>
      </c>
      <c r="P190" s="151">
        <f>+IF(OR($Q190=Parametres!$G$2,$Q190=Parametres!$G$3),K190,E190)</f>
        <v>-96539.1</v>
      </c>
      <c r="Q190" s="150" t="str">
        <f t="shared" si="12"/>
        <v>3-Passifs</v>
      </c>
      <c r="R190" s="149" t="str">
        <f t="shared" si="13"/>
        <v>324</v>
      </c>
      <c r="S190" s="150">
        <f t="shared" si="14"/>
        <v>0</v>
      </c>
      <c r="T190" s="152" t="str">
        <f>+VLOOKUP($L190,Data_Validation!$A:$D,1,0)</f>
        <v>325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2335</v>
      </c>
      <c r="B191" s="718" t="s">
        <v>2336</v>
      </c>
      <c r="C191" s="720">
        <v>-83753.02</v>
      </c>
      <c r="D191" s="720">
        <v>-23995.09</v>
      </c>
      <c r="E191" s="720">
        <v>-107748.11</v>
      </c>
      <c r="F191" s="718" t="s">
        <v>2228</v>
      </c>
      <c r="G191" s="718" t="s">
        <v>2336</v>
      </c>
      <c r="H191" s="673"/>
      <c r="I191" s="673"/>
      <c r="J191" s="673"/>
      <c r="K191" s="673"/>
      <c r="L191" s="149" t="str">
        <f t="shared" si="10"/>
        <v>328</v>
      </c>
      <c r="M191" s="150" t="str">
        <f t="shared" si="11"/>
        <v>BONUS EMPLOYES A/P</v>
      </c>
      <c r="N191" s="151">
        <f>+IF(OR($Q191=Parametres!$G$2,$Q191=Parametres!$G$3),I191,C191)</f>
        <v>-83753.02</v>
      </c>
      <c r="O191" s="504">
        <f>+IF(OR($Q191=Parametres!$G$2,$Q191=Parametres!$G$3),J191,D191)</f>
        <v>-23995.09</v>
      </c>
      <c r="P191" s="151">
        <f>+IF(OR($Q191=Parametres!$G$2,$Q191=Parametres!$G$3),K191,E191)</f>
        <v>-107748.11</v>
      </c>
      <c r="Q191" s="150" t="str">
        <f t="shared" si="12"/>
        <v>3-Passifs</v>
      </c>
      <c r="R191" s="149" t="str">
        <f t="shared" si="13"/>
        <v>328</v>
      </c>
      <c r="S191" s="150">
        <f t="shared" si="14"/>
        <v>0</v>
      </c>
      <c r="T191" s="152" t="str">
        <f>+VLOOKUP($L191,Data_Validation!$A:$D,1,0)</f>
        <v>328</v>
      </c>
      <c r="U191" s="152" t="str">
        <f>+VLOOKUP($L191,Data_Validation!$A:$D,3,0)</f>
        <v>Bilan</v>
      </c>
      <c r="V191" s="152" t="str">
        <f>+VLOOKUP($L191,Data_Validation!$A:$D,4,0)</f>
        <v>Salaires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2200</v>
      </c>
      <c r="B192" s="718" t="s">
        <v>2201</v>
      </c>
      <c r="C192" s="720">
        <v>-63919.95</v>
      </c>
      <c r="D192" s="720">
        <v>46417.5</v>
      </c>
      <c r="E192" s="720">
        <v>-17502.45</v>
      </c>
      <c r="F192" s="718" t="s">
        <v>2228</v>
      </c>
      <c r="G192" s="718" t="s">
        <v>354</v>
      </c>
      <c r="H192" s="607"/>
      <c r="I192" s="609"/>
      <c r="J192" s="609"/>
      <c r="K192" s="609"/>
      <c r="L192" s="149" t="str">
        <f t="shared" si="10"/>
        <v>300O</v>
      </c>
      <c r="M192" s="150" t="str">
        <f t="shared" si="11"/>
        <v>A/P INTERCO FOURNISSEURS</v>
      </c>
      <c r="N192" s="151">
        <f>+IF(OR($Q192=Parametres!$G$2,$Q192=Parametres!$G$3),I192,C192)</f>
        <v>-63919.95</v>
      </c>
      <c r="O192" s="151">
        <f>+IF(OR($Q192=Parametres!$G$2,$Q192=Parametres!$G$3),J192,D192)</f>
        <v>46417.5</v>
      </c>
      <c r="P192" s="151">
        <f>+IF(OR($Q192=Parametres!$G$2,$Q192=Parametres!$G$3),K192,E192)</f>
        <v>-17502.45</v>
      </c>
      <c r="Q192" s="150" t="str">
        <f t="shared" si="12"/>
        <v>3-Passifs</v>
      </c>
      <c r="R192" s="149" t="str">
        <f t="shared" si="13"/>
        <v>300</v>
      </c>
      <c r="S192" s="150">
        <f t="shared" si="14"/>
        <v>0</v>
      </c>
      <c r="T192" s="152" t="str">
        <f>+VLOOKUP($L192,Data_Validation!$A:$D,1,0)</f>
        <v>300O</v>
      </c>
      <c r="U192" s="152" t="str">
        <f>+VLOOKUP($L192,Data_Validation!$A:$D,3,0)</f>
        <v>Bilan</v>
      </c>
      <c r="V192" s="152" t="str">
        <f>+VLOOKUP($L192,Data_Validation!$A:$D,4,0)</f>
        <v>Payables Intercos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1206</v>
      </c>
      <c r="B193" s="718" t="s">
        <v>1207</v>
      </c>
      <c r="C193" s="720">
        <v>-61072.1</v>
      </c>
      <c r="D193" s="720">
        <v>-650</v>
      </c>
      <c r="E193" s="720">
        <v>-61722.1</v>
      </c>
      <c r="F193" s="718" t="s">
        <v>2228</v>
      </c>
      <c r="G193" s="718" t="s">
        <v>1207</v>
      </c>
      <c r="H193" s="607"/>
      <c r="I193" s="608"/>
      <c r="J193" s="608"/>
      <c r="K193" s="608"/>
      <c r="L193" s="149" t="str">
        <f t="shared" si="10"/>
        <v>354B</v>
      </c>
      <c r="M193" s="150" t="str">
        <f t="shared" si="11"/>
        <v>AMORT.CUM. ENSEIGNE</v>
      </c>
      <c r="N193" s="151">
        <f>+IF(OR($Q193=Parametres!$G$2,$Q193=Parametres!$G$3),I193,C193)</f>
        <v>-61072.1</v>
      </c>
      <c r="O193" s="151">
        <f>+IF(OR($Q193=Parametres!$G$2,$Q193=Parametres!$G$3),J193,D193)</f>
        <v>-650</v>
      </c>
      <c r="P193" s="151">
        <f>+IF(OR($Q193=Parametres!$G$2,$Q193=Parametres!$G$3),K193,E193)</f>
        <v>-61722.1</v>
      </c>
      <c r="Q193" s="150" t="str">
        <f t="shared" si="12"/>
        <v>3-Passifs</v>
      </c>
      <c r="R193" s="149" t="str">
        <f t="shared" si="13"/>
        <v>354B</v>
      </c>
      <c r="S193" s="150">
        <f t="shared" si="14"/>
        <v>0</v>
      </c>
      <c r="T193" s="152" t="str">
        <f>+VLOOKUP($L193,Data_Validation!$A:$D,1,0)</f>
        <v>354B</v>
      </c>
      <c r="U193" s="152" t="str">
        <f>+VLOOKUP($L193,Data_Validation!$A:$D,3,0)</f>
        <v>Bilan</v>
      </c>
      <c r="V193" s="152" t="str">
        <f>+VLOOKUP($L193,Data_Validation!$A:$D,4,0)</f>
        <v>Enseigne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1080</v>
      </c>
      <c r="B194" s="718" t="s">
        <v>1063</v>
      </c>
      <c r="C194" s="720">
        <v>-48458.58</v>
      </c>
      <c r="D194" s="720">
        <v>6122.65</v>
      </c>
      <c r="E194" s="720">
        <v>-42335.93</v>
      </c>
      <c r="F194" s="718" t="s">
        <v>2228</v>
      </c>
      <c r="G194" s="718" t="s">
        <v>1063</v>
      </c>
      <c r="H194" s="673"/>
      <c r="I194" s="672"/>
      <c r="J194" s="672"/>
      <c r="K194" s="672"/>
      <c r="L194" s="149" t="str">
        <f t="shared" ref="L194:L257" si="15">+B194</f>
        <v>331C</v>
      </c>
      <c r="M194" s="150" t="str">
        <f t="shared" ref="M194:M257" si="16">+A194</f>
        <v>RESERVE INVENTAIRE NEUF</v>
      </c>
      <c r="N194" s="151">
        <f>+IF(OR($Q194=Parametres!$G$2,$Q194=Parametres!$G$3),I194,C194)</f>
        <v>-48458.58</v>
      </c>
      <c r="O194" s="151">
        <f>+IF(OR($Q194=Parametres!$G$2,$Q194=Parametres!$G$3),J194,D194)</f>
        <v>6122.65</v>
      </c>
      <c r="P194" s="151">
        <f>+IF(OR($Q194=Parametres!$G$2,$Q194=Parametres!$G$3),K194,E194)</f>
        <v>-42335.93</v>
      </c>
      <c r="Q194" s="150" t="str">
        <f t="shared" ref="Q194:Q257" si="17">+F194</f>
        <v>3-Passifs</v>
      </c>
      <c r="R194" s="149" t="str">
        <f t="shared" ref="R194:R257" si="18">+G194</f>
        <v>331C</v>
      </c>
      <c r="S194" s="150">
        <f t="shared" ref="S194:S257" si="19">+H194</f>
        <v>0</v>
      </c>
      <c r="T194" s="152" t="str">
        <f>+VLOOKUP($L194,Data_Validation!$A:$D,1,0)</f>
        <v>331C</v>
      </c>
      <c r="U194" s="152" t="str">
        <f>+VLOOKUP($L194,Data_Validation!$A:$D,3,0)</f>
        <v>Bilan</v>
      </c>
      <c r="V194" s="152" t="str">
        <f>+VLOOKUP($L194,Data_Validation!$A:$D,4,0)</f>
        <v>Inventaire Véhicules Neufs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1921</v>
      </c>
      <c r="B195" s="718" t="s">
        <v>1922</v>
      </c>
      <c r="C195" s="720">
        <v>-41574.35</v>
      </c>
      <c r="D195" s="720">
        <v>-8990.66</v>
      </c>
      <c r="E195" s="720">
        <v>-50565.01</v>
      </c>
      <c r="F195" s="718" t="s">
        <v>2228</v>
      </c>
      <c r="G195" s="718" t="s">
        <v>1063</v>
      </c>
      <c r="H195" s="673"/>
      <c r="I195" s="672"/>
      <c r="J195" s="672"/>
      <c r="K195" s="672"/>
      <c r="L195" s="149" t="str">
        <f t="shared" si="15"/>
        <v>331D</v>
      </c>
      <c r="M195" s="150" t="str">
        <f t="shared" si="16"/>
        <v>RESERVE DEMONSTRATEURS</v>
      </c>
      <c r="N195" s="151">
        <f>+IF(OR($Q195=Parametres!$G$2,$Q195=Parametres!$G$3),I195,C195)</f>
        <v>-41574.35</v>
      </c>
      <c r="O195" s="151">
        <f>+IF(OR($Q195=Parametres!$G$2,$Q195=Parametres!$G$3),J195,D195)</f>
        <v>-8990.66</v>
      </c>
      <c r="P195" s="151">
        <f>+IF(OR($Q195=Parametres!$G$2,$Q195=Parametres!$G$3),K195,E195)</f>
        <v>-50565.01</v>
      </c>
      <c r="Q195" s="150" t="str">
        <f t="shared" si="17"/>
        <v>3-Passifs</v>
      </c>
      <c r="R195" s="149" t="str">
        <f t="shared" si="18"/>
        <v>331C</v>
      </c>
      <c r="S195" s="150">
        <f t="shared" si="19"/>
        <v>0</v>
      </c>
      <c r="T195" s="152" t="str">
        <f>+VLOOKUP($L195,Data_Validation!$A:$D,1,0)</f>
        <v>331D</v>
      </c>
      <c r="U195" s="152" t="str">
        <f>+VLOOKUP($L195,Data_Validation!$A:$D,3,0)</f>
        <v>Bilan</v>
      </c>
      <c r="V195" s="152" t="str">
        <f>+VLOOKUP($L195,Data_Validation!$A:$D,4,0)</f>
        <v>Inventaire Véhicules Neufs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2234</v>
      </c>
      <c r="B196" s="718" t="s">
        <v>2233</v>
      </c>
      <c r="C196" s="720">
        <v>-39964.6</v>
      </c>
      <c r="D196" s="720">
        <v>18064.599999999999</v>
      </c>
      <c r="E196" s="720">
        <v>-21900</v>
      </c>
      <c r="F196" s="718" t="s">
        <v>2228</v>
      </c>
      <c r="G196" s="718" t="s">
        <v>354</v>
      </c>
      <c r="H196" s="673"/>
      <c r="I196" s="672"/>
      <c r="J196" s="672"/>
      <c r="K196" s="672"/>
      <c r="L196" s="149" t="str">
        <f t="shared" si="15"/>
        <v>300L</v>
      </c>
      <c r="M196" s="150" t="str">
        <f t="shared" si="16"/>
        <v>A/P INTERCO WHOLESALE &amp; ECHANGE</v>
      </c>
      <c r="N196" s="151">
        <f>+IF(OR($Q196=Parametres!$G$2,$Q196=Parametres!$G$3),I196,C196)</f>
        <v>-39964.6</v>
      </c>
      <c r="O196" s="151">
        <f>+IF(OR($Q196=Parametres!$G$2,$Q196=Parametres!$G$3),J196,D196)</f>
        <v>18064.599999999999</v>
      </c>
      <c r="P196" s="151">
        <f>+IF(OR($Q196=Parametres!$G$2,$Q196=Parametres!$G$3),K196,E196)</f>
        <v>-21900</v>
      </c>
      <c r="Q196" s="150" t="str">
        <f t="shared" si="17"/>
        <v>3-Passifs</v>
      </c>
      <c r="R196" s="149" t="str">
        <f t="shared" si="18"/>
        <v>300</v>
      </c>
      <c r="S196" s="150">
        <f t="shared" si="19"/>
        <v>0</v>
      </c>
      <c r="T196" s="152" t="str">
        <f>+VLOOKUP($L196,Data_Validation!$A:$D,1,0)</f>
        <v>300L</v>
      </c>
      <c r="U196" s="152" t="str">
        <f>+VLOOKUP($L196,Data_Validation!$A:$D,3,0)</f>
        <v>Bilan</v>
      </c>
      <c r="V196" s="152" t="str">
        <f>+VLOOKUP($L196,Data_Validation!$A:$D,4,0)</f>
        <v>Payables Intercos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361</v>
      </c>
      <c r="B197" s="718" t="s">
        <v>424</v>
      </c>
      <c r="C197" s="720">
        <v>-34066.15</v>
      </c>
      <c r="D197" s="720">
        <v>32220.55</v>
      </c>
      <c r="E197" s="720">
        <v>-1845.6</v>
      </c>
      <c r="F197" s="718" t="s">
        <v>2228</v>
      </c>
      <c r="G197" s="718" t="s">
        <v>424</v>
      </c>
      <c r="H197" s="673"/>
      <c r="I197" s="672"/>
      <c r="J197" s="672"/>
      <c r="K197" s="672"/>
      <c r="L197" s="149" t="str">
        <f t="shared" si="15"/>
        <v>321</v>
      </c>
      <c r="M197" s="150" t="str">
        <f t="shared" si="16"/>
        <v>SALAIRES A PAYER</v>
      </c>
      <c r="N197" s="151">
        <f>+IF(OR($Q197=Parametres!$G$2,$Q197=Parametres!$G$3),I197,C197)</f>
        <v>-34066.15</v>
      </c>
      <c r="O197" s="151">
        <f>+IF(OR($Q197=Parametres!$G$2,$Q197=Parametres!$G$3),J197,D197)</f>
        <v>32220.55</v>
      </c>
      <c r="P197" s="151">
        <f>+IF(OR($Q197=Parametres!$G$2,$Q197=Parametres!$G$3),K197,E197)</f>
        <v>-1845.6</v>
      </c>
      <c r="Q197" s="150" t="str">
        <f t="shared" si="17"/>
        <v>3-Passifs</v>
      </c>
      <c r="R197" s="149" t="str">
        <f t="shared" si="18"/>
        <v>321</v>
      </c>
      <c r="S197" s="150">
        <f t="shared" si="19"/>
        <v>0</v>
      </c>
      <c r="T197" s="152" t="str">
        <f>+VLOOKUP($L197,Data_Validation!$A:$D,1,0)</f>
        <v>321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1923</v>
      </c>
      <c r="B198" s="718" t="s">
        <v>1924</v>
      </c>
      <c r="C198" s="720">
        <v>-30337.73</v>
      </c>
      <c r="D198" s="720">
        <v>-11035.2</v>
      </c>
      <c r="E198" s="720">
        <v>-41372.93</v>
      </c>
      <c r="F198" s="718" t="s">
        <v>2228</v>
      </c>
      <c r="G198" s="718" t="s">
        <v>1063</v>
      </c>
      <c r="H198" s="673"/>
      <c r="I198" s="672"/>
      <c r="J198" s="672"/>
      <c r="K198" s="672"/>
      <c r="L198" s="149" t="str">
        <f t="shared" si="15"/>
        <v>331E</v>
      </c>
      <c r="M198" s="150" t="str">
        <f t="shared" si="16"/>
        <v>RESERVE COURTOISIES</v>
      </c>
      <c r="N198" s="151">
        <f>+IF(OR($Q198=Parametres!$G$2,$Q198=Parametres!$G$3),I198,C198)</f>
        <v>-30337.73</v>
      </c>
      <c r="O198" s="151">
        <f>+IF(OR($Q198=Parametres!$G$2,$Q198=Parametres!$G$3),J198,D198)</f>
        <v>-11035.2</v>
      </c>
      <c r="P198" s="151">
        <f>+IF(OR($Q198=Parametres!$G$2,$Q198=Parametres!$G$3),K198,E198)</f>
        <v>-41372.93</v>
      </c>
      <c r="Q198" s="150" t="str">
        <f t="shared" si="17"/>
        <v>3-Passifs</v>
      </c>
      <c r="R198" s="149" t="str">
        <f t="shared" si="18"/>
        <v>331C</v>
      </c>
      <c r="S198" s="150">
        <f t="shared" si="19"/>
        <v>0</v>
      </c>
      <c r="T198" s="152" t="str">
        <f>+VLOOKUP($L198,Data_Validation!$A:$D,1,0)</f>
        <v>331E</v>
      </c>
      <c r="U198" s="152" t="str">
        <f>+VLOOKUP($L198,Data_Validation!$A:$D,3,0)</f>
        <v>Bilan</v>
      </c>
      <c r="V198" s="152" t="str">
        <f>+VLOOKUP($L198,Data_Validation!$A:$D,4,0)</f>
        <v>Inventaire Véhicules Neufs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455</v>
      </c>
      <c r="B199" s="718" t="s">
        <v>456</v>
      </c>
      <c r="C199" s="720">
        <v>-27834.73</v>
      </c>
      <c r="D199" s="720">
        <v>-5000</v>
      </c>
      <c r="E199" s="720">
        <v>-32834.730000000003</v>
      </c>
      <c r="F199" s="718" t="s">
        <v>2228</v>
      </c>
      <c r="G199" s="718" t="s">
        <v>456</v>
      </c>
      <c r="H199" s="666"/>
      <c r="I199" s="665"/>
      <c r="J199" s="665"/>
      <c r="K199" s="665"/>
      <c r="L199" s="149" t="str">
        <f t="shared" si="15"/>
        <v>321C</v>
      </c>
      <c r="M199" s="150" t="str">
        <f t="shared" si="16"/>
        <v>CONGES FERIES A PAYER</v>
      </c>
      <c r="N199" s="151">
        <f>+IF(OR($Q199=Parametres!$G$2,$Q199=Parametres!$G$3),I199,C199)</f>
        <v>-27834.73</v>
      </c>
      <c r="O199" s="151">
        <f>+IF(OR($Q199=Parametres!$G$2,$Q199=Parametres!$G$3),J199,D199)</f>
        <v>-5000</v>
      </c>
      <c r="P199" s="151">
        <f>+IF(OR($Q199=Parametres!$G$2,$Q199=Parametres!$G$3),K199,E199)</f>
        <v>-32834.730000000003</v>
      </c>
      <c r="Q199" s="150" t="str">
        <f t="shared" si="17"/>
        <v>3-Passifs</v>
      </c>
      <c r="R199" s="149" t="str">
        <f t="shared" si="18"/>
        <v>321C</v>
      </c>
      <c r="S199" s="150">
        <f t="shared" si="19"/>
        <v>0</v>
      </c>
      <c r="T199" s="152" t="str">
        <f>+VLOOKUP($L199,Data_Validation!$A:$D,1,0)</f>
        <v>321C</v>
      </c>
      <c r="U199" s="152" t="str">
        <f>+VLOOKUP($L199,Data_Validation!$A:$D,3,0)</f>
        <v>Bilan</v>
      </c>
      <c r="V199" s="152" t="str">
        <f>+VLOOKUP($L199,Data_Validation!$A:$D,4,0)</f>
        <v>Salaires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1685</v>
      </c>
      <c r="B200" s="718" t="s">
        <v>1017</v>
      </c>
      <c r="C200" s="720">
        <v>-24428.83</v>
      </c>
      <c r="D200" s="720">
        <v>-10760.9</v>
      </c>
      <c r="E200" s="720">
        <v>-35189.730000000003</v>
      </c>
      <c r="F200" s="718" t="s">
        <v>2228</v>
      </c>
      <c r="G200" s="718" t="s">
        <v>354</v>
      </c>
      <c r="H200" s="673"/>
      <c r="I200" s="672"/>
      <c r="J200" s="672"/>
      <c r="K200" s="672"/>
      <c r="L200" s="149" t="str">
        <f t="shared" si="15"/>
        <v>300D</v>
      </c>
      <c r="M200" s="150" t="str">
        <f t="shared" si="16"/>
        <v>PAYABLE BMW CANADA/FINANCE</v>
      </c>
      <c r="N200" s="151">
        <f>+IF(OR($Q200=Parametres!$G$2,$Q200=Parametres!$G$3),I200,C200)</f>
        <v>-24428.83</v>
      </c>
      <c r="O200" s="151">
        <f>+IF(OR($Q200=Parametres!$G$2,$Q200=Parametres!$G$3),J200,D200)</f>
        <v>-10760.9</v>
      </c>
      <c r="P200" s="151">
        <f>+IF(OR($Q200=Parametres!$G$2,$Q200=Parametres!$G$3),K200,E200)</f>
        <v>-35189.730000000003</v>
      </c>
      <c r="Q200" s="150" t="str">
        <f t="shared" si="17"/>
        <v>3-Passifs</v>
      </c>
      <c r="R200" s="149" t="str">
        <f t="shared" si="18"/>
        <v>300</v>
      </c>
      <c r="S200" s="150">
        <f t="shared" si="19"/>
        <v>0</v>
      </c>
      <c r="T200" s="152" t="str">
        <f>+VLOOKUP($L200,Data_Validation!$A:$D,1,0)</f>
        <v>300D</v>
      </c>
      <c r="U200" s="152" t="str">
        <f>+VLOOKUP($L200,Data_Validation!$A:$D,3,0)</f>
        <v>Bilan</v>
      </c>
      <c r="V200" s="152" t="str">
        <f>+VLOOKUP($L200,Data_Validation!$A:$D,4,0)</f>
        <v>Autres Comptes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1661</v>
      </c>
      <c r="B201" s="718" t="s">
        <v>885</v>
      </c>
      <c r="C201" s="720">
        <v>-21875.78</v>
      </c>
      <c r="D201" s="720">
        <v>-700</v>
      </c>
      <c r="E201" s="720">
        <v>-22575.78</v>
      </c>
      <c r="F201" s="718" t="s">
        <v>2228</v>
      </c>
      <c r="G201" s="718" t="s">
        <v>2250</v>
      </c>
      <c r="H201" s="673"/>
      <c r="I201" s="672"/>
      <c r="J201" s="672"/>
      <c r="K201" s="672"/>
      <c r="L201" s="149" t="str">
        <f t="shared" si="15"/>
        <v>300H</v>
      </c>
      <c r="M201" s="150" t="str">
        <f t="shared" si="16"/>
        <v>RESERVE GARANTIE LEGALE USAGE</v>
      </c>
      <c r="N201" s="151">
        <f>+IF(OR($Q201=Parametres!$G$2,$Q201=Parametres!$G$3),I201,C201)</f>
        <v>-21875.78</v>
      </c>
      <c r="O201" s="151">
        <f>+IF(OR($Q201=Parametres!$G$2,$Q201=Parametres!$G$3),J201,D201)</f>
        <v>-700</v>
      </c>
      <c r="P201" s="151">
        <f>+IF(OR($Q201=Parametres!$G$2,$Q201=Parametres!$G$3),K201,E201)</f>
        <v>-22575.78</v>
      </c>
      <c r="Q201" s="150" t="str">
        <f t="shared" si="17"/>
        <v>3-Passifs</v>
      </c>
      <c r="R201" s="149" t="str">
        <f t="shared" si="18"/>
        <v>301</v>
      </c>
      <c r="S201" s="150">
        <f t="shared" si="19"/>
        <v>0</v>
      </c>
      <c r="T201" s="152" t="str">
        <f>+VLOOKUP($L201,Data_Validation!$A:$D,1,0)</f>
        <v>300H</v>
      </c>
      <c r="U201" s="152" t="str">
        <f>+VLOOKUP($L201,Data_Validation!$A:$D,3,0)</f>
        <v>Bilan</v>
      </c>
      <c r="V201" s="152" t="str">
        <f>+VLOOKUP($L201,Data_Validation!$A:$D,4,0)</f>
        <v>autres courus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1124</v>
      </c>
      <c r="B202" s="718" t="s">
        <v>1125</v>
      </c>
      <c r="C202" s="720">
        <v>-21068.75</v>
      </c>
      <c r="D202" s="720">
        <v>0</v>
      </c>
      <c r="E202" s="720">
        <v>-21068.75</v>
      </c>
      <c r="F202" s="718" t="s">
        <v>2228</v>
      </c>
      <c r="G202" s="718" t="s">
        <v>2251</v>
      </c>
      <c r="H202" s="666"/>
      <c r="I202" s="665"/>
      <c r="J202" s="665"/>
      <c r="K202" s="665"/>
      <c r="L202" s="149" t="str">
        <f t="shared" si="15"/>
        <v>331L</v>
      </c>
      <c r="M202" s="150" t="str">
        <f t="shared" si="16"/>
        <v>PROVISION CHANGEMENTS HUILE</v>
      </c>
      <c r="N202" s="151">
        <f>+IF(OR($Q202=Parametres!$G$2,$Q202=Parametres!$G$3),I202,C202)</f>
        <v>-21068.75</v>
      </c>
      <c r="O202" s="151">
        <f>+IF(OR($Q202=Parametres!$G$2,$Q202=Parametres!$G$3),J202,D202)</f>
        <v>0</v>
      </c>
      <c r="P202" s="151">
        <f>+IF(OR($Q202=Parametres!$G$2,$Q202=Parametres!$G$3),K202,E202)</f>
        <v>-21068.75</v>
      </c>
      <c r="Q202" s="150" t="str">
        <f t="shared" si="17"/>
        <v>3-Passifs</v>
      </c>
      <c r="R202" s="149" t="str">
        <f t="shared" si="18"/>
        <v>331</v>
      </c>
      <c r="S202" s="150">
        <f t="shared" si="19"/>
        <v>0</v>
      </c>
      <c r="T202" s="152" t="str">
        <f>+VLOOKUP($L202,Data_Validation!$A:$D,1,0)</f>
        <v>331L</v>
      </c>
      <c r="U202" s="152" t="str">
        <f>+VLOOKUP($L202,Data_Validation!$A:$D,3,0)</f>
        <v>Bilan</v>
      </c>
      <c r="V202" s="152" t="str">
        <f>+VLOOKUP($L202,Data_Validation!$A:$D,4,0)</f>
        <v>autres courus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1210</v>
      </c>
      <c r="B203" s="718" t="s">
        <v>1211</v>
      </c>
      <c r="C203" s="720">
        <v>-17820.599999999999</v>
      </c>
      <c r="D203" s="720">
        <v>-1376.48</v>
      </c>
      <c r="E203" s="720">
        <v>-19197.080000000002</v>
      </c>
      <c r="F203" s="718" t="s">
        <v>2228</v>
      </c>
      <c r="G203" s="718" t="s">
        <v>2252</v>
      </c>
      <c r="H203" s="666"/>
      <c r="I203" s="665"/>
      <c r="J203" s="665"/>
      <c r="K203" s="665"/>
      <c r="L203" s="149" t="str">
        <f t="shared" si="15"/>
        <v>323R</v>
      </c>
      <c r="M203" s="150" t="str">
        <f t="shared" si="16"/>
        <v>REER A PAYER</v>
      </c>
      <c r="N203" s="151">
        <f>+IF(OR($Q203=Parametres!$G$2,$Q203=Parametres!$G$3),I203,C203)</f>
        <v>-17820.599999999999</v>
      </c>
      <c r="O203" s="151">
        <f>+IF(OR($Q203=Parametres!$G$2,$Q203=Parametres!$G$3),J203,D203)</f>
        <v>-1376.48</v>
      </c>
      <c r="P203" s="151">
        <f>+IF(OR($Q203=Parametres!$G$2,$Q203=Parametres!$G$3),K203,E203)</f>
        <v>-19197.080000000002</v>
      </c>
      <c r="Q203" s="150" t="str">
        <f t="shared" si="17"/>
        <v>3-Passifs</v>
      </c>
      <c r="R203" s="149" t="str">
        <f t="shared" si="18"/>
        <v>323</v>
      </c>
      <c r="S203" s="150">
        <f t="shared" si="19"/>
        <v>0</v>
      </c>
      <c r="T203" s="152" t="str">
        <f>+VLOOKUP($L203,Data_Validation!$A:$D,1,0)</f>
        <v>323R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1111</v>
      </c>
      <c r="B204" s="718" t="s">
        <v>1112</v>
      </c>
      <c r="C204" s="720">
        <v>-16307</v>
      </c>
      <c r="D204" s="720">
        <v>0</v>
      </c>
      <c r="E204" s="720">
        <v>-16307</v>
      </c>
      <c r="F204" s="718" t="s">
        <v>2228</v>
      </c>
      <c r="G204" s="718" t="s">
        <v>1112</v>
      </c>
      <c r="H204" s="673"/>
      <c r="I204" s="672"/>
      <c r="J204" s="672"/>
      <c r="K204" s="672"/>
      <c r="L204" s="149" t="str">
        <f t="shared" si="15"/>
        <v>331V</v>
      </c>
      <c r="M204" s="150" t="str">
        <f t="shared" si="16"/>
        <v>PROVISION SERVICE VALET</v>
      </c>
      <c r="N204" s="151">
        <f>+IF(OR($Q204=Parametres!$G$2,$Q204=Parametres!$G$3),I204,C204)</f>
        <v>-16307</v>
      </c>
      <c r="O204" s="151">
        <f>+IF(OR($Q204=Parametres!$G$2,$Q204=Parametres!$G$3),J204,D204)</f>
        <v>0</v>
      </c>
      <c r="P204" s="151">
        <f>+IF(OR($Q204=Parametres!$G$2,$Q204=Parametres!$G$3),K204,E204)</f>
        <v>-16307</v>
      </c>
      <c r="Q204" s="150" t="str">
        <f t="shared" si="17"/>
        <v>3-Passifs</v>
      </c>
      <c r="R204" s="149" t="str">
        <f t="shared" si="18"/>
        <v>331V</v>
      </c>
      <c r="S204" s="150">
        <f t="shared" si="19"/>
        <v>0</v>
      </c>
      <c r="T204" s="152" t="str">
        <f>+VLOOKUP($L204,Data_Validation!$A:$D,1,0)</f>
        <v>331V</v>
      </c>
      <c r="U204" s="152" t="str">
        <f>+VLOOKUP($L204,Data_Validation!$A:$D,3,0)</f>
        <v>Bilan</v>
      </c>
      <c r="V204" s="152" t="str">
        <f>+VLOOKUP($L204,Data_Validation!$A:$D,4,0)</f>
        <v>autres courus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1663</v>
      </c>
      <c r="B205" s="718" t="s">
        <v>379</v>
      </c>
      <c r="C205" s="720">
        <v>-15235.71</v>
      </c>
      <c r="D205" s="720">
        <v>-145</v>
      </c>
      <c r="E205" s="720">
        <v>-15380.71</v>
      </c>
      <c r="F205" s="718" t="s">
        <v>2228</v>
      </c>
      <c r="G205" s="718" t="s">
        <v>379</v>
      </c>
      <c r="H205" s="673"/>
      <c r="I205" s="672"/>
      <c r="J205" s="672"/>
      <c r="K205" s="672"/>
      <c r="L205" s="149" t="str">
        <f t="shared" si="15"/>
        <v>353</v>
      </c>
      <c r="M205" s="150" t="str">
        <f t="shared" si="16"/>
        <v>AMORT.CUM. EQUIP. PIECES &amp; ACCESS.</v>
      </c>
      <c r="N205" s="151">
        <f>+IF(OR($Q205=Parametres!$G$2,$Q205=Parametres!$G$3),I205,C205)</f>
        <v>-15235.71</v>
      </c>
      <c r="O205" s="151">
        <f>+IF(OR($Q205=Parametres!$G$2,$Q205=Parametres!$G$3),J205,D205)</f>
        <v>-145</v>
      </c>
      <c r="P205" s="151">
        <f>+IF(OR($Q205=Parametres!$G$2,$Q205=Parametres!$G$3),K205,E205)</f>
        <v>-15380.71</v>
      </c>
      <c r="Q205" s="150" t="str">
        <f t="shared" si="17"/>
        <v>3-Passifs</v>
      </c>
      <c r="R205" s="149" t="str">
        <f t="shared" si="18"/>
        <v>353</v>
      </c>
      <c r="S205" s="150">
        <f t="shared" si="19"/>
        <v>0</v>
      </c>
      <c r="T205" s="152" t="str">
        <f>+VLOOKUP($L205,Data_Validation!$A:$D,1,0)</f>
        <v>353</v>
      </c>
      <c r="U205" s="152" t="str">
        <f>+VLOOKUP($L205,Data_Validation!$A:$D,3,0)</f>
        <v>Bilan</v>
      </c>
      <c r="V205" s="152" t="str">
        <f>+VLOOKUP($L205,Data_Validation!$A:$D,4,0)</f>
        <v>Équipements Service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2416</v>
      </c>
      <c r="B206" s="718" t="s">
        <v>2417</v>
      </c>
      <c r="C206" s="720">
        <v>-13515.98</v>
      </c>
      <c r="D206" s="720">
        <v>-13533.55</v>
      </c>
      <c r="E206" s="720">
        <v>-27049.53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15"/>
        <v>324E</v>
      </c>
      <c r="M206" s="150" t="str">
        <f t="shared" si="16"/>
        <v>TAXE DE LUXE</v>
      </c>
      <c r="N206" s="151">
        <f>+IF(OR($Q206=Parametres!$G$2,$Q206=Parametres!$G$3),I206,C206)</f>
        <v>-13515.98</v>
      </c>
      <c r="O206" s="151">
        <f>+IF(OR($Q206=Parametres!$G$2,$Q206=Parametres!$G$3),J206,D206)</f>
        <v>-13533.55</v>
      </c>
      <c r="P206" s="151">
        <f>+IF(OR($Q206=Parametres!$G$2,$Q206=Parametres!$G$3),K206,E206)</f>
        <v>-27049.53</v>
      </c>
      <c r="Q206" s="150" t="str">
        <f t="shared" si="17"/>
        <v>3-Passifs</v>
      </c>
      <c r="R206" s="149" t="str">
        <f t="shared" si="18"/>
        <v>324</v>
      </c>
      <c r="S206" s="150">
        <f t="shared" si="19"/>
        <v>0</v>
      </c>
      <c r="T206" s="152" t="str">
        <f>+VLOOKUP($L206,Data_Validation!$A:$D,1,0)</f>
        <v>324E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>
        <f>+VLOOKUP($L206,Data_Validation!$A:$E,5,0)</f>
        <v>0</v>
      </c>
      <c r="X206" s="152">
        <f>+VLOOKUP($L206,Data_Validation!$A:$F,6,0)</f>
        <v>0</v>
      </c>
    </row>
    <row r="207" spans="1:24" ht="15" customHeight="1">
      <c r="A207" s="718" t="s">
        <v>1185</v>
      </c>
      <c r="B207" s="718" t="s">
        <v>459</v>
      </c>
      <c r="C207" s="720">
        <v>-11660</v>
      </c>
      <c r="D207" s="720">
        <v>-5761.15</v>
      </c>
      <c r="E207" s="720">
        <v>-17421.150000000001</v>
      </c>
      <c r="F207" s="718" t="s">
        <v>2228</v>
      </c>
      <c r="G207" s="718" t="s">
        <v>354</v>
      </c>
      <c r="H207" s="673"/>
      <c r="I207" s="672"/>
      <c r="J207" s="672"/>
      <c r="K207" s="672"/>
      <c r="L207" s="149" t="str">
        <f t="shared" si="15"/>
        <v>300I</v>
      </c>
      <c r="M207" s="150" t="str">
        <f t="shared" si="16"/>
        <v>PROTECTION BMW A/P</v>
      </c>
      <c r="N207" s="151">
        <f>+IF(OR($Q207=Parametres!$G$2,$Q207=Parametres!$G$3),I207,C207)</f>
        <v>-11660</v>
      </c>
      <c r="O207" s="151">
        <f>+IF(OR($Q207=Parametres!$G$2,$Q207=Parametres!$G$3),J207,D207)</f>
        <v>-5761.15</v>
      </c>
      <c r="P207" s="151">
        <f>+IF(OR($Q207=Parametres!$G$2,$Q207=Parametres!$G$3),K207,E207)</f>
        <v>-17421.150000000001</v>
      </c>
      <c r="Q207" s="150" t="str">
        <f t="shared" si="17"/>
        <v>3-Passifs</v>
      </c>
      <c r="R207" s="149" t="str">
        <f t="shared" si="18"/>
        <v>300</v>
      </c>
      <c r="S207" s="150">
        <f t="shared" si="19"/>
        <v>0</v>
      </c>
      <c r="T207" s="152" t="str">
        <f>+VLOOKUP($L207,Data_Validation!$A:$D,1,0)</f>
        <v>300I</v>
      </c>
      <c r="U207" s="152" t="str">
        <f>+VLOOKUP($L207,Data_Validation!$A:$D,3,0)</f>
        <v>Bilan</v>
      </c>
      <c r="V207" s="152" t="str">
        <f>+VLOOKUP($L207,Data_Validation!$A:$D,4,0)</f>
        <v>Autres Comptes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8" t="s">
        <v>1827</v>
      </c>
      <c r="B208" s="718" t="s">
        <v>448</v>
      </c>
      <c r="C208" s="720">
        <v>-11061.52</v>
      </c>
      <c r="D208" s="720">
        <v>-3325</v>
      </c>
      <c r="E208" s="720">
        <v>-14386.52</v>
      </c>
      <c r="F208" s="718" t="s">
        <v>2228</v>
      </c>
      <c r="G208" s="718" t="s">
        <v>448</v>
      </c>
      <c r="H208" s="666"/>
      <c r="I208" s="665"/>
      <c r="J208" s="665"/>
      <c r="K208" s="665"/>
      <c r="L208" s="149" t="str">
        <f t="shared" si="15"/>
        <v>331B</v>
      </c>
      <c r="M208" s="150" t="str">
        <f t="shared" si="16"/>
        <v>RESERVE INVENTAIRE USAGE</v>
      </c>
      <c r="N208" s="151">
        <f>+IF(OR($Q208=Parametres!$G$2,$Q208=Parametres!$G$3),I208,C208)</f>
        <v>-11061.52</v>
      </c>
      <c r="O208" s="151">
        <f>+IF(OR($Q208=Parametres!$G$2,$Q208=Parametres!$G$3),J208,D208)</f>
        <v>-3325</v>
      </c>
      <c r="P208" s="151">
        <f>+IF(OR($Q208=Parametres!$G$2,$Q208=Parametres!$G$3),K208,E208)</f>
        <v>-14386.52</v>
      </c>
      <c r="Q208" s="150" t="str">
        <f t="shared" si="17"/>
        <v>3-Passifs</v>
      </c>
      <c r="R208" s="149" t="str">
        <f t="shared" si="18"/>
        <v>331B</v>
      </c>
      <c r="S208" s="150">
        <f t="shared" si="19"/>
        <v>0</v>
      </c>
      <c r="T208" s="152" t="str">
        <f>+VLOOKUP($L208,Data_Validation!$A:$D,1,0)</f>
        <v>331B</v>
      </c>
      <c r="U208" s="152" t="str">
        <f>+VLOOKUP($L208,Data_Validation!$A:$D,3,0)</f>
        <v>Bilan</v>
      </c>
      <c r="V208" s="152" t="str">
        <f>+VLOOKUP($L208,Data_Validation!$A:$D,4,0)</f>
        <v>Inventaire Véhicules Usagés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1814</v>
      </c>
      <c r="B209" s="718" t="s">
        <v>934</v>
      </c>
      <c r="C209" s="720">
        <v>-10350</v>
      </c>
      <c r="D209" s="720">
        <v>-1850</v>
      </c>
      <c r="E209" s="720">
        <v>-12200</v>
      </c>
      <c r="F209" s="718" t="s">
        <v>2228</v>
      </c>
      <c r="G209" s="718" t="s">
        <v>2250</v>
      </c>
      <c r="H209" s="673"/>
      <c r="I209" s="672"/>
      <c r="J209" s="672"/>
      <c r="K209" s="672"/>
      <c r="L209" s="149" t="str">
        <f t="shared" si="15"/>
        <v>300F</v>
      </c>
      <c r="M209" s="150" t="str">
        <f t="shared" si="16"/>
        <v>RESERVE RENOUVELLEMENT LOCATION</v>
      </c>
      <c r="N209" s="151">
        <f>+IF(OR($Q209=Parametres!$G$2,$Q209=Parametres!$G$3),I209,C209)</f>
        <v>-10350</v>
      </c>
      <c r="O209" s="151">
        <f>+IF(OR($Q209=Parametres!$G$2,$Q209=Parametres!$G$3),J209,D209)</f>
        <v>-1850</v>
      </c>
      <c r="P209" s="151">
        <f>+IF(OR($Q209=Parametres!$G$2,$Q209=Parametres!$G$3),K209,E209)</f>
        <v>-12200</v>
      </c>
      <c r="Q209" s="150" t="str">
        <f t="shared" si="17"/>
        <v>3-Passifs</v>
      </c>
      <c r="R209" s="149" t="str">
        <f t="shared" si="18"/>
        <v>301</v>
      </c>
      <c r="S209" s="150">
        <f t="shared" si="19"/>
        <v>0</v>
      </c>
      <c r="T209" s="152" t="str">
        <f>+VLOOKUP($L209,Data_Validation!$A:$D,1,0)</f>
        <v>300F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360</v>
      </c>
      <c r="B210" s="718" t="s">
        <v>919</v>
      </c>
      <c r="C210" s="720">
        <v>-4527.54</v>
      </c>
      <c r="D210" s="720">
        <v>-4290.47</v>
      </c>
      <c r="E210" s="720">
        <v>-8818.01</v>
      </c>
      <c r="F210" s="718" t="s">
        <v>2228</v>
      </c>
      <c r="G210" s="718" t="s">
        <v>443</v>
      </c>
      <c r="H210" s="719"/>
      <c r="I210" s="719"/>
      <c r="J210" s="719"/>
      <c r="K210" s="719"/>
      <c r="L210" s="149" t="str">
        <f t="shared" si="15"/>
        <v>321B</v>
      </c>
      <c r="M210" s="150" t="str">
        <f t="shared" si="16"/>
        <v>COMMISSIONS A PAYER</v>
      </c>
      <c r="N210" s="151">
        <f>+IF(OR($Q210=Parametres!$G$2,$Q210=Parametres!$G$3),I210,C210)</f>
        <v>-4527.54</v>
      </c>
      <c r="O210" s="151">
        <f>+IF(OR($Q210=Parametres!$G$2,$Q210=Parametres!$G$3),J210,D210)</f>
        <v>-4290.47</v>
      </c>
      <c r="P210" s="151">
        <f>+IF(OR($Q210=Parametres!$G$2,$Q210=Parametres!$G$3),K210,E210)</f>
        <v>-8818.01</v>
      </c>
      <c r="Q210" s="150" t="str">
        <f t="shared" si="17"/>
        <v>3-Passifs</v>
      </c>
      <c r="R210" s="149" t="str">
        <f t="shared" si="18"/>
        <v>321A</v>
      </c>
      <c r="S210" s="150">
        <f t="shared" si="19"/>
        <v>0</v>
      </c>
      <c r="T210" s="152" t="str">
        <f>+VLOOKUP($L210,Data_Validation!$A:$D,1,0)</f>
        <v>321B</v>
      </c>
      <c r="U210" s="152" t="str">
        <f>+VLOOKUP($L210,Data_Validation!$A:$D,3,0)</f>
        <v>Bilan</v>
      </c>
      <c r="V210" s="152" t="str">
        <f>+VLOOKUP($L210,Data_Validation!$A:$D,4,0)</f>
        <v>Salaires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2470</v>
      </c>
      <c r="B211" s="718" t="s">
        <v>2471</v>
      </c>
      <c r="C211" s="720">
        <v>-4460.22</v>
      </c>
      <c r="D211" s="720">
        <v>0</v>
      </c>
      <c r="E211" s="720">
        <v>-4460.22</v>
      </c>
      <c r="F211" s="718" t="s">
        <v>2228</v>
      </c>
      <c r="G211" s="718" t="s">
        <v>354</v>
      </c>
      <c r="H211" s="673"/>
      <c r="I211" s="672"/>
      <c r="J211" s="672"/>
      <c r="K211" s="672"/>
      <c r="L211" s="149" t="str">
        <f t="shared" si="15"/>
        <v>300N</v>
      </c>
      <c r="M211" s="150" t="str">
        <f t="shared" si="16"/>
        <v>SAAQ A PAYER - INTERO COMPLEXE</v>
      </c>
      <c r="N211" s="151">
        <f>+IF(OR($Q211=Parametres!$G$2,$Q211=Parametres!$G$3),I211,C211)</f>
        <v>-4460.22</v>
      </c>
      <c r="O211" s="151">
        <f>+IF(OR($Q211=Parametres!$G$2,$Q211=Parametres!$G$3),J211,D211)</f>
        <v>0</v>
      </c>
      <c r="P211" s="151">
        <f>+IF(OR($Q211=Parametres!$G$2,$Q211=Parametres!$G$3),K211,E211)</f>
        <v>-4460.22</v>
      </c>
      <c r="Q211" s="150" t="str">
        <f t="shared" si="17"/>
        <v>3-Passifs</v>
      </c>
      <c r="R211" s="149" t="str">
        <f t="shared" si="18"/>
        <v>300</v>
      </c>
      <c r="S211" s="150">
        <f t="shared" si="19"/>
        <v>0</v>
      </c>
      <c r="T211" s="152" t="str">
        <f>+VLOOKUP($L211,Data_Validation!$A:$D,1,0)</f>
        <v>300N</v>
      </c>
      <c r="U211" s="152" t="str">
        <f>+VLOOKUP($L211,Data_Validation!$A:$D,3,0)</f>
        <v>Bilan</v>
      </c>
      <c r="V211" s="152" t="str">
        <f>+VLOOKUP($L211,Data_Validation!$A:$D,4,0)</f>
        <v>Payables Intercos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1792</v>
      </c>
      <c r="B212" s="718" t="s">
        <v>466</v>
      </c>
      <c r="C212" s="720">
        <v>-4145</v>
      </c>
      <c r="D212" s="720">
        <v>-425</v>
      </c>
      <c r="E212" s="720">
        <v>-4570</v>
      </c>
      <c r="F212" s="718" t="s">
        <v>2228</v>
      </c>
      <c r="G212" s="718" t="s">
        <v>2252</v>
      </c>
      <c r="H212" s="673"/>
      <c r="I212" s="672"/>
      <c r="J212" s="672"/>
      <c r="K212" s="672"/>
      <c r="L212" s="149" t="str">
        <f t="shared" si="15"/>
        <v>323H</v>
      </c>
      <c r="M212" s="150" t="str">
        <f t="shared" si="16"/>
        <v>CLUB SOCIAL</v>
      </c>
      <c r="N212" s="151">
        <f>+IF(OR($Q212=Parametres!$G$2,$Q212=Parametres!$G$3),I212,C212)</f>
        <v>-4145</v>
      </c>
      <c r="O212" s="151">
        <f>+IF(OR($Q212=Parametres!$G$2,$Q212=Parametres!$G$3),J212,D212)</f>
        <v>-425</v>
      </c>
      <c r="P212" s="151">
        <f>+IF(OR($Q212=Parametres!$G$2,$Q212=Parametres!$G$3),K212,E212)</f>
        <v>-4570</v>
      </c>
      <c r="Q212" s="150" t="str">
        <f t="shared" si="17"/>
        <v>3-Passifs</v>
      </c>
      <c r="R212" s="149" t="str">
        <f t="shared" si="18"/>
        <v>323</v>
      </c>
      <c r="S212" s="150">
        <f t="shared" si="19"/>
        <v>0</v>
      </c>
      <c r="T212" s="152" t="str">
        <f>+VLOOKUP($L212,Data_Validation!$A:$D,1,0)</f>
        <v>323H</v>
      </c>
      <c r="U212" s="152" t="str">
        <f>+VLOOKUP($L212,Data_Validation!$A:$D,3,0)</f>
        <v>Bilan</v>
      </c>
      <c r="V212" s="152" t="str">
        <f>+VLOOKUP($L212,Data_Validation!$A:$D,4,0)</f>
        <v>DAS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8" t="s">
        <v>1216</v>
      </c>
      <c r="B213" s="718" t="s">
        <v>1217</v>
      </c>
      <c r="C213" s="720">
        <v>-2315.16</v>
      </c>
      <c r="D213" s="720">
        <v>1478.76</v>
      </c>
      <c r="E213" s="720">
        <v>-836.4</v>
      </c>
      <c r="F213" s="718" t="s">
        <v>2228</v>
      </c>
      <c r="G213" s="718" t="s">
        <v>2252</v>
      </c>
      <c r="H213" s="673"/>
      <c r="I213" s="672"/>
      <c r="J213" s="672"/>
      <c r="K213" s="672"/>
      <c r="L213" s="149" t="str">
        <f t="shared" si="15"/>
        <v>323K</v>
      </c>
      <c r="M213" s="150" t="str">
        <f t="shared" si="16"/>
        <v>CENTRADE</v>
      </c>
      <c r="N213" s="151">
        <f>+IF(OR($Q213=Parametres!$G$2,$Q213=Parametres!$G$3),I213,C213)</f>
        <v>-2315.16</v>
      </c>
      <c r="O213" s="151">
        <f>+IF(OR($Q213=Parametres!$G$2,$Q213=Parametres!$G$3),J213,D213)</f>
        <v>1478.76</v>
      </c>
      <c r="P213" s="151">
        <f>+IF(OR($Q213=Parametres!$G$2,$Q213=Parametres!$G$3),K213,E213)</f>
        <v>-836.4</v>
      </c>
      <c r="Q213" s="150" t="str">
        <f t="shared" si="17"/>
        <v>3-Passifs</v>
      </c>
      <c r="R213" s="149" t="str">
        <f t="shared" si="18"/>
        <v>323</v>
      </c>
      <c r="S213" s="150">
        <f t="shared" si="19"/>
        <v>0</v>
      </c>
      <c r="T213" s="152" t="str">
        <f>+VLOOKUP($L213,Data_Validation!$A:$D,1,0)</f>
        <v>323K</v>
      </c>
      <c r="U213" s="152" t="str">
        <f>+VLOOKUP($L213,Data_Validation!$A:$D,3,0)</f>
        <v>Bilan</v>
      </c>
      <c r="V213" s="152" t="str">
        <f>+VLOOKUP($L213,Data_Validation!$A:$D,4,0)</f>
        <v>DAS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1617</v>
      </c>
      <c r="B214" s="718" t="s">
        <v>367</v>
      </c>
      <c r="C214" s="720">
        <v>-2144.98</v>
      </c>
      <c r="D214" s="720">
        <v>0</v>
      </c>
      <c r="E214" s="720">
        <v>-2144.98</v>
      </c>
      <c r="F214" s="718" t="s">
        <v>2228</v>
      </c>
      <c r="G214" s="718" t="s">
        <v>367</v>
      </c>
      <c r="H214" s="719"/>
      <c r="I214" s="719"/>
      <c r="J214" s="719"/>
      <c r="K214" s="719"/>
      <c r="L214" s="149" t="str">
        <f t="shared" si="15"/>
        <v>355</v>
      </c>
      <c r="M214" s="150" t="str">
        <f t="shared" si="16"/>
        <v>AMORT.CUM. VEHICULES DE COMPAGNIE</v>
      </c>
      <c r="N214" s="151">
        <f>+IF(OR($Q214=Parametres!$G$2,$Q214=Parametres!$G$3),I214,C214)</f>
        <v>-2144.98</v>
      </c>
      <c r="O214" s="151">
        <f>+IF(OR($Q214=Parametres!$G$2,$Q214=Parametres!$G$3),J214,D214)</f>
        <v>0</v>
      </c>
      <c r="P214" s="151">
        <f>+IF(OR($Q214=Parametres!$G$2,$Q214=Parametres!$G$3),K214,E214)</f>
        <v>-2144.98</v>
      </c>
      <c r="Q214" s="150" t="str">
        <f t="shared" si="17"/>
        <v>3-Passifs</v>
      </c>
      <c r="R214" s="149" t="str">
        <f t="shared" si="18"/>
        <v>355</v>
      </c>
      <c r="S214" s="150">
        <f t="shared" si="19"/>
        <v>0</v>
      </c>
      <c r="T214" s="152" t="str">
        <f>+VLOOKUP($L214,Data_Validation!$A:$D,1,0)</f>
        <v>355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1633</v>
      </c>
      <c r="B215" s="718" t="s">
        <v>1634</v>
      </c>
      <c r="C215" s="720">
        <v>-1417.5</v>
      </c>
      <c r="D215" s="720">
        <v>-643.5</v>
      </c>
      <c r="E215" s="720">
        <v>-2061</v>
      </c>
      <c r="F215" s="718" t="s">
        <v>2228</v>
      </c>
      <c r="G215" s="718" t="s">
        <v>403</v>
      </c>
      <c r="H215" s="673"/>
      <c r="I215" s="672"/>
      <c r="J215" s="672"/>
      <c r="K215" s="672"/>
      <c r="L215" s="149" t="str">
        <f t="shared" si="15"/>
        <v>326</v>
      </c>
      <c r="M215" s="150" t="str">
        <f t="shared" si="16"/>
        <v>TAXES DE PNEUS</v>
      </c>
      <c r="N215" s="151">
        <f>+IF(OR($Q215=Parametres!$G$2,$Q215=Parametres!$G$3),I215,C215)</f>
        <v>-1417.5</v>
      </c>
      <c r="O215" s="151">
        <f>+IF(OR($Q215=Parametres!$G$2,$Q215=Parametres!$G$3),J215,D215)</f>
        <v>-643.5</v>
      </c>
      <c r="P215" s="151">
        <f>+IF(OR($Q215=Parametres!$G$2,$Q215=Parametres!$G$3),K215,E215)</f>
        <v>-2061</v>
      </c>
      <c r="Q215" s="150" t="str">
        <f t="shared" si="17"/>
        <v>3-Passifs</v>
      </c>
      <c r="R215" s="149" t="str">
        <f t="shared" si="18"/>
        <v>324</v>
      </c>
      <c r="S215" s="150">
        <f t="shared" si="19"/>
        <v>0</v>
      </c>
      <c r="T215" s="152" t="str">
        <f>+VLOOKUP($L215,Data_Validation!$A:$D,1,0)</f>
        <v>326</v>
      </c>
      <c r="U215" s="152" t="str">
        <f>+VLOOKUP($L215,Data_Validation!$A:$D,3,0)</f>
        <v>Bilan</v>
      </c>
      <c r="V215" s="152" t="str">
        <f>+VLOOKUP($L215,Data_Validation!$A:$D,4,0)</f>
        <v>Taxes de Vente à Payer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1929</v>
      </c>
      <c r="B216" s="718" t="s">
        <v>1930</v>
      </c>
      <c r="C216" s="720">
        <v>-1315.3</v>
      </c>
      <c r="D216" s="720">
        <v>1315.3</v>
      </c>
      <c r="E216" s="720">
        <v>0</v>
      </c>
      <c r="F216" s="718" t="s">
        <v>2228</v>
      </c>
      <c r="G216" s="718" t="s">
        <v>354</v>
      </c>
      <c r="H216" s="607"/>
      <c r="I216" s="153"/>
      <c r="J216" s="153"/>
      <c r="K216" s="153"/>
      <c r="L216" s="149" t="str">
        <f t="shared" si="15"/>
        <v>300C</v>
      </c>
      <c r="M216" s="150" t="str">
        <f t="shared" si="16"/>
        <v>ASSURANCE REMPLACEMENT A/P</v>
      </c>
      <c r="N216" s="151">
        <f>+IF(OR($Q216=Parametres!$G$2,$Q216=Parametres!$G$3),I216,C216)</f>
        <v>-1315.3</v>
      </c>
      <c r="O216" s="151">
        <f>+IF(OR($Q216=Parametres!$G$2,$Q216=Parametres!$G$3),J216,D216)</f>
        <v>1315.3</v>
      </c>
      <c r="P216" s="151">
        <f>+IF(OR($Q216=Parametres!$G$2,$Q216=Parametres!$G$3),K216,E216)</f>
        <v>0</v>
      </c>
      <c r="Q216" s="150" t="str">
        <f t="shared" si="17"/>
        <v>3-Passifs</v>
      </c>
      <c r="R216" s="149" t="str">
        <f t="shared" si="18"/>
        <v>300</v>
      </c>
      <c r="S216" s="150">
        <f t="shared" si="19"/>
        <v>0</v>
      </c>
      <c r="T216" s="152" t="str">
        <f>+VLOOKUP($L216,Data_Validation!$A:$D,1,0)</f>
        <v>300C</v>
      </c>
      <c r="U216" s="152" t="str">
        <f>+VLOOKUP($L216,Data_Validation!$A:$D,3,0)</f>
        <v>Bilan</v>
      </c>
      <c r="V216" s="152" t="str">
        <f>+VLOOKUP($L216,Data_Validation!$A:$D,4,0)</f>
        <v>Autres Comptes à Payer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1220</v>
      </c>
      <c r="B217" s="718" t="s">
        <v>862</v>
      </c>
      <c r="C217" s="720">
        <v>-882.05</v>
      </c>
      <c r="D217" s="720">
        <v>882.05</v>
      </c>
      <c r="E217" s="720">
        <v>0</v>
      </c>
      <c r="F217" s="718" t="s">
        <v>2228</v>
      </c>
      <c r="G217" s="718" t="s">
        <v>354</v>
      </c>
      <c r="H217" s="673"/>
      <c r="I217" s="672"/>
      <c r="J217" s="672"/>
      <c r="K217" s="672"/>
      <c r="L217" s="149" t="str">
        <f t="shared" si="15"/>
        <v>300E</v>
      </c>
      <c r="M217" s="150" t="str">
        <f t="shared" si="16"/>
        <v>ASS VIE/INV A/P</v>
      </c>
      <c r="N217" s="151">
        <f>+IF(OR($Q217=Parametres!$G$2,$Q217=Parametres!$G$3),I217,C217)</f>
        <v>-882.05</v>
      </c>
      <c r="O217" s="151">
        <f>+IF(OR($Q217=Parametres!$G$2,$Q217=Parametres!$G$3),J217,D217)</f>
        <v>882.05</v>
      </c>
      <c r="P217" s="151">
        <f>+IF(OR($Q217=Parametres!$G$2,$Q217=Parametres!$G$3),K217,E217)</f>
        <v>0</v>
      </c>
      <c r="Q217" s="150" t="str">
        <f t="shared" si="17"/>
        <v>3-Passifs</v>
      </c>
      <c r="R217" s="149" t="str">
        <f t="shared" si="18"/>
        <v>300</v>
      </c>
      <c r="S217" s="150">
        <f t="shared" si="19"/>
        <v>0</v>
      </c>
      <c r="T217" s="152" t="str">
        <f>+VLOOKUP($L217,Data_Validation!$A:$D,1,0)</f>
        <v>300E</v>
      </c>
      <c r="U217" s="152" t="str">
        <f>+VLOOKUP($L217,Data_Validation!$A:$D,3,0)</f>
        <v>Bilan</v>
      </c>
      <c r="V217" s="152" t="str">
        <f>+VLOOKUP($L217,Data_Validation!$A:$D,4,0)</f>
        <v>Autres Comptes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1157</v>
      </c>
      <c r="B218" s="718" t="s">
        <v>1060</v>
      </c>
      <c r="C218" s="720">
        <v>-714.72</v>
      </c>
      <c r="D218" s="720">
        <v>-946.3</v>
      </c>
      <c r="E218" s="720">
        <v>-1661.02</v>
      </c>
      <c r="F218" s="718" t="s">
        <v>2228</v>
      </c>
      <c r="G218" s="718" t="s">
        <v>2252</v>
      </c>
      <c r="H218" s="719"/>
      <c r="I218" s="719"/>
      <c r="J218" s="719"/>
      <c r="K218" s="719"/>
      <c r="L218" s="149" t="str">
        <f t="shared" si="15"/>
        <v>323J</v>
      </c>
      <c r="M218" s="150" t="str">
        <f t="shared" si="16"/>
        <v>ASSURANCE COLLECTIVE A PAYER</v>
      </c>
      <c r="N218" s="151">
        <f>+IF(OR($Q218=Parametres!$G$2,$Q218=Parametres!$G$3),I218,C218)</f>
        <v>-714.72</v>
      </c>
      <c r="O218" s="151">
        <f>+IF(OR($Q218=Parametres!$G$2,$Q218=Parametres!$G$3),J218,D218)</f>
        <v>-946.3</v>
      </c>
      <c r="P218" s="151">
        <f>+IF(OR($Q218=Parametres!$G$2,$Q218=Parametres!$G$3),K218,E218)</f>
        <v>-1661.02</v>
      </c>
      <c r="Q218" s="150" t="str">
        <f t="shared" si="17"/>
        <v>3-Passifs</v>
      </c>
      <c r="R218" s="149" t="str">
        <f t="shared" si="18"/>
        <v>323</v>
      </c>
      <c r="S218" s="150">
        <f t="shared" si="19"/>
        <v>0</v>
      </c>
      <c r="T218" s="152" t="str">
        <f>+VLOOKUP($L218,Data_Validation!$A:$D,1,0)</f>
        <v>323J</v>
      </c>
      <c r="U218" s="152" t="str">
        <f>+VLOOKUP($L218,Data_Validation!$A:$D,3,0)</f>
        <v>Bilan</v>
      </c>
      <c r="V218" s="152" t="str">
        <f>+VLOOKUP($L218,Data_Validation!$A:$D,4,0)</f>
        <v>DAS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2933</v>
      </c>
      <c r="B219" s="718" t="s">
        <v>2934</v>
      </c>
      <c r="C219" s="720">
        <v>-574.20000000000005</v>
      </c>
      <c r="D219" s="720">
        <v>-1542.6</v>
      </c>
      <c r="E219" s="720">
        <v>-2116.8000000000002</v>
      </c>
      <c r="F219" s="718" t="s">
        <v>2228</v>
      </c>
      <c r="G219" s="718" t="s">
        <v>2934</v>
      </c>
      <c r="H219" s="673"/>
      <c r="I219" s="672"/>
      <c r="J219" s="672"/>
      <c r="K219" s="672"/>
      <c r="L219" s="149" t="str">
        <f t="shared" si="15"/>
        <v>331Z</v>
      </c>
      <c r="M219" s="150" t="str">
        <f t="shared" si="16"/>
        <v>RESERVE AZOTE</v>
      </c>
      <c r="N219" s="151">
        <f>+IF(OR($Q219=Parametres!$G$2,$Q219=Parametres!$G$3),I219,C219)</f>
        <v>-574.20000000000005</v>
      </c>
      <c r="O219" s="151">
        <f>+IF(OR($Q219=Parametres!$G$2,$Q219=Parametres!$G$3),J219,D219)</f>
        <v>-1542.6</v>
      </c>
      <c r="P219" s="151">
        <f>+IF(OR($Q219=Parametres!$G$2,$Q219=Parametres!$G$3),K219,E219)</f>
        <v>-2116.8000000000002</v>
      </c>
      <c r="Q219" s="150" t="str">
        <f t="shared" si="17"/>
        <v>3-Passifs</v>
      </c>
      <c r="R219" s="149" t="str">
        <f t="shared" si="18"/>
        <v>331Z</v>
      </c>
      <c r="S219" s="150">
        <f t="shared" si="19"/>
        <v>0</v>
      </c>
      <c r="T219" s="152" t="str">
        <f>+VLOOKUP($L219,Data_Validation!$A:$D,1,0)</f>
        <v>331Z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>
        <f>+VLOOKUP($L219,Data_Validation!$A:$E,5,0)</f>
        <v>0</v>
      </c>
      <c r="X219" s="152">
        <f>+VLOOKUP($L219,Data_Validation!$A:$F,6,0)</f>
        <v>0</v>
      </c>
    </row>
    <row r="220" spans="1:24" ht="15" customHeight="1">
      <c r="A220" s="718" t="s">
        <v>1059</v>
      </c>
      <c r="B220" s="718" t="s">
        <v>1023</v>
      </c>
      <c r="C220" s="720">
        <v>-355.56</v>
      </c>
      <c r="D220" s="720">
        <v>-182.52</v>
      </c>
      <c r="E220" s="720">
        <v>-538.08000000000004</v>
      </c>
      <c r="F220" s="718" t="s">
        <v>2228</v>
      </c>
      <c r="G220" s="718" t="s">
        <v>2252</v>
      </c>
      <c r="H220" s="673"/>
      <c r="I220" s="672"/>
      <c r="J220" s="672"/>
      <c r="K220" s="672"/>
      <c r="L220" s="149" t="str">
        <f t="shared" si="15"/>
        <v>323I</v>
      </c>
      <c r="M220" s="150" t="str">
        <f t="shared" si="16"/>
        <v>COMITE PARITAIRE A PAYER</v>
      </c>
      <c r="N220" s="151">
        <f>+IF(OR($Q220=Parametres!$G$2,$Q220=Parametres!$G$3),I220,C220)</f>
        <v>-355.56</v>
      </c>
      <c r="O220" s="151">
        <f>+IF(OR($Q220=Parametres!$G$2,$Q220=Parametres!$G$3),J220,D220)</f>
        <v>-182.52</v>
      </c>
      <c r="P220" s="151">
        <f>+IF(OR($Q220=Parametres!$G$2,$Q220=Parametres!$G$3),K220,E220)</f>
        <v>-538.08000000000004</v>
      </c>
      <c r="Q220" s="150" t="str">
        <f t="shared" si="17"/>
        <v>3-Passifs</v>
      </c>
      <c r="R220" s="149" t="str">
        <f t="shared" si="18"/>
        <v>323</v>
      </c>
      <c r="S220" s="150">
        <f t="shared" si="19"/>
        <v>0</v>
      </c>
      <c r="T220" s="152" t="str">
        <f>+VLOOKUP($L220,Data_Validation!$A:$D,1,0)</f>
        <v>323I</v>
      </c>
      <c r="U220" s="152" t="str">
        <f>+VLOOKUP($L220,Data_Validation!$A:$D,3,0)</f>
        <v>Bilan</v>
      </c>
      <c r="V220" s="152" t="str">
        <f>+VLOOKUP($L220,Data_Validation!$A:$D,4,0)</f>
        <v>DAS à Payer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1931</v>
      </c>
      <c r="B221" s="718" t="s">
        <v>1932</v>
      </c>
      <c r="C221" s="720">
        <v>-169.11</v>
      </c>
      <c r="D221" s="720">
        <v>169.11</v>
      </c>
      <c r="E221" s="720">
        <v>0</v>
      </c>
      <c r="F221" s="718" t="s">
        <v>2228</v>
      </c>
      <c r="G221" s="718" t="s">
        <v>403</v>
      </c>
      <c r="H221" s="666"/>
      <c r="I221" s="665"/>
      <c r="J221" s="665"/>
      <c r="K221" s="665"/>
      <c r="L221" s="149" t="str">
        <f t="shared" si="15"/>
        <v>326A</v>
      </c>
      <c r="M221" s="150" t="str">
        <f t="shared" si="16"/>
        <v>TAXES PRIMES ASSURANCE</v>
      </c>
      <c r="N221" s="151">
        <f>+IF(OR($Q221=Parametres!$G$2,$Q221=Parametres!$G$3),I221,C221)</f>
        <v>-169.11</v>
      </c>
      <c r="O221" s="151">
        <f>+IF(OR($Q221=Parametres!$G$2,$Q221=Parametres!$G$3),J221,D221)</f>
        <v>169.11</v>
      </c>
      <c r="P221" s="151">
        <f>+IF(OR($Q221=Parametres!$G$2,$Q221=Parametres!$G$3),K221,E221)</f>
        <v>0</v>
      </c>
      <c r="Q221" s="150" t="str">
        <f t="shared" si="17"/>
        <v>3-Passifs</v>
      </c>
      <c r="R221" s="149" t="str">
        <f t="shared" si="18"/>
        <v>324</v>
      </c>
      <c r="S221" s="150">
        <f t="shared" si="19"/>
        <v>0</v>
      </c>
      <c r="T221" s="152" t="str">
        <f>+VLOOKUP($L221,Data_Validation!$A:$D,1,0)</f>
        <v>326A</v>
      </c>
      <c r="U221" s="152" t="str">
        <f>+VLOOKUP($L221,Data_Validation!$A:$D,3,0)</f>
        <v>Bilan</v>
      </c>
      <c r="V221" s="152" t="str">
        <f>+VLOOKUP($L221,Data_Validation!$A:$D,4,0)</f>
        <v>Taxes de Vente à Payer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2421</v>
      </c>
      <c r="B222" s="718" t="s">
        <v>2422</v>
      </c>
      <c r="C222" s="720">
        <v>-56.87</v>
      </c>
      <c r="D222" s="720">
        <v>-74.400000000000006</v>
      </c>
      <c r="E222" s="720">
        <v>-131.27000000000001</v>
      </c>
      <c r="F222" s="718" t="s">
        <v>2228</v>
      </c>
      <c r="G222" s="718" t="s">
        <v>354</v>
      </c>
      <c r="H222" s="673"/>
      <c r="I222" s="673"/>
      <c r="J222" s="673"/>
      <c r="K222" s="673"/>
      <c r="L222" s="149" t="str">
        <f t="shared" si="15"/>
        <v>300S</v>
      </c>
      <c r="M222" s="150" t="str">
        <f t="shared" si="16"/>
        <v>RESERVE FRAIS SQ</v>
      </c>
      <c r="N222" s="151">
        <f>+IF(OR($Q222=Parametres!$G$2,$Q222=Parametres!$G$3),I222,C222)</f>
        <v>-56.87</v>
      </c>
      <c r="O222" s="151">
        <f>+IF(OR($Q222=Parametres!$G$2,$Q222=Parametres!$G$3),J222,D222)</f>
        <v>-74.400000000000006</v>
      </c>
      <c r="P222" s="151">
        <f>+IF(OR($Q222=Parametres!$G$2,$Q222=Parametres!$G$3),K222,E222)</f>
        <v>-131.27000000000001</v>
      </c>
      <c r="Q222" s="150" t="str">
        <f t="shared" si="17"/>
        <v>3-Passifs</v>
      </c>
      <c r="R222" s="149" t="str">
        <f t="shared" si="18"/>
        <v>300</v>
      </c>
      <c r="S222" s="150">
        <f t="shared" si="19"/>
        <v>0</v>
      </c>
      <c r="T222" s="152" t="str">
        <f>+VLOOKUP($L222,Data_Validation!$A:$D,1,0)</f>
        <v>300S</v>
      </c>
      <c r="U222" s="152" t="str">
        <f>+VLOOKUP($L222,Data_Validation!$A:$D,3,0)</f>
        <v>Bilan</v>
      </c>
      <c r="V222" s="152" t="str">
        <f>+VLOOKUP($L222,Data_Validation!$A:$D,4,0)</f>
        <v>Autres Courus</v>
      </c>
      <c r="W222" s="152">
        <f>+VLOOKUP($L222,Data_Validation!$A:$E,5,0)</f>
        <v>0</v>
      </c>
      <c r="X222" s="152">
        <f>+VLOOKUP($L222,Data_Validation!$A:$F,6,0)</f>
        <v>0</v>
      </c>
    </row>
    <row r="223" spans="1:24" ht="15" customHeight="1">
      <c r="A223" s="718" t="s">
        <v>1855</v>
      </c>
      <c r="B223" s="718" t="s">
        <v>984</v>
      </c>
      <c r="C223" s="720">
        <v>0</v>
      </c>
      <c r="D223" s="720">
        <v>-150226.63</v>
      </c>
      <c r="E223" s="720">
        <v>-150226.63</v>
      </c>
      <c r="F223" s="718" t="s">
        <v>2228</v>
      </c>
      <c r="G223" s="718" t="s">
        <v>354</v>
      </c>
      <c r="H223" s="673"/>
      <c r="I223" s="672"/>
      <c r="J223" s="672"/>
      <c r="K223" s="672"/>
      <c r="L223" s="149" t="str">
        <f t="shared" si="15"/>
        <v>300A</v>
      </c>
      <c r="M223" s="150" t="str">
        <f t="shared" si="16"/>
        <v>ECHANGE ENTRE CONCESSIONNAIRE</v>
      </c>
      <c r="N223" s="151">
        <f>+IF(OR($Q223=Parametres!$G$2,$Q223=Parametres!$G$3),I223,C223)</f>
        <v>0</v>
      </c>
      <c r="O223" s="504">
        <f>+IF(OR($Q223=Parametres!$G$2,$Q223=Parametres!$G$3),J223,D223)</f>
        <v>-150226.63</v>
      </c>
      <c r="P223" s="151">
        <f>+IF(OR($Q223=Parametres!$G$2,$Q223=Parametres!$G$3),K223,E223)</f>
        <v>-150226.63</v>
      </c>
      <c r="Q223" s="150" t="str">
        <f t="shared" si="17"/>
        <v>3-Passifs</v>
      </c>
      <c r="R223" s="149" t="str">
        <f t="shared" si="18"/>
        <v>300</v>
      </c>
      <c r="S223" s="150">
        <f t="shared" si="19"/>
        <v>0</v>
      </c>
      <c r="T223" s="152" t="str">
        <f>+VLOOKUP($L223,Data_Validation!$A:$D,1,0)</f>
        <v>300A</v>
      </c>
      <c r="U223" s="152" t="str">
        <f>+VLOOKUP($L223,Data_Validation!$A:$D,3,0)</f>
        <v>Bilan</v>
      </c>
      <c r="V223" s="152" t="str">
        <f>+VLOOKUP($L223,Data_Validation!$A:$D,4,0)</f>
        <v>Autres Comptes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1102</v>
      </c>
      <c r="B224" s="718" t="s">
        <v>1103</v>
      </c>
      <c r="C224" s="720">
        <v>0</v>
      </c>
      <c r="D224" s="720">
        <v>-3000</v>
      </c>
      <c r="E224" s="720">
        <v>-3000</v>
      </c>
      <c r="F224" s="718" t="s">
        <v>2228</v>
      </c>
      <c r="G224" s="718" t="s">
        <v>1103</v>
      </c>
      <c r="H224" s="673"/>
      <c r="I224" s="672"/>
      <c r="J224" s="672"/>
      <c r="K224" s="672"/>
      <c r="L224" s="149" t="str">
        <f t="shared" si="15"/>
        <v>314L</v>
      </c>
      <c r="M224" s="150" t="str">
        <f t="shared" si="16"/>
        <v>LIEN A PAYER</v>
      </c>
      <c r="N224" s="151">
        <f>+IF(OR($Q224=Parametres!$G$2,$Q224=Parametres!$G$3),I224,C224)</f>
        <v>0</v>
      </c>
      <c r="O224" s="504">
        <f>+IF(OR($Q224=Parametres!$G$2,$Q224=Parametres!$G$3),J224,D224)</f>
        <v>-3000</v>
      </c>
      <c r="P224" s="151">
        <f>+IF(OR($Q224=Parametres!$G$2,$Q224=Parametres!$G$3),K224,E224)</f>
        <v>-3000</v>
      </c>
      <c r="Q224" s="150" t="str">
        <f t="shared" si="17"/>
        <v>3-Passifs</v>
      </c>
      <c r="R224" s="149" t="str">
        <f t="shared" si="18"/>
        <v>314L</v>
      </c>
      <c r="S224" s="150">
        <f t="shared" si="19"/>
        <v>0</v>
      </c>
      <c r="T224" s="152" t="str">
        <f>+VLOOKUP($L224,Data_Validation!$A:$D,1,0)</f>
        <v>314L</v>
      </c>
      <c r="U224" s="152" t="str">
        <f>+VLOOKUP($L224,Data_Validation!$A:$D,3,0)</f>
        <v>Bilan</v>
      </c>
      <c r="V224" s="152" t="str">
        <f>+VLOOKUP($L224,Data_Validation!$A:$D,4,0)</f>
        <v>Autres Comptes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2142</v>
      </c>
      <c r="B225" s="718" t="s">
        <v>2143</v>
      </c>
      <c r="C225" s="719">
        <v>619.94000000000005</v>
      </c>
      <c r="D225" s="719">
        <v>-619.94000000000005</v>
      </c>
      <c r="E225" s="719">
        <v>0</v>
      </c>
      <c r="F225" s="718" t="s">
        <v>2228</v>
      </c>
      <c r="G225" s="718" t="s">
        <v>424</v>
      </c>
      <c r="H225" s="719"/>
      <c r="I225" s="720"/>
      <c r="J225" s="720"/>
      <c r="K225" s="720"/>
      <c r="L225" s="149" t="str">
        <f t="shared" si="15"/>
        <v>321D</v>
      </c>
      <c r="M225" s="150" t="str">
        <f t="shared" si="16"/>
        <v>COMPTE DE DEPENSE A PAYER</v>
      </c>
      <c r="N225" s="151">
        <f>+IF(OR($Q225=Parametres!$G$2,$Q225=Parametres!$G$3),I225,C225)</f>
        <v>619.94000000000005</v>
      </c>
      <c r="O225" s="151">
        <f>+IF(OR($Q225=Parametres!$G$2,$Q225=Parametres!$G$3),J225,D225)</f>
        <v>-619.94000000000005</v>
      </c>
      <c r="P225" s="151">
        <f>+IF(OR($Q225=Parametres!$G$2,$Q225=Parametres!$G$3),K225,E225)</f>
        <v>0</v>
      </c>
      <c r="Q225" s="150" t="str">
        <f t="shared" si="17"/>
        <v>3-Passifs</v>
      </c>
      <c r="R225" s="149" t="str">
        <f t="shared" si="18"/>
        <v>321</v>
      </c>
      <c r="S225" s="150">
        <f t="shared" si="19"/>
        <v>0</v>
      </c>
      <c r="T225" s="152" t="str">
        <f>+VLOOKUP($L225,Data_Validation!$A:$D,1,0)</f>
        <v>321D</v>
      </c>
      <c r="U225" s="152" t="str">
        <f>+VLOOKUP($L225,Data_Validation!$A:$D,3,0)</f>
        <v>bilan</v>
      </c>
      <c r="V225" s="152" t="str">
        <f>+VLOOKUP($L225,Data_Validation!$A:$D,4,0)</f>
        <v>Autres Comptes à Payer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2432</v>
      </c>
      <c r="B226" s="718" t="s">
        <v>811</v>
      </c>
      <c r="C226" s="719">
        <v>11608.01</v>
      </c>
      <c r="D226" s="719">
        <v>0</v>
      </c>
      <c r="E226" s="719">
        <v>11608.01</v>
      </c>
      <c r="F226" s="718" t="s">
        <v>2228</v>
      </c>
      <c r="G226" s="718" t="s">
        <v>811</v>
      </c>
      <c r="H226" s="719"/>
      <c r="I226" s="720"/>
      <c r="J226" s="720"/>
      <c r="K226" s="720"/>
      <c r="L226" s="149" t="str">
        <f t="shared" si="15"/>
        <v>322</v>
      </c>
      <c r="M226" s="150" t="str">
        <f t="shared" si="16"/>
        <v>RESERVE CSST</v>
      </c>
      <c r="N226" s="151">
        <f>+IF(OR($Q226=Parametres!$G$2,$Q226=Parametres!$G$3),I226,C226)</f>
        <v>11608.01</v>
      </c>
      <c r="O226" s="501">
        <f>+IF(OR($Q226=Parametres!$G$2,$Q226=Parametres!$G$3),J226,D226)</f>
        <v>0</v>
      </c>
      <c r="P226" s="151">
        <f>+IF(OR($Q226=Parametres!$G$2,$Q226=Parametres!$G$3),K226,E226)</f>
        <v>11608.01</v>
      </c>
      <c r="Q226" s="150" t="str">
        <f t="shared" si="17"/>
        <v>3-Passifs</v>
      </c>
      <c r="R226" s="149" t="str">
        <f t="shared" si="18"/>
        <v>322</v>
      </c>
      <c r="S226" s="150">
        <f t="shared" si="19"/>
        <v>0</v>
      </c>
      <c r="T226" s="152" t="str">
        <f>+VLOOKUP($L226,Data_Validation!$A:$D,1,0)</f>
        <v>322</v>
      </c>
      <c r="U226" s="152" t="str">
        <f>+VLOOKUP($L226,Data_Validation!$A:$D,3,0)</f>
        <v>Bilan</v>
      </c>
      <c r="V226" s="152" t="str">
        <f>+VLOOKUP($L226,Data_Validation!$A:$D,4,0)</f>
        <v>DAS à Payer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1700</v>
      </c>
      <c r="B227" s="718" t="s">
        <v>1701</v>
      </c>
      <c r="C227" s="719">
        <v>48163.43</v>
      </c>
      <c r="D227" s="719">
        <v>1911.65</v>
      </c>
      <c r="E227" s="719">
        <v>50075.08</v>
      </c>
      <c r="F227" s="718" t="s">
        <v>2228</v>
      </c>
      <c r="G227" s="718" t="s">
        <v>403</v>
      </c>
      <c r="H227" s="719"/>
      <c r="I227" s="720"/>
      <c r="J227" s="720"/>
      <c r="K227" s="720"/>
      <c r="L227" s="149" t="str">
        <f t="shared" si="15"/>
        <v>325B</v>
      </c>
      <c r="M227" s="150" t="str">
        <f t="shared" si="16"/>
        <v>TVQ A RECEVOIR</v>
      </c>
      <c r="N227" s="151">
        <f>+IF(OR($Q227=Parametres!$G$2,$Q227=Parametres!$G$3),I227,C227)</f>
        <v>48163.43</v>
      </c>
      <c r="O227" s="151">
        <f>+IF(OR($Q227=Parametres!$G$2,$Q227=Parametres!$G$3),J227,D227)</f>
        <v>1911.65</v>
      </c>
      <c r="P227" s="151">
        <f>+IF(OR($Q227=Parametres!$G$2,$Q227=Parametres!$G$3),K227,E227)</f>
        <v>50075.08</v>
      </c>
      <c r="Q227" s="150" t="str">
        <f t="shared" si="17"/>
        <v>3-Passifs</v>
      </c>
      <c r="R227" s="149" t="str">
        <f t="shared" si="18"/>
        <v>324</v>
      </c>
      <c r="S227" s="150">
        <f t="shared" si="19"/>
        <v>0</v>
      </c>
      <c r="T227" s="152" t="str">
        <f>+VLOOKUP($L227,Data_Validation!$A:$D,1,0)</f>
        <v>325B</v>
      </c>
      <c r="U227" s="152" t="str">
        <f>+VLOOKUP($L227,Data_Validation!$A:$D,3,0)</f>
        <v>Bilan</v>
      </c>
      <c r="V227" s="152" t="str">
        <f>+VLOOKUP($L227,Data_Validation!$A:$D,4,0)</f>
        <v>Taxes de Vente à Payer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1835</v>
      </c>
      <c r="B228" s="718" t="s">
        <v>957</v>
      </c>
      <c r="C228" s="719">
        <v>171828.99</v>
      </c>
      <c r="D228" s="719">
        <v>-204449.73</v>
      </c>
      <c r="E228" s="719">
        <v>-32620.74</v>
      </c>
      <c r="F228" s="718" t="s">
        <v>2228</v>
      </c>
      <c r="G228" s="718" t="s">
        <v>354</v>
      </c>
      <c r="H228" s="719"/>
      <c r="I228" s="720"/>
      <c r="J228" s="720"/>
      <c r="K228" s="720"/>
      <c r="L228" s="149" t="str">
        <f t="shared" si="15"/>
        <v>300B</v>
      </c>
      <c r="M228" s="150" t="str">
        <f t="shared" si="16"/>
        <v>ETAT DE COMPTE BMW CANADA</v>
      </c>
      <c r="N228" s="151">
        <f>+IF(OR($Q228=Parametres!$G$2,$Q228=Parametres!$G$3),I228,C228)</f>
        <v>171828.99</v>
      </c>
      <c r="O228" s="151">
        <f>+IF(OR($Q228=Parametres!$G$2,$Q228=Parametres!$G$3),J228,D228)</f>
        <v>-204449.73</v>
      </c>
      <c r="P228" s="151">
        <f>+IF(OR($Q228=Parametres!$G$2,$Q228=Parametres!$G$3),K228,E228)</f>
        <v>-32620.74</v>
      </c>
      <c r="Q228" s="150" t="str">
        <f t="shared" si="17"/>
        <v>3-Passifs</v>
      </c>
      <c r="R228" s="149" t="str">
        <f t="shared" si="18"/>
        <v>300</v>
      </c>
      <c r="S228" s="150">
        <f t="shared" si="19"/>
        <v>0</v>
      </c>
      <c r="T228" s="152" t="str">
        <f>+VLOOKUP($L228,Data_Validation!$A:$D,1,0)</f>
        <v>300B</v>
      </c>
      <c r="U228" s="152" t="str">
        <f>+VLOOKUP($L228,Data_Validation!$A:$D,3,0)</f>
        <v>Bilan</v>
      </c>
      <c r="V228" s="152" t="str">
        <f>+VLOOKUP($L228,Data_Validation!$A:$D,4,0)</f>
        <v>Autres Comptes à Payer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1128</v>
      </c>
      <c r="B229" s="718" t="s">
        <v>966</v>
      </c>
      <c r="C229" s="720">
        <v>251324.36</v>
      </c>
      <c r="D229" s="720">
        <v>-69409.48</v>
      </c>
      <c r="E229" s="720">
        <v>181914.88</v>
      </c>
      <c r="F229" s="718" t="s">
        <v>2228</v>
      </c>
      <c r="G229" s="718" t="s">
        <v>403</v>
      </c>
      <c r="H229" s="673"/>
      <c r="I229" s="673"/>
      <c r="J229" s="673"/>
      <c r="K229" s="673"/>
      <c r="L229" s="149" t="str">
        <f t="shared" si="15"/>
        <v>324A</v>
      </c>
      <c r="M229" s="150" t="str">
        <f t="shared" si="16"/>
        <v>TPS A RECEVOIR</v>
      </c>
      <c r="N229" s="151">
        <f>+IF(OR($Q229=Parametres!$G$2,$Q229=Parametres!$G$3),I229,C229)</f>
        <v>251324.36</v>
      </c>
      <c r="O229" s="151">
        <f>+IF(OR($Q229=Parametres!$G$2,$Q229=Parametres!$G$3),J229,D229)</f>
        <v>-69409.48</v>
      </c>
      <c r="P229" s="151">
        <f>+IF(OR($Q229=Parametres!$G$2,$Q229=Parametres!$G$3),K229,E229)</f>
        <v>181914.88</v>
      </c>
      <c r="Q229" s="150" t="str">
        <f t="shared" si="17"/>
        <v>3-Passifs</v>
      </c>
      <c r="R229" s="149" t="str">
        <f t="shared" si="18"/>
        <v>324</v>
      </c>
      <c r="S229" s="150">
        <f t="shared" si="19"/>
        <v>0</v>
      </c>
      <c r="T229" s="152" t="str">
        <f>+VLOOKUP($L229,Data_Validation!$A:$D,1,0)</f>
        <v>324A</v>
      </c>
      <c r="U229" s="152" t="str">
        <f>+VLOOKUP($L229,Data_Validation!$A:$D,3,0)</f>
        <v>Bilan</v>
      </c>
      <c r="V229" s="152" t="str">
        <f>+VLOOKUP($L229,Data_Validation!$A:$D,4,0)</f>
        <v>Taxes de Vente à Payer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601</v>
      </c>
      <c r="B230" s="718" t="s">
        <v>356</v>
      </c>
      <c r="C230" s="720">
        <v>-4390685.5999999996</v>
      </c>
      <c r="D230" s="720">
        <v>0</v>
      </c>
      <c r="E230" s="720">
        <v>-4390685.5999999996</v>
      </c>
      <c r="F230" s="718" t="s">
        <v>2229</v>
      </c>
      <c r="G230" s="718" t="s">
        <v>356</v>
      </c>
      <c r="H230" s="673"/>
      <c r="I230" s="672"/>
      <c r="J230" s="672"/>
      <c r="K230" s="672"/>
      <c r="L230" s="149" t="str">
        <f t="shared" si="15"/>
        <v>360</v>
      </c>
      <c r="M230" s="150" t="str">
        <f t="shared" si="16"/>
        <v>ACTIONS ORDINAIRES</v>
      </c>
      <c r="N230" s="151">
        <f>+IF(OR($Q230=Parametres!$G$2,$Q230=Parametres!$G$3),I230,C230)</f>
        <v>-4390685.5999999996</v>
      </c>
      <c r="O230" s="151">
        <f>+IF(OR($Q230=Parametres!$G$2,$Q230=Parametres!$G$3),J230,D230)</f>
        <v>0</v>
      </c>
      <c r="P230" s="151">
        <f>+IF(OR($Q230=Parametres!$G$2,$Q230=Parametres!$G$3),K230,E230)</f>
        <v>-4390685.5999999996</v>
      </c>
      <c r="Q230" s="150" t="str">
        <f t="shared" si="17"/>
        <v>4-Valeur nette</v>
      </c>
      <c r="R230" s="149" t="str">
        <f t="shared" si="18"/>
        <v>360</v>
      </c>
      <c r="S230" s="150">
        <f t="shared" si="19"/>
        <v>0</v>
      </c>
      <c r="T230" s="152" t="str">
        <f>+VLOOKUP($L230,Data_Validation!$A:$D,1,0)</f>
        <v>360</v>
      </c>
      <c r="U230" s="152" t="str">
        <f>+VLOOKUP($L230,Data_Validation!$A:$D,3,0)</f>
        <v>Bilan</v>
      </c>
      <c r="V230" s="152" t="str">
        <f>+VLOOKUP($L230,Data_Validation!$A:$D,4,0)</f>
        <v>Capital Actions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602</v>
      </c>
      <c r="B231" s="718" t="s">
        <v>357</v>
      </c>
      <c r="C231" s="719">
        <v>-3341893.47</v>
      </c>
      <c r="D231" s="719">
        <v>0</v>
      </c>
      <c r="E231" s="719">
        <v>-3341893.47</v>
      </c>
      <c r="F231" s="718" t="s">
        <v>2229</v>
      </c>
      <c r="G231" s="718" t="s">
        <v>357</v>
      </c>
      <c r="H231" s="719"/>
      <c r="I231" s="720"/>
      <c r="J231" s="720"/>
      <c r="K231" s="720"/>
      <c r="L231" s="149" t="str">
        <f t="shared" si="15"/>
        <v>370</v>
      </c>
      <c r="M231" s="150" t="str">
        <f t="shared" si="16"/>
        <v>BENEFICES NON REPARTIS</v>
      </c>
      <c r="N231" s="151">
        <f>+IF(OR($Q231=Parametres!$G$2,$Q231=Parametres!$G$3),I231,C231)</f>
        <v>-3341893.47</v>
      </c>
      <c r="O231" s="151">
        <f>+IF(OR($Q231=Parametres!$G$2,$Q231=Parametres!$G$3),J231,D231)</f>
        <v>0</v>
      </c>
      <c r="P231" s="151">
        <f>+IF(OR($Q231=Parametres!$G$2,$Q231=Parametres!$G$3),K231,E231)</f>
        <v>-3341893.47</v>
      </c>
      <c r="Q231" s="150" t="str">
        <f t="shared" si="17"/>
        <v>4-Valeur nette</v>
      </c>
      <c r="R231" s="149" t="str">
        <f t="shared" si="18"/>
        <v>370</v>
      </c>
      <c r="S231" s="150">
        <f t="shared" si="19"/>
        <v>0</v>
      </c>
      <c r="T231" s="152" t="str">
        <f>+VLOOKUP($L231,Data_Validation!$A:$D,1,0)</f>
        <v>370</v>
      </c>
      <c r="U231" s="152" t="str">
        <f>+VLOOKUP($L231,Data_Validation!$A:$D,3,0)</f>
        <v>Bilan</v>
      </c>
      <c r="V231" s="152" t="str">
        <f>+VLOOKUP($L231,Data_Validation!$A:$D,4,0)</f>
        <v>Bénéfices non répartis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1076</v>
      </c>
      <c r="B232" s="718" t="s">
        <v>401</v>
      </c>
      <c r="C232" s="720">
        <v>-2806094</v>
      </c>
      <c r="D232" s="720">
        <v>-219800</v>
      </c>
      <c r="E232" s="720">
        <v>-3025894</v>
      </c>
      <c r="F232" s="718" t="s">
        <v>2007</v>
      </c>
      <c r="G232" s="718" t="s">
        <v>401</v>
      </c>
      <c r="H232" s="673"/>
      <c r="I232" s="672"/>
      <c r="J232" s="672"/>
      <c r="K232" s="672"/>
      <c r="L232" s="149" t="str">
        <f t="shared" si="15"/>
        <v>444C</v>
      </c>
      <c r="M232" s="150" t="str">
        <f t="shared" si="16"/>
        <v>VTE - GROS AUTRES</v>
      </c>
      <c r="N232" s="151">
        <f>+IF(OR($Q232=Parametres!$G$2,$Q232=Parametres!$G$3),I232,C232)</f>
        <v>-2806094</v>
      </c>
      <c r="O232" s="151">
        <f>+IF(OR($Q232=Parametres!$G$2,$Q232=Parametres!$G$3),J232,D232)</f>
        <v>-219800</v>
      </c>
      <c r="P232" s="151">
        <f>+IF(OR($Q232=Parametres!$G$2,$Q232=Parametres!$G$3),K232,E232)</f>
        <v>-3025894</v>
      </c>
      <c r="Q232" s="150" t="str">
        <f t="shared" si="17"/>
        <v>5-Ventes</v>
      </c>
      <c r="R232" s="149" t="str">
        <f t="shared" si="18"/>
        <v>444C</v>
      </c>
      <c r="S232" s="150">
        <f t="shared" si="19"/>
        <v>0</v>
      </c>
      <c r="T232" s="152" t="str">
        <f>+VLOOKUP($L232,Data_Validation!$A:$D,1,0)</f>
        <v>444C</v>
      </c>
      <c r="U232" s="152" t="str">
        <f>+VLOOKUP($L232,Data_Validation!$A:$D,3,0)</f>
        <v>Véhicules usagés</v>
      </c>
      <c r="V232" s="152" t="str">
        <f>+VLOOKUP($L232,Data_Validation!$A:$D,4,0)</f>
        <v>Ventes au Gros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1070</v>
      </c>
      <c r="B233" s="718" t="s">
        <v>398</v>
      </c>
      <c r="C233" s="720">
        <v>-1821224.1</v>
      </c>
      <c r="D233" s="720">
        <v>-245800</v>
      </c>
      <c r="E233" s="720">
        <v>-2067024.1</v>
      </c>
      <c r="F233" s="718" t="s">
        <v>2007</v>
      </c>
      <c r="G233" s="718" t="s">
        <v>398</v>
      </c>
      <c r="H233" s="673"/>
      <c r="I233" s="672"/>
      <c r="J233" s="672"/>
      <c r="K233" s="672"/>
      <c r="L233" s="149" t="str">
        <f t="shared" si="15"/>
        <v>444B</v>
      </c>
      <c r="M233" s="150" t="str">
        <f t="shared" si="16"/>
        <v>VTE - GROS BMW CAMION</v>
      </c>
      <c r="N233" s="151">
        <f>+IF(OR($Q233=Parametres!$G$2,$Q233=Parametres!$G$3),I233,C233)</f>
        <v>-1821224.1</v>
      </c>
      <c r="O233" s="151">
        <f>+IF(OR($Q233=Parametres!$G$2,$Q233=Parametres!$G$3),J233,D233)</f>
        <v>-245800</v>
      </c>
      <c r="P233" s="151">
        <f>+IF(OR($Q233=Parametres!$G$2,$Q233=Parametres!$G$3),K233,E233)</f>
        <v>-2067024.1</v>
      </c>
      <c r="Q233" s="150" t="str">
        <f t="shared" si="17"/>
        <v>5-Ventes</v>
      </c>
      <c r="R233" s="149" t="str">
        <f t="shared" si="18"/>
        <v>444B</v>
      </c>
      <c r="S233" s="150">
        <f t="shared" si="19"/>
        <v>0</v>
      </c>
      <c r="T233" s="152" t="str">
        <f>+VLOOKUP($L233,Data_Validation!$A:$D,1,0)</f>
        <v>444B</v>
      </c>
      <c r="U233" s="152" t="str">
        <f>+VLOOKUP($L233,Data_Validation!$A:$D,3,0)</f>
        <v>Véhicules usagés</v>
      </c>
      <c r="V233" s="152" t="str">
        <f>+VLOOKUP($L233,Data_Validation!$A:$D,4,0)</f>
        <v>Ventes au Gros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1086</v>
      </c>
      <c r="B234" s="718" t="s">
        <v>418</v>
      </c>
      <c r="C234" s="719">
        <v>-1745536.52</v>
      </c>
      <c r="D234" s="719">
        <v>-105749.75</v>
      </c>
      <c r="E234" s="719">
        <v>-1851286.27</v>
      </c>
      <c r="F234" s="718" t="s">
        <v>2007</v>
      </c>
      <c r="G234" s="718" t="s">
        <v>418</v>
      </c>
      <c r="H234" s="719"/>
      <c r="I234" s="720"/>
      <c r="J234" s="720"/>
      <c r="K234" s="720"/>
      <c r="L234" s="149" t="str">
        <f t="shared" si="15"/>
        <v>446A</v>
      </c>
      <c r="M234" s="150" t="str">
        <f t="shared" si="16"/>
        <v>VTE - USAGE BMW CAMION CERT</v>
      </c>
      <c r="N234" s="151">
        <f>+IF(OR($Q234=Parametres!$G$2,$Q234=Parametres!$G$3),I234,C234)</f>
        <v>-1745536.52</v>
      </c>
      <c r="O234" s="151">
        <f>+IF(OR($Q234=Parametres!$G$2,$Q234=Parametres!$G$3),J234,D234)</f>
        <v>-105749.75</v>
      </c>
      <c r="P234" s="151">
        <f>+IF(OR($Q234=Parametres!$G$2,$Q234=Parametres!$G$3),K234,E234)</f>
        <v>-1851286.27</v>
      </c>
      <c r="Q234" s="150" t="str">
        <f t="shared" si="17"/>
        <v>5-Ventes</v>
      </c>
      <c r="R234" s="149" t="str">
        <f t="shared" si="18"/>
        <v>446A</v>
      </c>
      <c r="S234" s="150">
        <f t="shared" si="19"/>
        <v>0</v>
      </c>
      <c r="T234" s="152" t="str">
        <f>+VLOOKUP($L234,Data_Validation!$A:$D,1,0)</f>
        <v>446A</v>
      </c>
      <c r="U234" s="152" t="str">
        <f>+VLOOKUP($L234,Data_Validation!$A:$D,3,0)</f>
        <v>Véhicules usagés</v>
      </c>
      <c r="V234" s="152" t="str">
        <f>+VLOOKUP($L234,Data_Validation!$A:$D,4,0)</f>
        <v>Certifié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1082</v>
      </c>
      <c r="B235" s="718" t="s">
        <v>384</v>
      </c>
      <c r="C235" s="720">
        <v>-1727954.26</v>
      </c>
      <c r="D235" s="720">
        <v>-83962</v>
      </c>
      <c r="E235" s="720">
        <v>-1811916.26</v>
      </c>
      <c r="F235" s="718" t="s">
        <v>2007</v>
      </c>
      <c r="G235" s="718" t="s">
        <v>384</v>
      </c>
      <c r="H235" s="673"/>
      <c r="I235" s="672"/>
      <c r="J235" s="672"/>
      <c r="K235" s="672"/>
      <c r="L235" s="149" t="str">
        <f t="shared" si="15"/>
        <v>442</v>
      </c>
      <c r="M235" s="150" t="str">
        <f t="shared" si="16"/>
        <v>VTE - USAGE AUTRES</v>
      </c>
      <c r="N235" s="151">
        <f>+IF(OR($Q235=Parametres!$G$2,$Q235=Parametres!$G$3),I235,C235)</f>
        <v>-1727954.26</v>
      </c>
      <c r="O235" s="151">
        <f>+IF(OR($Q235=Parametres!$G$2,$Q235=Parametres!$G$3),J235,D235)</f>
        <v>-83962</v>
      </c>
      <c r="P235" s="151">
        <f>+IF(OR($Q235=Parametres!$G$2,$Q235=Parametres!$G$3),K235,E235)</f>
        <v>-1811916.26</v>
      </c>
      <c r="Q235" s="150" t="str">
        <f t="shared" si="17"/>
        <v>5-Ventes</v>
      </c>
      <c r="R235" s="149" t="str">
        <f t="shared" si="18"/>
        <v>442</v>
      </c>
      <c r="S235" s="150">
        <f t="shared" si="19"/>
        <v>0</v>
      </c>
      <c r="T235" s="152" t="str">
        <f>+VLOOKUP($L235,Data_Validation!$A:$D,1,0)</f>
        <v>442</v>
      </c>
      <c r="U235" s="152" t="str">
        <f>+VLOOKUP($L235,Data_Validation!$A:$D,3,0)</f>
        <v>Véhicules usagés</v>
      </c>
      <c r="V235" s="152" t="str">
        <f>+VLOOKUP($L235,Data_Validation!$A:$D,4,0)</f>
        <v>Autres marques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2433</v>
      </c>
      <c r="B236" s="718" t="s">
        <v>402</v>
      </c>
      <c r="C236" s="720">
        <v>-1584890.7</v>
      </c>
      <c r="D236" s="720">
        <v>0</v>
      </c>
      <c r="E236" s="720">
        <v>-1584890.7</v>
      </c>
      <c r="F236" s="718" t="s">
        <v>2007</v>
      </c>
      <c r="G236" s="718" t="s">
        <v>402</v>
      </c>
      <c r="H236" s="673"/>
      <c r="I236" s="672"/>
      <c r="J236" s="672"/>
      <c r="K236" s="672"/>
      <c r="L236" s="149" t="str">
        <f t="shared" si="15"/>
        <v>423B</v>
      </c>
      <c r="M236" s="150" t="str">
        <f t="shared" si="16"/>
        <v>VTES -VTE - X3 XDRIVE 30I</v>
      </c>
      <c r="N236" s="151">
        <f>+IF(OR($Q236=Parametres!$G$2,$Q236=Parametres!$G$3),I236,C236)</f>
        <v>-1584890.7</v>
      </c>
      <c r="O236" s="151">
        <f>+IF(OR($Q236=Parametres!$G$2,$Q236=Parametres!$G$3),J236,D236)</f>
        <v>0</v>
      </c>
      <c r="P236" s="151">
        <f>+IF(OR($Q236=Parametres!$G$2,$Q236=Parametres!$G$3),K236,E236)</f>
        <v>-1584890.7</v>
      </c>
      <c r="Q236" s="150" t="str">
        <f t="shared" si="17"/>
        <v>5-Ventes</v>
      </c>
      <c r="R236" s="149" t="str">
        <f t="shared" si="18"/>
        <v>423B</v>
      </c>
      <c r="S236" s="150">
        <f t="shared" si="19"/>
        <v>0</v>
      </c>
      <c r="T236" s="152" t="str">
        <f>+VLOOKUP($L236,Data_Validation!$A:$D,1,0)</f>
        <v>423B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1091</v>
      </c>
      <c r="B237" s="718" t="s">
        <v>420</v>
      </c>
      <c r="C237" s="720">
        <v>-1514010</v>
      </c>
      <c r="D237" s="720">
        <v>0</v>
      </c>
      <c r="E237" s="720">
        <v>-1514010</v>
      </c>
      <c r="F237" s="718" t="s">
        <v>2007</v>
      </c>
      <c r="G237" s="718" t="s">
        <v>420</v>
      </c>
      <c r="H237" s="666"/>
      <c r="I237" s="665"/>
      <c r="J237" s="665"/>
      <c r="K237" s="665"/>
      <c r="L237" s="149" t="str">
        <f t="shared" si="15"/>
        <v>440A</v>
      </c>
      <c r="M237" s="150" t="str">
        <f t="shared" si="16"/>
        <v>VTE - USAGE BMW AUTO CERT</v>
      </c>
      <c r="N237" s="151">
        <f>+IF(OR($Q237=Parametres!$G$2,$Q237=Parametres!$G$3),I237,C237)</f>
        <v>-1514010</v>
      </c>
      <c r="O237" s="151">
        <f>+IF(OR($Q237=Parametres!$G$2,$Q237=Parametres!$G$3),J237,D237)</f>
        <v>0</v>
      </c>
      <c r="P237" s="151">
        <f>+IF(OR($Q237=Parametres!$G$2,$Q237=Parametres!$G$3),K237,E237)</f>
        <v>-1514010</v>
      </c>
      <c r="Q237" s="150" t="str">
        <f t="shared" si="17"/>
        <v>5-Ventes</v>
      </c>
      <c r="R237" s="149" t="str">
        <f t="shared" si="18"/>
        <v>440A</v>
      </c>
      <c r="S237" s="150">
        <f t="shared" si="19"/>
        <v>0</v>
      </c>
      <c r="T237" s="152" t="str">
        <f>+VLOOKUP($L237,Data_Validation!$A:$D,1,0)</f>
        <v>440A</v>
      </c>
      <c r="U237" s="152" t="str">
        <f>+VLOOKUP($L237,Data_Validation!$A:$D,3,0)</f>
        <v>Véhicules usagés</v>
      </c>
      <c r="V237" s="152" t="str">
        <f>+VLOOKUP($L237,Data_Validation!$A:$D,4,0)</f>
        <v>Certifié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1094</v>
      </c>
      <c r="B238" s="718" t="s">
        <v>616</v>
      </c>
      <c r="C238" s="720">
        <v>-1440981.45</v>
      </c>
      <c r="D238" s="720">
        <v>-188671.07</v>
      </c>
      <c r="E238" s="720">
        <v>-1629652.52</v>
      </c>
      <c r="F238" s="718" t="s">
        <v>2007</v>
      </c>
      <c r="G238" s="718" t="s">
        <v>616</v>
      </c>
      <c r="H238" s="673"/>
      <c r="I238" s="672"/>
      <c r="J238" s="672"/>
      <c r="K238" s="672"/>
      <c r="L238" s="149" t="str">
        <f t="shared" si="15"/>
        <v>418</v>
      </c>
      <c r="M238" s="150" t="str">
        <f t="shared" si="16"/>
        <v>VTE - AUTRES MODELES BMW</v>
      </c>
      <c r="N238" s="151">
        <f>+IF(OR($Q238=Parametres!$G$2,$Q238=Parametres!$G$3),I238,C238)</f>
        <v>-1440981.45</v>
      </c>
      <c r="O238" s="151">
        <f>+IF(OR($Q238=Parametres!$G$2,$Q238=Parametres!$G$3),J238,D238)</f>
        <v>-188671.07</v>
      </c>
      <c r="P238" s="151">
        <f>+IF(OR($Q238=Parametres!$G$2,$Q238=Parametres!$G$3),K238,E238)</f>
        <v>-1629652.52</v>
      </c>
      <c r="Q238" s="150" t="str">
        <f t="shared" si="17"/>
        <v>5-Ventes</v>
      </c>
      <c r="R238" s="149" t="str">
        <f t="shared" si="18"/>
        <v>418</v>
      </c>
      <c r="S238" s="150">
        <f t="shared" si="19"/>
        <v>0</v>
      </c>
      <c r="T238" s="152" t="str">
        <f>+VLOOKUP($L238,Data_Validation!$A:$D,1,0)</f>
        <v>418</v>
      </c>
      <c r="U238" s="152" t="str">
        <f>+VLOOKUP($L238,Data_Validation!$A:$D,3,0)</f>
        <v>Véhicules neufs</v>
      </c>
      <c r="V238" s="152" t="str">
        <f>+VLOOKUP($L238,Data_Validation!$A:$D,4,0)</f>
        <v>Ex-Démos et courtoisies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2346</v>
      </c>
      <c r="B239" s="718" t="s">
        <v>2347</v>
      </c>
      <c r="C239" s="720">
        <v>-1397018.42</v>
      </c>
      <c r="D239" s="720">
        <v>-169045.92</v>
      </c>
      <c r="E239" s="720">
        <v>-1566064.34</v>
      </c>
      <c r="F239" s="718" t="s">
        <v>2007</v>
      </c>
      <c r="G239" s="718" t="s">
        <v>2347</v>
      </c>
      <c r="H239" s="673"/>
      <c r="I239" s="672"/>
      <c r="J239" s="672"/>
      <c r="K239" s="672"/>
      <c r="L239" s="149" t="str">
        <f t="shared" si="15"/>
        <v>404I</v>
      </c>
      <c r="M239" s="150" t="str">
        <f t="shared" si="16"/>
        <v>VTES -i4 eDRIVE40 GRAN COUPE</v>
      </c>
      <c r="N239" s="151">
        <f>+IF(OR($Q239=Parametres!$G$2,$Q239=Parametres!$G$3),I239,C239)</f>
        <v>-1397018.42</v>
      </c>
      <c r="O239" s="151">
        <f>+IF(OR($Q239=Parametres!$G$2,$Q239=Parametres!$G$3),J239,D239)</f>
        <v>-169045.92</v>
      </c>
      <c r="P239" s="151">
        <f>+IF(OR($Q239=Parametres!$G$2,$Q239=Parametres!$G$3),K239,E239)</f>
        <v>-1566064.34</v>
      </c>
      <c r="Q239" s="150" t="str">
        <f t="shared" si="17"/>
        <v>5-Ventes</v>
      </c>
      <c r="R239" s="149" t="str">
        <f t="shared" si="18"/>
        <v>404I</v>
      </c>
      <c r="S239" s="150">
        <f t="shared" si="19"/>
        <v>0</v>
      </c>
      <c r="T239" s="152" t="str">
        <f>+VLOOKUP($L239,Data_Validation!$A:$D,1,0)</f>
        <v>404I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1396</v>
      </c>
      <c r="B240" s="718" t="s">
        <v>400</v>
      </c>
      <c r="C240" s="719">
        <v>-1332495.24</v>
      </c>
      <c r="D240" s="719">
        <v>-84006.87</v>
      </c>
      <c r="E240" s="719">
        <v>-1416502.11</v>
      </c>
      <c r="F240" s="718" t="s">
        <v>2007</v>
      </c>
      <c r="G240" s="718" t="s">
        <v>400</v>
      </c>
      <c r="H240" s="719"/>
      <c r="I240" s="720"/>
      <c r="J240" s="720"/>
      <c r="K240" s="720"/>
      <c r="L240" s="149" t="str">
        <f t="shared" si="15"/>
        <v>448</v>
      </c>
      <c r="M240" s="150" t="str">
        <f t="shared" si="16"/>
        <v>VTE - RACHAT LOCATION BMW</v>
      </c>
      <c r="N240" s="151">
        <f>+IF(OR($Q240=Parametres!$G$2,$Q240=Parametres!$G$3),I240,C240)</f>
        <v>-1332495.24</v>
      </c>
      <c r="O240" s="151">
        <f>+IF(OR($Q240=Parametres!$G$2,$Q240=Parametres!$G$3),J240,D240)</f>
        <v>-84006.87</v>
      </c>
      <c r="P240" s="151">
        <f>+IF(OR($Q240=Parametres!$G$2,$Q240=Parametres!$G$3),K240,E240)</f>
        <v>-1416502.11</v>
      </c>
      <c r="Q240" s="150" t="str">
        <f t="shared" si="17"/>
        <v>5-Ventes</v>
      </c>
      <c r="R240" s="149" t="str">
        <f t="shared" si="18"/>
        <v>448</v>
      </c>
      <c r="S240" s="150">
        <f t="shared" si="19"/>
        <v>0</v>
      </c>
      <c r="T240" s="152" t="str">
        <f>+VLOOKUP($L240,Data_Validation!$A:$D,1,0)</f>
        <v>448</v>
      </c>
      <c r="U240" s="152" t="str">
        <f>+VLOOKUP($L240,Data_Validation!$A:$D,3,0)</f>
        <v>Véhicules neufs</v>
      </c>
      <c r="V240" s="152" t="str">
        <f>+VLOOKUP($L240,Data_Validation!$A:$D,4,0)</f>
        <v>Rachat bail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1071</v>
      </c>
      <c r="B241" s="718" t="s">
        <v>1072</v>
      </c>
      <c r="C241" s="719">
        <v>-1250188</v>
      </c>
      <c r="D241" s="719">
        <v>-88600</v>
      </c>
      <c r="E241" s="719">
        <v>-1338788</v>
      </c>
      <c r="F241" s="718" t="s">
        <v>2007</v>
      </c>
      <c r="G241" s="718" t="s">
        <v>1072</v>
      </c>
      <c r="H241" s="719"/>
      <c r="I241" s="720"/>
      <c r="J241" s="720"/>
      <c r="K241" s="720"/>
      <c r="L241" s="149" t="str">
        <f t="shared" si="15"/>
        <v>444A</v>
      </c>
      <c r="M241" s="150" t="str">
        <f t="shared" si="16"/>
        <v>VTE - GROS BMW AUTO</v>
      </c>
      <c r="N241" s="151">
        <f>+IF(OR($Q241=Parametres!$G$2,$Q241=Parametres!$G$3),I241,C241)</f>
        <v>-1250188</v>
      </c>
      <c r="O241" s="151">
        <f>+IF(OR($Q241=Parametres!$G$2,$Q241=Parametres!$G$3),J241,D241)</f>
        <v>-88600</v>
      </c>
      <c r="P241" s="151">
        <f>+IF(OR($Q241=Parametres!$G$2,$Q241=Parametres!$G$3),K241,E241)</f>
        <v>-1338788</v>
      </c>
      <c r="Q241" s="150" t="str">
        <f t="shared" si="17"/>
        <v>5-Ventes</v>
      </c>
      <c r="R241" s="149" t="str">
        <f t="shared" si="18"/>
        <v>444A</v>
      </c>
      <c r="S241" s="150">
        <f t="shared" si="19"/>
        <v>0</v>
      </c>
      <c r="T241" s="152" t="str">
        <f>+VLOOKUP($L241,Data_Validation!$A:$D,1,0)</f>
        <v>444A</v>
      </c>
      <c r="U241" s="152" t="str">
        <f>+VLOOKUP($L241,Data_Validation!$A:$D,3,0)</f>
        <v>Véhicules usagés</v>
      </c>
      <c r="V241" s="152" t="str">
        <f>+VLOOKUP($L241,Data_Validation!$A:$D,4,0)</f>
        <v>Ventes au Gros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1081</v>
      </c>
      <c r="B242" s="671" t="s">
        <v>410</v>
      </c>
      <c r="C242" s="672">
        <v>-1242075.7</v>
      </c>
      <c r="D242" s="672">
        <v>-307449.90000000002</v>
      </c>
      <c r="E242" s="672">
        <v>-1549525.6</v>
      </c>
      <c r="F242" s="671" t="s">
        <v>2007</v>
      </c>
      <c r="G242" s="671" t="s">
        <v>410</v>
      </c>
      <c r="H242" s="666"/>
      <c r="I242" s="665"/>
      <c r="J242" s="665"/>
      <c r="K242" s="665"/>
      <c r="L242" s="149" t="str">
        <f t="shared" si="15"/>
        <v>416</v>
      </c>
      <c r="M242" s="150" t="str">
        <f t="shared" si="16"/>
        <v>VTE - X1 XDRIVE 28I</v>
      </c>
      <c r="N242" s="151">
        <f>+IF(OR($Q242=Parametres!$G$2,$Q242=Parametres!$G$3),I242,C242)</f>
        <v>-1242075.7</v>
      </c>
      <c r="O242" s="151">
        <f>+IF(OR($Q242=Parametres!$G$2,$Q242=Parametres!$G$3),J242,D242)</f>
        <v>-307449.90000000002</v>
      </c>
      <c r="P242" s="151">
        <f>+IF(OR($Q242=Parametres!$G$2,$Q242=Parametres!$G$3),K242,E242)</f>
        <v>-1549525.6</v>
      </c>
      <c r="Q242" s="150" t="str">
        <f t="shared" si="17"/>
        <v>5-Ventes</v>
      </c>
      <c r="R242" s="149" t="str">
        <f t="shared" si="18"/>
        <v>416</v>
      </c>
      <c r="S242" s="150">
        <f t="shared" si="19"/>
        <v>0</v>
      </c>
      <c r="T242" s="152" t="str">
        <f>+VLOOKUP($L242,Data_Validation!$A:$D,1,0)</f>
        <v>416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1395</v>
      </c>
      <c r="B243" s="671" t="s">
        <v>416</v>
      </c>
      <c r="C243" s="672">
        <v>-1240174.73</v>
      </c>
      <c r="D243" s="672">
        <v>-31704</v>
      </c>
      <c r="E243" s="672">
        <v>-1271878.73</v>
      </c>
      <c r="F243" s="671" t="s">
        <v>2007</v>
      </c>
      <c r="G243" s="671" t="s">
        <v>416</v>
      </c>
      <c r="H243" s="666"/>
      <c r="I243" s="665"/>
      <c r="J243" s="665"/>
      <c r="K243" s="665"/>
      <c r="L243" s="149" t="str">
        <f t="shared" si="15"/>
        <v>440B</v>
      </c>
      <c r="M243" s="150" t="str">
        <f t="shared" si="16"/>
        <v>VTE - USAGE BMW AUTO NON-CERT</v>
      </c>
      <c r="N243" s="151">
        <f>+IF(OR($Q243=Parametres!$G$2,$Q243=Parametres!$G$3),I243,C243)</f>
        <v>-1240174.73</v>
      </c>
      <c r="O243" s="151">
        <f>+IF(OR($Q243=Parametres!$G$2,$Q243=Parametres!$G$3),J243,D243)</f>
        <v>-31704</v>
      </c>
      <c r="P243" s="151">
        <f>+IF(OR($Q243=Parametres!$G$2,$Q243=Parametres!$G$3),K243,E243)</f>
        <v>-1271878.73</v>
      </c>
      <c r="Q243" s="150" t="str">
        <f t="shared" si="17"/>
        <v>5-Ventes</v>
      </c>
      <c r="R243" s="149" t="str">
        <f t="shared" si="18"/>
        <v>440B</v>
      </c>
      <c r="S243" s="150">
        <f t="shared" si="19"/>
        <v>0</v>
      </c>
      <c r="T243" s="152" t="str">
        <f>+VLOOKUP($L243,Data_Validation!$A:$D,1,0)</f>
        <v>440B</v>
      </c>
      <c r="U243" s="152" t="str">
        <f>+VLOOKUP($L243,Data_Validation!$A:$D,3,0)</f>
        <v>Véhicules usagés</v>
      </c>
      <c r="V243" s="152" t="str">
        <f>+VLOOKUP($L243,Data_Validation!$A:$D,4,0)</f>
        <v>Non Certifié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1088</v>
      </c>
      <c r="B244" s="671" t="s">
        <v>404</v>
      </c>
      <c r="C244" s="672">
        <v>-1197537.01</v>
      </c>
      <c r="D244" s="672">
        <v>-35006</v>
      </c>
      <c r="E244" s="672">
        <v>-1232543.01</v>
      </c>
      <c r="F244" s="671" t="s">
        <v>2007</v>
      </c>
      <c r="G244" s="671" t="s">
        <v>404</v>
      </c>
      <c r="H244" s="666"/>
      <c r="I244" s="665"/>
      <c r="J244" s="665"/>
      <c r="K244" s="665"/>
      <c r="L244" s="149" t="str">
        <f t="shared" si="15"/>
        <v>446B</v>
      </c>
      <c r="M244" s="150" t="str">
        <f t="shared" si="16"/>
        <v>VTE - USAGE BMW CAMION NON-CERT</v>
      </c>
      <c r="N244" s="151">
        <f>+IF(OR($Q244=Parametres!$G$2,$Q244=Parametres!$G$3),I244,C244)</f>
        <v>-1197537.01</v>
      </c>
      <c r="O244" s="151">
        <f>+IF(OR($Q244=Parametres!$G$2,$Q244=Parametres!$G$3),J244,D244)</f>
        <v>-35006</v>
      </c>
      <c r="P244" s="151">
        <f>+IF(OR($Q244=Parametres!$G$2,$Q244=Parametres!$G$3),K244,E244)</f>
        <v>-1232543.01</v>
      </c>
      <c r="Q244" s="150" t="str">
        <f t="shared" si="17"/>
        <v>5-Ventes</v>
      </c>
      <c r="R244" s="149" t="str">
        <f t="shared" si="18"/>
        <v>446B</v>
      </c>
      <c r="S244" s="150">
        <f t="shared" si="19"/>
        <v>0</v>
      </c>
      <c r="T244" s="152" t="str">
        <f>+VLOOKUP($L244,Data_Validation!$A:$D,1,0)</f>
        <v>446B</v>
      </c>
      <c r="U244" s="152" t="str">
        <f>+VLOOKUP($L244,Data_Validation!$A:$D,3,0)</f>
        <v>Véhicules usagés</v>
      </c>
      <c r="V244" s="152" t="str">
        <f>+VLOOKUP($L244,Data_Validation!$A:$D,4,0)</f>
        <v>Non Certifié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2487</v>
      </c>
      <c r="B245" s="671" t="s">
        <v>2488</v>
      </c>
      <c r="C245" s="672">
        <v>-976653.2</v>
      </c>
      <c r="D245" s="672">
        <v>-110692.68</v>
      </c>
      <c r="E245" s="672">
        <v>-1087345.8799999999</v>
      </c>
      <c r="F245" s="671" t="s">
        <v>2007</v>
      </c>
      <c r="G245" s="671" t="s">
        <v>2488</v>
      </c>
      <c r="H245" s="666"/>
      <c r="I245" s="665"/>
      <c r="J245" s="665"/>
      <c r="K245" s="665"/>
      <c r="L245" s="149" t="str">
        <f t="shared" si="15"/>
        <v>423F</v>
      </c>
      <c r="M245" s="150" t="str">
        <f t="shared" si="16"/>
        <v>VTES -VTE - X5 xDRIVE50e</v>
      </c>
      <c r="N245" s="151">
        <f>+IF(OR($Q245=Parametres!$G$2,$Q245=Parametres!$G$3),I245,C245)</f>
        <v>-976653.2</v>
      </c>
      <c r="O245" s="151">
        <f>+IF(OR($Q245=Parametres!$G$2,$Q245=Parametres!$G$3),J245,D245)</f>
        <v>-110692.68</v>
      </c>
      <c r="P245" s="151">
        <f>+IF(OR($Q245=Parametres!$G$2,$Q245=Parametres!$G$3),K245,E245)</f>
        <v>-1087345.8799999999</v>
      </c>
      <c r="Q245" s="150" t="str">
        <f t="shared" si="17"/>
        <v>5-Ventes</v>
      </c>
      <c r="R245" s="149" t="str">
        <f t="shared" si="18"/>
        <v>423F</v>
      </c>
      <c r="S245" s="150">
        <f t="shared" si="19"/>
        <v>0</v>
      </c>
      <c r="T245" s="152" t="str">
        <f>+VLOOKUP($L245,Data_Validation!$A:$D,1,0)</f>
        <v>423F</v>
      </c>
      <c r="U245" s="152" t="str">
        <f>+VLOOKUP($L245,Data_Validation!$A:$D,3,0)</f>
        <v>Véhicules neufs</v>
      </c>
      <c r="V245" s="152" t="str">
        <f>+VLOOKUP($L245,Data_Validation!$A:$D,4,0)</f>
        <v>Camions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1382</v>
      </c>
      <c r="B246" s="671" t="s">
        <v>409</v>
      </c>
      <c r="C246" s="672">
        <v>-927552.69</v>
      </c>
      <c r="D246" s="672">
        <v>0</v>
      </c>
      <c r="E246" s="672">
        <v>-927552.69</v>
      </c>
      <c r="F246" s="671" t="s">
        <v>2007</v>
      </c>
      <c r="G246" s="671" t="s">
        <v>616</v>
      </c>
      <c r="H246" s="666"/>
      <c r="I246" s="665"/>
      <c r="J246" s="665"/>
      <c r="K246" s="665"/>
      <c r="L246" s="149" t="str">
        <f t="shared" si="15"/>
        <v>418A</v>
      </c>
      <c r="M246" s="150" t="str">
        <f t="shared" si="16"/>
        <v>VTE - AUTRES MODELES BMW CAMION</v>
      </c>
      <c r="N246" s="151">
        <f>+IF(OR($Q246=Parametres!$G$2,$Q246=Parametres!$G$3),I246,C246)</f>
        <v>-927552.69</v>
      </c>
      <c r="O246" s="151">
        <f>+IF(OR($Q246=Parametres!$G$2,$Q246=Parametres!$G$3),J246,D246)</f>
        <v>0</v>
      </c>
      <c r="P246" s="151">
        <f>+IF(OR($Q246=Parametres!$G$2,$Q246=Parametres!$G$3),K246,E246)</f>
        <v>-927552.69</v>
      </c>
      <c r="Q246" s="150" t="str">
        <f t="shared" si="17"/>
        <v>5-Ventes</v>
      </c>
      <c r="R246" s="149" t="str">
        <f t="shared" si="18"/>
        <v>418</v>
      </c>
      <c r="S246" s="150">
        <f t="shared" si="19"/>
        <v>0</v>
      </c>
      <c r="T246" s="152" t="str">
        <f>+VLOOKUP($L246,Data_Validation!$A:$D,1,0)</f>
        <v>418A</v>
      </c>
      <c r="U246" s="152" t="str">
        <f>+VLOOKUP($L246,Data_Validation!$A:$D,3,0)</f>
        <v>Véhicules neufs</v>
      </c>
      <c r="V246" s="152" t="str">
        <f>+VLOOKUP($L246,Data_Validation!$A:$D,4,0)</f>
        <v>Ex-Démos et courtoisies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1077</v>
      </c>
      <c r="B247" s="671" t="s">
        <v>618</v>
      </c>
      <c r="C247" s="672">
        <v>-858012.73</v>
      </c>
      <c r="D247" s="672">
        <v>-320661.53999999998</v>
      </c>
      <c r="E247" s="672">
        <v>-1178674.27</v>
      </c>
      <c r="F247" s="671" t="s">
        <v>2007</v>
      </c>
      <c r="G247" s="671" t="s">
        <v>618</v>
      </c>
      <c r="H247" s="666"/>
      <c r="I247" s="665"/>
      <c r="J247" s="665"/>
      <c r="K247" s="665"/>
      <c r="L247" s="149" t="str">
        <f t="shared" si="15"/>
        <v>423D</v>
      </c>
      <c r="M247" s="150" t="str">
        <f t="shared" si="16"/>
        <v>VTES -VTE - X5 XDRIVE 35I/ X5 XDRIVE 40I</v>
      </c>
      <c r="N247" s="151">
        <f>+IF(OR($Q247=Parametres!$G$2,$Q247=Parametres!$G$3),I247,C247)</f>
        <v>-858012.73</v>
      </c>
      <c r="O247" s="151">
        <f>+IF(OR($Q247=Parametres!$G$2,$Q247=Parametres!$G$3),J247,D247)</f>
        <v>-320661.53999999998</v>
      </c>
      <c r="P247" s="151">
        <f>+IF(OR($Q247=Parametres!$G$2,$Q247=Parametres!$G$3),K247,E247)</f>
        <v>-1178674.27</v>
      </c>
      <c r="Q247" s="150" t="str">
        <f t="shared" si="17"/>
        <v>5-Ventes</v>
      </c>
      <c r="R247" s="149" t="str">
        <f t="shared" si="18"/>
        <v>423D</v>
      </c>
      <c r="S247" s="150">
        <f t="shared" si="19"/>
        <v>0</v>
      </c>
      <c r="T247" s="152" t="str">
        <f>+VLOOKUP($L247,Data_Validation!$A:$D,1,0)</f>
        <v>423D</v>
      </c>
      <c r="U247" s="152" t="str">
        <f>+VLOOKUP($L247,Data_Validation!$A:$D,3,0)</f>
        <v>Véhicules neufs</v>
      </c>
      <c r="V247" s="152" t="str">
        <f>+VLOOKUP($L247,Data_Validation!$A:$D,4,0)</f>
        <v>Camions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1386</v>
      </c>
      <c r="B248" s="718" t="s">
        <v>617</v>
      </c>
      <c r="C248" s="720">
        <v>-719587.1</v>
      </c>
      <c r="D248" s="720">
        <v>-367675.32</v>
      </c>
      <c r="E248" s="720">
        <v>-1087262.42</v>
      </c>
      <c r="F248" s="718" t="s">
        <v>2007</v>
      </c>
      <c r="G248" s="718" t="s">
        <v>617</v>
      </c>
      <c r="H248" s="673"/>
      <c r="I248" s="672"/>
      <c r="J248" s="672"/>
      <c r="K248" s="672"/>
      <c r="L248" s="149" t="str">
        <f t="shared" si="15"/>
        <v>423C</v>
      </c>
      <c r="M248" s="150" t="str">
        <f t="shared" si="16"/>
        <v>VTES -X3 XDRIVE 30E</v>
      </c>
      <c r="N248" s="151">
        <f>+IF(OR($Q248=Parametres!$G$2,$Q248=Parametres!$G$3),I248,C248)</f>
        <v>-719587.1</v>
      </c>
      <c r="O248" s="504">
        <f>+IF(OR($Q248=Parametres!$G$2,$Q248=Parametres!$G$3),J248,D248)</f>
        <v>-367675.32</v>
      </c>
      <c r="P248" s="151">
        <f>+IF(OR($Q248=Parametres!$G$2,$Q248=Parametres!$G$3),K248,E248)</f>
        <v>-1087262.42</v>
      </c>
      <c r="Q248" s="150" t="str">
        <f t="shared" si="17"/>
        <v>5-Ventes</v>
      </c>
      <c r="R248" s="149" t="str">
        <f t="shared" si="18"/>
        <v>423C</v>
      </c>
      <c r="S248" s="150">
        <f t="shared" si="19"/>
        <v>0</v>
      </c>
      <c r="T248" s="152" t="str">
        <f>+VLOOKUP($L248,Data_Validation!$A:$D,1,0)</f>
        <v>423C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2472</v>
      </c>
      <c r="B249" s="718" t="s">
        <v>2473</v>
      </c>
      <c r="C249" s="720">
        <v>-626370.04</v>
      </c>
      <c r="D249" s="720">
        <v>-77938.75</v>
      </c>
      <c r="E249" s="720">
        <v>-704308.79</v>
      </c>
      <c r="F249" s="718" t="s">
        <v>2007</v>
      </c>
      <c r="G249" s="718" t="s">
        <v>2473</v>
      </c>
      <c r="H249" s="673"/>
      <c r="I249" s="672"/>
      <c r="J249" s="672"/>
      <c r="K249" s="672"/>
      <c r="L249" s="149" t="str">
        <f t="shared" si="15"/>
        <v>405C</v>
      </c>
      <c r="M249" s="150" t="str">
        <f t="shared" si="16"/>
        <v>VTES -VTE - i4 eDRIVE35</v>
      </c>
      <c r="N249" s="151">
        <f>+IF(OR($Q249=Parametres!$G$2,$Q249=Parametres!$G$3),I249,C249)</f>
        <v>-626370.04</v>
      </c>
      <c r="O249" s="151">
        <f>+IF(OR($Q249=Parametres!$G$2,$Q249=Parametres!$G$3),J249,D249)</f>
        <v>-77938.75</v>
      </c>
      <c r="P249" s="151">
        <f>+IF(OR($Q249=Parametres!$G$2,$Q249=Parametres!$G$3),K249,E249)</f>
        <v>-704308.79</v>
      </c>
      <c r="Q249" s="150" t="str">
        <f t="shared" si="17"/>
        <v>5-Ventes</v>
      </c>
      <c r="R249" s="149" t="str">
        <f t="shared" si="18"/>
        <v>405C</v>
      </c>
      <c r="S249" s="150">
        <f t="shared" si="19"/>
        <v>0</v>
      </c>
      <c r="T249" s="152" t="str">
        <f>+VLOOKUP($L249,Data_Validation!$A:$D,1,0)</f>
        <v>405C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422</v>
      </c>
      <c r="B250" s="671" t="s">
        <v>417</v>
      </c>
      <c r="C250" s="672">
        <v>-577270.57999999996</v>
      </c>
      <c r="D250" s="672">
        <v>-162274.26</v>
      </c>
      <c r="E250" s="672">
        <v>-739544.84</v>
      </c>
      <c r="F250" s="671" t="s">
        <v>2007</v>
      </c>
      <c r="G250" s="671" t="s">
        <v>417</v>
      </c>
      <c r="H250" s="666"/>
      <c r="I250" s="665"/>
      <c r="J250" s="665"/>
      <c r="K250" s="665"/>
      <c r="L250" s="149" t="str">
        <f t="shared" si="15"/>
        <v>488A</v>
      </c>
      <c r="M250" s="150" t="str">
        <f t="shared" si="16"/>
        <v>VTE - PNEUS</v>
      </c>
      <c r="N250" s="151">
        <f>+IF(OR($Q250=Parametres!$G$2,$Q250=Parametres!$G$3),I250,C250)</f>
        <v>-577270.57999999996</v>
      </c>
      <c r="O250" s="151">
        <f>+IF(OR($Q250=Parametres!$G$2,$Q250=Parametres!$G$3),J250,D250)</f>
        <v>-162274.26</v>
      </c>
      <c r="P250" s="151">
        <f>+IF(OR($Q250=Parametres!$G$2,$Q250=Parametres!$G$3),K250,E250)</f>
        <v>-739544.84</v>
      </c>
      <c r="Q250" s="150" t="str">
        <f t="shared" si="17"/>
        <v>5-Ventes</v>
      </c>
      <c r="R250" s="149" t="str">
        <f t="shared" si="18"/>
        <v>488A</v>
      </c>
      <c r="S250" s="150">
        <f t="shared" si="19"/>
        <v>0</v>
      </c>
      <c r="T250" s="152" t="str">
        <f>+VLOOKUP($L250,Data_Validation!$A:$D,1,0)</f>
        <v>488A</v>
      </c>
      <c r="U250" s="152" t="str">
        <f>+VLOOKUP($L250,Data_Validation!$A:$D,3,0)</f>
        <v>pièces</v>
      </c>
      <c r="V250" s="152" t="str">
        <f>+VLOOKUP($L250,Data_Validation!$A:$D,4,0)</f>
        <v>Ventes Pneus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2888</v>
      </c>
      <c r="B251" s="718" t="s">
        <v>2889</v>
      </c>
      <c r="C251" s="719">
        <v>-551321.72</v>
      </c>
      <c r="D251" s="719">
        <v>-60573.5</v>
      </c>
      <c r="E251" s="719">
        <v>-611895.22</v>
      </c>
      <c r="F251" s="718" t="s">
        <v>2007</v>
      </c>
      <c r="G251" s="718" t="s">
        <v>2889</v>
      </c>
      <c r="H251" s="719"/>
      <c r="I251" s="720"/>
      <c r="J251" s="720"/>
      <c r="K251" s="720"/>
      <c r="L251" s="149" t="str">
        <f t="shared" si="15"/>
        <v>409</v>
      </c>
      <c r="M251" s="150" t="str">
        <f t="shared" si="16"/>
        <v>X2 XDRIVE28I</v>
      </c>
      <c r="N251" s="151">
        <f>+IF(OR($Q251=Parametres!$G$2,$Q251=Parametres!$G$3),I251,C251)</f>
        <v>-551321.72</v>
      </c>
      <c r="O251" s="151">
        <f>+IF(OR($Q251=Parametres!$G$2,$Q251=Parametres!$G$3),J251,D251)</f>
        <v>-60573.5</v>
      </c>
      <c r="P251" s="151">
        <f>+IF(OR($Q251=Parametres!$G$2,$Q251=Parametres!$G$3),K251,E251)</f>
        <v>-611895.22</v>
      </c>
      <c r="Q251" s="150" t="str">
        <f t="shared" si="17"/>
        <v>5-Ventes</v>
      </c>
      <c r="R251" s="149" t="str">
        <f t="shared" si="18"/>
        <v>409</v>
      </c>
      <c r="S251" s="150">
        <f t="shared" si="19"/>
        <v>0</v>
      </c>
      <c r="T251" s="152" t="str">
        <f>+VLOOKUP($L251,Data_Validation!$A:$D,1,0)</f>
        <v>409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1166</v>
      </c>
      <c r="B252" s="718" t="s">
        <v>1167</v>
      </c>
      <c r="C252" s="720">
        <v>-443757.11</v>
      </c>
      <c r="D252" s="720">
        <v>-54580.51</v>
      </c>
      <c r="E252" s="720">
        <v>-498337.62</v>
      </c>
      <c r="F252" s="718" t="s">
        <v>2007</v>
      </c>
      <c r="G252" s="718" t="s">
        <v>1167</v>
      </c>
      <c r="H252" s="666"/>
      <c r="I252" s="665"/>
      <c r="J252" s="665"/>
      <c r="K252" s="665"/>
      <c r="L252" s="149" t="str">
        <f t="shared" si="15"/>
        <v>475A</v>
      </c>
      <c r="M252" s="150" t="str">
        <f t="shared" si="16"/>
        <v>VTE - PIECES GROS BMW AUTO</v>
      </c>
      <c r="N252" s="151">
        <f>+IF(OR($Q252=Parametres!$G$2,$Q252=Parametres!$G$3),I252,C252)</f>
        <v>-443757.11</v>
      </c>
      <c r="O252" s="151">
        <f>+IF(OR($Q252=Parametres!$G$2,$Q252=Parametres!$G$3),J252,D252)</f>
        <v>-54580.51</v>
      </c>
      <c r="P252" s="151">
        <f>+IF(OR($Q252=Parametres!$G$2,$Q252=Parametres!$G$3),K252,E252)</f>
        <v>-498337.62</v>
      </c>
      <c r="Q252" s="150" t="str">
        <f t="shared" si="17"/>
        <v>5-Ventes</v>
      </c>
      <c r="R252" s="149" t="str">
        <f t="shared" si="18"/>
        <v>475A</v>
      </c>
      <c r="S252" s="150">
        <f t="shared" si="19"/>
        <v>0</v>
      </c>
      <c r="T252" s="152" t="str">
        <f>+VLOOKUP($L252,Data_Validation!$A:$D,1,0)</f>
        <v>475A</v>
      </c>
      <c r="U252" s="152" t="str">
        <f>+VLOOKUP($L252,Data_Validation!$A:$D,3,0)</f>
        <v>pièces</v>
      </c>
      <c r="V252" s="152" t="str">
        <f>+VLOOKUP($L252,Data_Validation!$A:$D,4,0)</f>
        <v>Ventes de Gros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632</v>
      </c>
      <c r="B253" s="718" t="s">
        <v>633</v>
      </c>
      <c r="C253" s="720">
        <v>-363200</v>
      </c>
      <c r="D253" s="720">
        <v>0</v>
      </c>
      <c r="E253" s="720">
        <v>-363200</v>
      </c>
      <c r="F253" s="718" t="s">
        <v>2007</v>
      </c>
      <c r="G253" s="718" t="s">
        <v>633</v>
      </c>
      <c r="H253" s="673"/>
      <c r="I253" s="672"/>
      <c r="J253" s="672"/>
      <c r="K253" s="672"/>
      <c r="L253" s="149" t="str">
        <f t="shared" si="15"/>
        <v>452B</v>
      </c>
      <c r="M253" s="150" t="str">
        <f t="shared" si="16"/>
        <v>VTES -VTES - Z4 M40I</v>
      </c>
      <c r="N253" s="151">
        <f>+IF(OR($Q253=Parametres!$G$2,$Q253=Parametres!$G$3),I253,C253)</f>
        <v>-363200</v>
      </c>
      <c r="O253" s="151">
        <f>+IF(OR($Q253=Parametres!$G$2,$Q253=Parametres!$G$3),J253,D253)</f>
        <v>0</v>
      </c>
      <c r="P253" s="151">
        <f>+IF(OR($Q253=Parametres!$G$2,$Q253=Parametres!$G$3),K253,E253)</f>
        <v>-363200</v>
      </c>
      <c r="Q253" s="150" t="str">
        <f t="shared" si="17"/>
        <v>5-Ventes</v>
      </c>
      <c r="R253" s="149" t="str">
        <f t="shared" si="18"/>
        <v>452B</v>
      </c>
      <c r="S253" s="150">
        <f t="shared" si="19"/>
        <v>0</v>
      </c>
      <c r="T253" s="152" t="str">
        <f>+VLOOKUP($L253,Data_Validation!$A:$D,1,0)</f>
        <v>452B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1387</v>
      </c>
      <c r="B254" s="718" t="s">
        <v>619</v>
      </c>
      <c r="C254" s="720">
        <v>-355284</v>
      </c>
      <c r="D254" s="720">
        <v>0</v>
      </c>
      <c r="E254" s="720">
        <v>-355284</v>
      </c>
      <c r="F254" s="718" t="s">
        <v>2007</v>
      </c>
      <c r="G254" s="718" t="s">
        <v>619</v>
      </c>
      <c r="H254" s="673"/>
      <c r="I254" s="672"/>
      <c r="J254" s="672"/>
      <c r="K254" s="672"/>
      <c r="L254" s="149" t="str">
        <f t="shared" si="15"/>
        <v>423G</v>
      </c>
      <c r="M254" s="150" t="str">
        <f t="shared" si="16"/>
        <v>VTES -VTE - X3 XDR M40I</v>
      </c>
      <c r="N254" s="151">
        <f>+IF(OR($Q254=Parametres!$G$2,$Q254=Parametres!$G$3),I254,C254)</f>
        <v>-355284</v>
      </c>
      <c r="O254" s="504">
        <f>+IF(OR($Q254=Parametres!$G$2,$Q254=Parametres!$G$3),J254,D254)</f>
        <v>0</v>
      </c>
      <c r="P254" s="151">
        <f>+IF(OR($Q254=Parametres!$G$2,$Q254=Parametres!$G$3),K254,E254)</f>
        <v>-355284</v>
      </c>
      <c r="Q254" s="150" t="str">
        <f t="shared" si="17"/>
        <v>5-Ventes</v>
      </c>
      <c r="R254" s="149" t="str">
        <f t="shared" si="18"/>
        <v>423G</v>
      </c>
      <c r="S254" s="150">
        <f t="shared" si="19"/>
        <v>0</v>
      </c>
      <c r="T254" s="152" t="str">
        <f>+VLOOKUP($L254,Data_Validation!$A:$D,1,0)</f>
        <v>423G</v>
      </c>
      <c r="U254" s="152" t="str">
        <f>+VLOOKUP($L254,Data_Validation!$A:$D,3,0)</f>
        <v>Véhicules neufs</v>
      </c>
      <c r="V254" s="152" t="str">
        <f>+VLOOKUP($L254,Data_Validation!$A:$D,4,0)</f>
        <v>Camions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2344</v>
      </c>
      <c r="B255" s="718" t="s">
        <v>2345</v>
      </c>
      <c r="C255" s="720">
        <v>-345515.77</v>
      </c>
      <c r="D255" s="720">
        <v>0</v>
      </c>
      <c r="E255" s="720">
        <v>-345515.77</v>
      </c>
      <c r="F255" s="718" t="s">
        <v>2007</v>
      </c>
      <c r="G255" s="718" t="s">
        <v>2345</v>
      </c>
      <c r="H255" s="673"/>
      <c r="I255" s="672"/>
      <c r="J255" s="672"/>
      <c r="K255" s="672"/>
      <c r="L255" s="149" t="str">
        <f t="shared" si="15"/>
        <v>403I</v>
      </c>
      <c r="M255" s="150" t="str">
        <f t="shared" si="16"/>
        <v>VTES -i4 M50i XDRIVE GRAN COUPE</v>
      </c>
      <c r="N255" s="151">
        <f>+IF(OR($Q255=Parametres!$G$2,$Q255=Parametres!$G$3),I255,C255)</f>
        <v>-345515.77</v>
      </c>
      <c r="O255" s="151">
        <f>+IF(OR($Q255=Parametres!$G$2,$Q255=Parametres!$G$3),J255,D255)</f>
        <v>0</v>
      </c>
      <c r="P255" s="151">
        <f>+IF(OR($Q255=Parametres!$G$2,$Q255=Parametres!$G$3),K255,E255)</f>
        <v>-345515.77</v>
      </c>
      <c r="Q255" s="150" t="str">
        <f t="shared" si="17"/>
        <v>5-Ventes</v>
      </c>
      <c r="R255" s="149" t="str">
        <f t="shared" si="18"/>
        <v>403I</v>
      </c>
      <c r="S255" s="150">
        <f t="shared" si="19"/>
        <v>0</v>
      </c>
      <c r="T255" s="152" t="str">
        <f>+VLOOKUP($L255,Data_Validation!$A:$D,1,0)</f>
        <v>403I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1135</v>
      </c>
      <c r="B256" s="718" t="s">
        <v>429</v>
      </c>
      <c r="C256" s="720">
        <v>-335435.75</v>
      </c>
      <c r="D256" s="720">
        <v>-38802.400000000001</v>
      </c>
      <c r="E256" s="720">
        <v>-374238.15</v>
      </c>
      <c r="F256" s="718" t="s">
        <v>2007</v>
      </c>
      <c r="G256" s="718" t="s">
        <v>1120</v>
      </c>
      <c r="H256" s="666"/>
      <c r="I256" s="665"/>
      <c r="J256" s="665"/>
      <c r="K256" s="665"/>
      <c r="L256" s="149" t="str">
        <f t="shared" si="15"/>
        <v>470B</v>
      </c>
      <c r="M256" s="150" t="str">
        <f t="shared" si="16"/>
        <v>VTE - PIECES BT CLIENT BMW CAMION</v>
      </c>
      <c r="N256" s="151">
        <f>+IF(OR($Q256=Parametres!$G$2,$Q256=Parametres!$G$3),I256,C256)</f>
        <v>-335435.75</v>
      </c>
      <c r="O256" s="151">
        <f>+IF(OR($Q256=Parametres!$G$2,$Q256=Parametres!$G$3),J256,D256)</f>
        <v>-38802.400000000001</v>
      </c>
      <c r="P256" s="151">
        <f>+IF(OR($Q256=Parametres!$G$2,$Q256=Parametres!$G$3),K256,E256)</f>
        <v>-374238.15</v>
      </c>
      <c r="Q256" s="150" t="str">
        <f t="shared" si="17"/>
        <v>5-Ventes</v>
      </c>
      <c r="R256" s="149" t="str">
        <f t="shared" si="18"/>
        <v>470A</v>
      </c>
      <c r="S256" s="150">
        <f t="shared" si="19"/>
        <v>0</v>
      </c>
      <c r="T256" s="152" t="str">
        <f>+VLOOKUP($L256,Data_Validation!$A:$D,1,0)</f>
        <v>470B</v>
      </c>
      <c r="U256" s="152" t="str">
        <f>+VLOOKUP($L256,Data_Validation!$A:$D,3,0)</f>
        <v>Pièces</v>
      </c>
      <c r="V256" s="152" t="str">
        <f>+VLOOKUP($L256,Data_Validation!$A:$D,4,0)</f>
        <v>Pièces Ro Clients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1383</v>
      </c>
      <c r="B257" s="718" t="s">
        <v>423</v>
      </c>
      <c r="C257" s="719">
        <v>-325348.8</v>
      </c>
      <c r="D257" s="719">
        <v>-125450.2</v>
      </c>
      <c r="E257" s="719">
        <v>-450799</v>
      </c>
      <c r="F257" s="718" t="s">
        <v>2007</v>
      </c>
      <c r="G257" s="718" t="s">
        <v>423</v>
      </c>
      <c r="H257" s="719"/>
      <c r="I257" s="720"/>
      <c r="J257" s="720"/>
      <c r="K257" s="720"/>
      <c r="L257" s="149" t="str">
        <f t="shared" si="15"/>
        <v>419</v>
      </c>
      <c r="M257" s="150" t="str">
        <f t="shared" si="16"/>
        <v>VTE - FLEET VOITURE BMW</v>
      </c>
      <c r="N257" s="151">
        <f>+IF(OR($Q257=Parametres!$G$2,$Q257=Parametres!$G$3),I257,C257)</f>
        <v>-325348.8</v>
      </c>
      <c r="O257" s="151">
        <f>+IF(OR($Q257=Parametres!$G$2,$Q257=Parametres!$G$3),J257,D257)</f>
        <v>-125450.2</v>
      </c>
      <c r="P257" s="151">
        <f>+IF(OR($Q257=Parametres!$G$2,$Q257=Parametres!$G$3),K257,E257)</f>
        <v>-450799</v>
      </c>
      <c r="Q257" s="150" t="str">
        <f t="shared" si="17"/>
        <v>5-Ventes</v>
      </c>
      <c r="R257" s="149" t="str">
        <f t="shared" si="18"/>
        <v>419</v>
      </c>
      <c r="S257" s="150">
        <f t="shared" si="19"/>
        <v>0</v>
      </c>
      <c r="T257" s="152" t="str">
        <f>+VLOOKUP($L257,Data_Validation!$A:$D,1,0)</f>
        <v>419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2342</v>
      </c>
      <c r="B258" s="718" t="s">
        <v>2343</v>
      </c>
      <c r="C258" s="720">
        <v>-323316.75</v>
      </c>
      <c r="D258" s="720">
        <v>0</v>
      </c>
      <c r="E258" s="720">
        <v>-323316.75</v>
      </c>
      <c r="F258" s="718" t="s">
        <v>2007</v>
      </c>
      <c r="G258" s="718" t="s">
        <v>2343</v>
      </c>
      <c r="H258" s="673"/>
      <c r="I258" s="672"/>
      <c r="J258" s="672"/>
      <c r="K258" s="672"/>
      <c r="L258" s="149" t="str">
        <f t="shared" ref="L258:L321" si="20">+B258</f>
        <v>402B</v>
      </c>
      <c r="M258" s="150" t="str">
        <f t="shared" ref="M258:M321" si="21">+A258</f>
        <v>VTES -VTE - IX XDRIVE 50</v>
      </c>
      <c r="N258" s="151">
        <f>+IF(OR($Q258=Parametres!$G$2,$Q258=Parametres!$G$3),I258,C258)</f>
        <v>-323316.75</v>
      </c>
      <c r="O258" s="151">
        <f>+IF(OR($Q258=Parametres!$G$2,$Q258=Parametres!$G$3),J258,D258)</f>
        <v>0</v>
      </c>
      <c r="P258" s="151">
        <f>+IF(OR($Q258=Parametres!$G$2,$Q258=Parametres!$G$3),K258,E258)</f>
        <v>-323316.75</v>
      </c>
      <c r="Q258" s="150" t="str">
        <f t="shared" ref="Q258:Q321" si="22">+F258</f>
        <v>5-Ventes</v>
      </c>
      <c r="R258" s="149" t="str">
        <f t="shared" ref="R258:R321" si="23">+G258</f>
        <v>402B</v>
      </c>
      <c r="S258" s="150">
        <f t="shared" ref="S258:S321" si="24">+H258</f>
        <v>0</v>
      </c>
      <c r="T258" s="152" t="str">
        <f>+VLOOKUP($L258,Data_Validation!$A:$D,1,0)</f>
        <v>402B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2520</v>
      </c>
      <c r="B259" s="718" t="s">
        <v>2521</v>
      </c>
      <c r="C259" s="720">
        <v>-309378.09999999998</v>
      </c>
      <c r="D259" s="720">
        <v>0</v>
      </c>
      <c r="E259" s="720">
        <v>-309378.09999999998</v>
      </c>
      <c r="F259" s="718" t="s">
        <v>2007</v>
      </c>
      <c r="G259" s="718" t="s">
        <v>2521</v>
      </c>
      <c r="H259" s="673"/>
      <c r="I259" s="672"/>
      <c r="J259" s="672"/>
      <c r="K259" s="672"/>
      <c r="L259" s="149" t="str">
        <f t="shared" si="20"/>
        <v>480C</v>
      </c>
      <c r="M259" s="150" t="str">
        <f t="shared" si="21"/>
        <v>VTES -VTE - X7 M60i</v>
      </c>
      <c r="N259" s="151">
        <f>+IF(OR($Q259=Parametres!$G$2,$Q259=Parametres!$G$3),I259,C259)</f>
        <v>-309378.09999999998</v>
      </c>
      <c r="O259" s="151">
        <f>+IF(OR($Q259=Parametres!$G$2,$Q259=Parametres!$G$3),J259,D259)</f>
        <v>0</v>
      </c>
      <c r="P259" s="151">
        <f>+IF(OR($Q259=Parametres!$G$2,$Q259=Parametres!$G$3),K259,E259)</f>
        <v>-309378.09999999998</v>
      </c>
      <c r="Q259" s="150" t="str">
        <f t="shared" si="22"/>
        <v>5-Ventes</v>
      </c>
      <c r="R259" s="149" t="str">
        <f t="shared" si="23"/>
        <v>480C</v>
      </c>
      <c r="S259" s="150">
        <f t="shared" si="24"/>
        <v>0</v>
      </c>
      <c r="T259" s="152" t="str">
        <f>+VLOOKUP($L259,Data_Validation!$A:$D,1,0)</f>
        <v>480C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1129</v>
      </c>
      <c r="B260" s="718" t="s">
        <v>415</v>
      </c>
      <c r="C260" s="720">
        <v>-299103.69</v>
      </c>
      <c r="D260" s="720">
        <v>-55730.45</v>
      </c>
      <c r="E260" s="720">
        <v>-354834.14</v>
      </c>
      <c r="F260" s="718" t="s">
        <v>2007</v>
      </c>
      <c r="G260" s="718" t="s">
        <v>1116</v>
      </c>
      <c r="H260" s="666"/>
      <c r="I260" s="665"/>
      <c r="J260" s="665"/>
      <c r="K260" s="665"/>
      <c r="L260" s="149" t="str">
        <f t="shared" si="20"/>
        <v>460B</v>
      </c>
      <c r="M260" s="150" t="str">
        <f t="shared" si="21"/>
        <v>VTE - M/O CLIENT BMW CAMION</v>
      </c>
      <c r="N260" s="151">
        <f>+IF(OR($Q260=Parametres!$G$2,$Q260=Parametres!$G$3),I260,C260)</f>
        <v>-299103.69</v>
      </c>
      <c r="O260" s="151">
        <f>+IF(OR($Q260=Parametres!$G$2,$Q260=Parametres!$G$3),J260,D260)</f>
        <v>-55730.45</v>
      </c>
      <c r="P260" s="151">
        <f>+IF(OR($Q260=Parametres!$G$2,$Q260=Parametres!$G$3),K260,E260)</f>
        <v>-354834.14</v>
      </c>
      <c r="Q260" s="150" t="str">
        <f t="shared" si="22"/>
        <v>5-Ventes</v>
      </c>
      <c r="R260" s="149" t="str">
        <f t="shared" si="23"/>
        <v>460A</v>
      </c>
      <c r="S260" s="150">
        <f t="shared" si="24"/>
        <v>0</v>
      </c>
      <c r="T260" s="152" t="str">
        <f>+VLOOKUP($L260,Data_Validation!$A:$D,1,0)</f>
        <v>460B</v>
      </c>
      <c r="U260" s="152" t="str">
        <f>+VLOOKUP($L260,Data_Validation!$A:$D,3,0)</f>
        <v>service</v>
      </c>
      <c r="V260" s="152" t="str">
        <f>+VLOOKUP($L260,Data_Validation!$A:$D,4,0)</f>
        <v>M/O Client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1925</v>
      </c>
      <c r="B261" s="718" t="s">
        <v>1926</v>
      </c>
      <c r="C261" s="720">
        <v>-295643.12</v>
      </c>
      <c r="D261" s="720">
        <v>0</v>
      </c>
      <c r="E261" s="720">
        <v>-295643.12</v>
      </c>
      <c r="F261" s="718" t="s">
        <v>2007</v>
      </c>
      <c r="G261" s="718" t="s">
        <v>1926</v>
      </c>
      <c r="H261" s="673"/>
      <c r="I261" s="672"/>
      <c r="J261" s="672"/>
      <c r="K261" s="672"/>
      <c r="L261" s="149" t="str">
        <f t="shared" si="20"/>
        <v>411H</v>
      </c>
      <c r="M261" s="150" t="str">
        <f t="shared" si="21"/>
        <v>330E XDRIVE BERLINE</v>
      </c>
      <c r="N261" s="151">
        <f>+IF(OR($Q261=Parametres!$G$2,$Q261=Parametres!$G$3),I261,C261)</f>
        <v>-295643.12</v>
      </c>
      <c r="O261" s="151">
        <f>+IF(OR($Q261=Parametres!$G$2,$Q261=Parametres!$G$3),J261,D261)</f>
        <v>0</v>
      </c>
      <c r="P261" s="151">
        <f>+IF(OR($Q261=Parametres!$G$2,$Q261=Parametres!$G$3),K261,E261)</f>
        <v>-295643.12</v>
      </c>
      <c r="Q261" s="150" t="str">
        <f t="shared" si="22"/>
        <v>5-Ventes</v>
      </c>
      <c r="R261" s="149" t="str">
        <f t="shared" si="23"/>
        <v>411H</v>
      </c>
      <c r="S261" s="150">
        <f t="shared" si="24"/>
        <v>0</v>
      </c>
      <c r="T261" s="152" t="str">
        <f>+VLOOKUP($L261,Data_Validation!$A:$D,1,0)</f>
        <v>411H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1099</v>
      </c>
      <c r="B262" s="671" t="s">
        <v>465</v>
      </c>
      <c r="C262" s="672">
        <v>-280396.01</v>
      </c>
      <c r="D262" s="672">
        <v>-31922.31</v>
      </c>
      <c r="E262" s="672">
        <v>-312318.32</v>
      </c>
      <c r="F262" s="671" t="s">
        <v>2007</v>
      </c>
      <c r="G262" s="671" t="s">
        <v>1096</v>
      </c>
      <c r="H262" s="666"/>
      <c r="I262" s="665"/>
      <c r="J262" s="665"/>
      <c r="K262" s="665"/>
      <c r="L262" s="149" t="str">
        <f t="shared" si="20"/>
        <v>472B</v>
      </c>
      <c r="M262" s="150" t="str">
        <f t="shared" si="21"/>
        <v>VTE - PIECES GARANTIE BMW CAMION</v>
      </c>
      <c r="N262" s="151">
        <f>+IF(OR($Q262=Parametres!$G$2,$Q262=Parametres!$G$3),I262,C262)</f>
        <v>-280396.01</v>
      </c>
      <c r="O262" s="151">
        <f>+IF(OR($Q262=Parametres!$G$2,$Q262=Parametres!$G$3),J262,D262)</f>
        <v>-31922.31</v>
      </c>
      <c r="P262" s="151">
        <f>+IF(OR($Q262=Parametres!$G$2,$Q262=Parametres!$G$3),K262,E262)</f>
        <v>-312318.32</v>
      </c>
      <c r="Q262" s="150" t="str">
        <f t="shared" si="22"/>
        <v>5-Ventes</v>
      </c>
      <c r="R262" s="149" t="str">
        <f t="shared" si="23"/>
        <v>472A</v>
      </c>
      <c r="S262" s="150">
        <f t="shared" si="24"/>
        <v>0</v>
      </c>
      <c r="T262" s="152" t="str">
        <f>+VLOOKUP($L262,Data_Validation!$A:$D,1,0)</f>
        <v>472B</v>
      </c>
      <c r="U262" s="152" t="str">
        <f>+VLOOKUP($L262,Data_Validation!$A:$D,3,0)</f>
        <v>pièces</v>
      </c>
      <c r="V262" s="152" t="str">
        <f>+VLOOKUP($L262,Data_Validation!$A:$D,4,0)</f>
        <v>P/A Garantie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1412</v>
      </c>
      <c r="B263" s="718" t="s">
        <v>637</v>
      </c>
      <c r="C263" s="720">
        <v>-273292.68</v>
      </c>
      <c r="D263" s="720">
        <v>-121933.5</v>
      </c>
      <c r="E263" s="720">
        <v>-395226.18</v>
      </c>
      <c r="F263" s="718" t="s">
        <v>2007</v>
      </c>
      <c r="G263" s="718" t="s">
        <v>637</v>
      </c>
      <c r="H263" s="673"/>
      <c r="I263" s="672"/>
      <c r="J263" s="672"/>
      <c r="K263" s="672"/>
      <c r="L263" s="149" t="str">
        <f t="shared" si="20"/>
        <v>480</v>
      </c>
      <c r="M263" s="150" t="str">
        <f t="shared" si="21"/>
        <v>VTES -VTES - X7 XDR 40I</v>
      </c>
      <c r="N263" s="151">
        <f>+IF(OR($Q263=Parametres!$G$2,$Q263=Parametres!$G$3),I263,C263)</f>
        <v>-273292.68</v>
      </c>
      <c r="O263" s="151">
        <f>+IF(OR($Q263=Parametres!$G$2,$Q263=Parametres!$G$3),J263,D263)</f>
        <v>-121933.5</v>
      </c>
      <c r="P263" s="151">
        <f>+IF(OR($Q263=Parametres!$G$2,$Q263=Parametres!$G$3),K263,E263)</f>
        <v>-395226.18</v>
      </c>
      <c r="Q263" s="150" t="str">
        <f t="shared" si="22"/>
        <v>5-Ventes</v>
      </c>
      <c r="R263" s="149" t="str">
        <f t="shared" si="23"/>
        <v>480</v>
      </c>
      <c r="S263" s="150">
        <f t="shared" si="24"/>
        <v>0</v>
      </c>
      <c r="T263" s="152" t="str">
        <f>+VLOOKUP($L263,Data_Validation!$A:$D,1,0)</f>
        <v>480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1115</v>
      </c>
      <c r="B264" s="718" t="s">
        <v>1116</v>
      </c>
      <c r="C264" s="719">
        <v>-253831.75</v>
      </c>
      <c r="D264" s="719">
        <v>-39315.910000000003</v>
      </c>
      <c r="E264" s="719">
        <v>-293147.65999999997</v>
      </c>
      <c r="F264" s="718" t="s">
        <v>2007</v>
      </c>
      <c r="G264" s="718" t="s">
        <v>1116</v>
      </c>
      <c r="H264" s="719"/>
      <c r="I264" s="720"/>
      <c r="J264" s="720"/>
      <c r="K264" s="720"/>
      <c r="L264" s="149" t="str">
        <f t="shared" si="20"/>
        <v>460A</v>
      </c>
      <c r="M264" s="150" t="str">
        <f t="shared" si="21"/>
        <v>VTE - M/O CLIENT BMW AUTO</v>
      </c>
      <c r="N264" s="151">
        <f>+IF(OR($Q264=Parametres!$G$2,$Q264=Parametres!$G$3),I264,C264)</f>
        <v>-253831.75</v>
      </c>
      <c r="O264" s="151">
        <f>+IF(OR($Q264=Parametres!$G$2,$Q264=Parametres!$G$3),J264,D264)</f>
        <v>-39315.910000000003</v>
      </c>
      <c r="P264" s="151">
        <f>+IF(OR($Q264=Parametres!$G$2,$Q264=Parametres!$G$3),K264,E264)</f>
        <v>-293147.65999999997</v>
      </c>
      <c r="Q264" s="150" t="str">
        <f t="shared" si="22"/>
        <v>5-Ventes</v>
      </c>
      <c r="R264" s="149" t="str">
        <f t="shared" si="23"/>
        <v>460A</v>
      </c>
      <c r="S264" s="150">
        <f t="shared" si="24"/>
        <v>0</v>
      </c>
      <c r="T264" s="152" t="str">
        <f>+VLOOKUP($L264,Data_Validation!$A:$D,1,0)</f>
        <v>460A</v>
      </c>
      <c r="U264" s="152" t="str">
        <f>+VLOOKUP($L264,Data_Validation!$A:$D,3,0)</f>
        <v>service</v>
      </c>
      <c r="V264" s="152" t="str">
        <f>+VLOOKUP($L264,Data_Validation!$A:$D,4,0)</f>
        <v>M/O Client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2855</v>
      </c>
      <c r="B265" s="718" t="s">
        <v>2856</v>
      </c>
      <c r="C265" s="720">
        <v>-246468.25</v>
      </c>
      <c r="D265" s="720">
        <v>0</v>
      </c>
      <c r="E265" s="720">
        <v>-246468.25</v>
      </c>
      <c r="F265" s="718" t="s">
        <v>2007</v>
      </c>
      <c r="G265" s="718" t="s">
        <v>2523</v>
      </c>
      <c r="H265" s="666"/>
      <c r="I265" s="665"/>
      <c r="J265" s="665"/>
      <c r="K265" s="665"/>
      <c r="L265" s="149" t="str">
        <f t="shared" si="20"/>
        <v>481A</v>
      </c>
      <c r="M265" s="150" t="str">
        <f t="shared" si="21"/>
        <v>XM LABEL</v>
      </c>
      <c r="N265" s="151">
        <f>+IF(OR($Q265=Parametres!$G$2,$Q265=Parametres!$G$3),I265,C265)</f>
        <v>-246468.25</v>
      </c>
      <c r="O265" s="151">
        <f>+IF(OR($Q265=Parametres!$G$2,$Q265=Parametres!$G$3),J265,D265)</f>
        <v>0</v>
      </c>
      <c r="P265" s="151">
        <f>+IF(OR($Q265=Parametres!$G$2,$Q265=Parametres!$G$3),K265,E265)</f>
        <v>-246468.25</v>
      </c>
      <c r="Q265" s="150" t="str">
        <f t="shared" si="22"/>
        <v>5-Ventes</v>
      </c>
      <c r="R265" s="149" t="str">
        <f t="shared" si="23"/>
        <v>481</v>
      </c>
      <c r="S265" s="150">
        <f t="shared" si="24"/>
        <v>0</v>
      </c>
      <c r="T265" s="152" t="str">
        <f>+VLOOKUP($L265,Data_Validation!$A:$D,1,0)</f>
        <v>481A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1983</v>
      </c>
      <c r="B266" s="718" t="s">
        <v>1984</v>
      </c>
      <c r="C266" s="720">
        <v>-242245.5</v>
      </c>
      <c r="D266" s="720">
        <v>-84423.5</v>
      </c>
      <c r="E266" s="720">
        <v>-326669</v>
      </c>
      <c r="F266" s="718" t="s">
        <v>2007</v>
      </c>
      <c r="G266" s="718" t="s">
        <v>1984</v>
      </c>
      <c r="H266" s="673"/>
      <c r="I266" s="673"/>
      <c r="J266" s="673"/>
      <c r="K266" s="673"/>
      <c r="L266" s="149" t="str">
        <f t="shared" si="20"/>
        <v>405K</v>
      </c>
      <c r="M266" s="150" t="str">
        <f t="shared" si="21"/>
        <v>VTES -M440I XDR COUPE</v>
      </c>
      <c r="N266" s="151">
        <f>+IF(OR($Q266=Parametres!$G$2,$Q266=Parametres!$G$3),I266,C266)</f>
        <v>-242245.5</v>
      </c>
      <c r="O266" s="504">
        <f>+IF(OR($Q266=Parametres!$G$2,$Q266=Parametres!$G$3),J266,D266)</f>
        <v>-84423.5</v>
      </c>
      <c r="P266" s="151">
        <f>+IF(OR($Q266=Parametres!$G$2,$Q266=Parametres!$G$3),K266,E266)</f>
        <v>-326669</v>
      </c>
      <c r="Q266" s="150" t="str">
        <f t="shared" si="22"/>
        <v>5-Ventes</v>
      </c>
      <c r="R266" s="149" t="str">
        <f t="shared" si="23"/>
        <v>405K</v>
      </c>
      <c r="S266" s="150">
        <f t="shared" si="24"/>
        <v>0</v>
      </c>
      <c r="T266" s="152" t="str">
        <f>+VLOOKUP($L266,Data_Validation!$A:$D,1,0)</f>
        <v>405K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2522</v>
      </c>
      <c r="B267" s="718" t="s">
        <v>2523</v>
      </c>
      <c r="C267" s="720">
        <v>-237027.97</v>
      </c>
      <c r="D267" s="720">
        <v>0</v>
      </c>
      <c r="E267" s="720">
        <v>-237027.97</v>
      </c>
      <c r="F267" s="718" t="s">
        <v>2007</v>
      </c>
      <c r="G267" s="718" t="s">
        <v>2523</v>
      </c>
      <c r="H267" s="673"/>
      <c r="I267" s="672"/>
      <c r="J267" s="672"/>
      <c r="K267" s="672"/>
      <c r="L267" s="149" t="str">
        <f t="shared" si="20"/>
        <v>481</v>
      </c>
      <c r="M267" s="150" t="str">
        <f t="shared" si="21"/>
        <v>XM</v>
      </c>
      <c r="N267" s="151">
        <f>+IF(OR($Q267=Parametres!$G$2,$Q267=Parametres!$G$3),I267,C267)</f>
        <v>-237027.97</v>
      </c>
      <c r="O267" s="151">
        <f>+IF(OR($Q267=Parametres!$G$2,$Q267=Parametres!$G$3),J267,D267)</f>
        <v>0</v>
      </c>
      <c r="P267" s="151">
        <f>+IF(OR($Q267=Parametres!$G$2,$Q267=Parametres!$G$3),K267,E267)</f>
        <v>-237027.97</v>
      </c>
      <c r="Q267" s="150" t="str">
        <f t="shared" si="22"/>
        <v>5-Ventes</v>
      </c>
      <c r="R267" s="149" t="str">
        <f t="shared" si="23"/>
        <v>481</v>
      </c>
      <c r="S267" s="150">
        <f t="shared" si="24"/>
        <v>0</v>
      </c>
      <c r="T267" s="152" t="str">
        <f>+VLOOKUP($L267,Data_Validation!$A:$D,1,0)</f>
        <v>481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2553</v>
      </c>
      <c r="B268" s="718" t="s">
        <v>2554</v>
      </c>
      <c r="C268" s="720">
        <v>-235967</v>
      </c>
      <c r="D268" s="720">
        <v>-140902.78</v>
      </c>
      <c r="E268" s="720">
        <v>-376869.78</v>
      </c>
      <c r="F268" s="718" t="s">
        <v>2007</v>
      </c>
      <c r="G268" s="718" t="s">
        <v>2554</v>
      </c>
      <c r="H268" s="673"/>
      <c r="I268" s="673"/>
      <c r="J268" s="673"/>
      <c r="K268" s="673"/>
      <c r="L268" s="149" t="str">
        <f t="shared" si="20"/>
        <v>422C</v>
      </c>
      <c r="M268" s="150" t="str">
        <f t="shared" si="21"/>
        <v>VTES -VTE - X6 M60i</v>
      </c>
      <c r="N268" s="151">
        <f>+IF(OR($Q268=Parametres!$G$2,$Q268=Parametres!$G$3),I268,C268)</f>
        <v>-235967</v>
      </c>
      <c r="O268" s="151">
        <f>+IF(OR($Q268=Parametres!$G$2,$Q268=Parametres!$G$3),J268,D268)</f>
        <v>-140902.78</v>
      </c>
      <c r="P268" s="151">
        <f>+IF(OR($Q268=Parametres!$G$2,$Q268=Parametres!$G$3),K268,E268)</f>
        <v>-376869.78</v>
      </c>
      <c r="Q268" s="150" t="str">
        <f t="shared" si="22"/>
        <v>5-Ventes</v>
      </c>
      <c r="R268" s="149" t="str">
        <f t="shared" si="23"/>
        <v>422C</v>
      </c>
      <c r="S268" s="150">
        <f t="shared" si="24"/>
        <v>0</v>
      </c>
      <c r="T268" s="152" t="str">
        <f>+VLOOKUP($L268,Data_Validation!$A:$D,1,0)</f>
        <v>422C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2030</v>
      </c>
      <c r="B269" s="718" t="s">
        <v>2031</v>
      </c>
      <c r="C269" s="720">
        <v>-228058.86</v>
      </c>
      <c r="D269" s="720">
        <v>0</v>
      </c>
      <c r="E269" s="720">
        <v>-228058.86</v>
      </c>
      <c r="F269" s="718" t="s">
        <v>2007</v>
      </c>
      <c r="G269" s="718" t="s">
        <v>2031</v>
      </c>
      <c r="H269" s="673"/>
      <c r="I269" s="672"/>
      <c r="J269" s="672"/>
      <c r="K269" s="672"/>
      <c r="L269" s="149" t="str">
        <f t="shared" si="20"/>
        <v>407C</v>
      </c>
      <c r="M269" s="150" t="str">
        <f t="shared" si="21"/>
        <v>VTES -M3 COMPETITION</v>
      </c>
      <c r="N269" s="151">
        <f>+IF(OR($Q269=Parametres!$G$2,$Q269=Parametres!$G$3),I269,C269)</f>
        <v>-228058.86</v>
      </c>
      <c r="O269" s="151">
        <f>+IF(OR($Q269=Parametres!$G$2,$Q269=Parametres!$G$3),J269,D269)</f>
        <v>0</v>
      </c>
      <c r="P269" s="151">
        <f>+IF(OR($Q269=Parametres!$G$2,$Q269=Parametres!$G$3),K269,E269)</f>
        <v>-228058.86</v>
      </c>
      <c r="Q269" s="150" t="str">
        <f t="shared" si="22"/>
        <v>5-Ventes</v>
      </c>
      <c r="R269" s="149" t="str">
        <f t="shared" si="23"/>
        <v>407C</v>
      </c>
      <c r="S269" s="150">
        <f t="shared" si="24"/>
        <v>0</v>
      </c>
      <c r="T269" s="152" t="str">
        <f>+VLOOKUP($L269,Data_Validation!$A:$D,1,0)</f>
        <v>407C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2532</v>
      </c>
      <c r="B270" s="718" t="s">
        <v>2533</v>
      </c>
      <c r="C270" s="719">
        <v>-227978.65</v>
      </c>
      <c r="D270" s="719">
        <v>-111865.45</v>
      </c>
      <c r="E270" s="719">
        <v>-339844.1</v>
      </c>
      <c r="F270" s="718" t="s">
        <v>2007</v>
      </c>
      <c r="G270" s="718" t="s">
        <v>2533</v>
      </c>
      <c r="H270" s="719"/>
      <c r="I270" s="720"/>
      <c r="J270" s="720"/>
      <c r="K270" s="720"/>
      <c r="L270" s="149" t="str">
        <f t="shared" si="20"/>
        <v>424E</v>
      </c>
      <c r="M270" s="150" t="str">
        <f t="shared" si="21"/>
        <v>VTES -VTE - i5 M60 xDRIVE</v>
      </c>
      <c r="N270" s="151">
        <f>+IF(OR($Q270=Parametres!$G$2,$Q270=Parametres!$G$3),I270,C270)</f>
        <v>-227978.65</v>
      </c>
      <c r="O270" s="151">
        <f>+IF(OR($Q270=Parametres!$G$2,$Q270=Parametres!$G$3),J270,D270)</f>
        <v>-111865.45</v>
      </c>
      <c r="P270" s="151">
        <f>+IF(OR($Q270=Parametres!$G$2,$Q270=Parametres!$G$3),K270,E270)</f>
        <v>-339844.1</v>
      </c>
      <c r="Q270" s="150" t="str">
        <f t="shared" si="22"/>
        <v>5-Ventes</v>
      </c>
      <c r="R270" s="149" t="str">
        <f t="shared" si="23"/>
        <v>424E</v>
      </c>
      <c r="S270" s="150">
        <f t="shared" si="24"/>
        <v>0</v>
      </c>
      <c r="T270" s="152" t="str">
        <f>+VLOOKUP($L270,Data_Validation!$A:$D,1,0)</f>
        <v>424E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1385</v>
      </c>
      <c r="B271" s="718" t="s">
        <v>419</v>
      </c>
      <c r="C271" s="719">
        <v>-227426</v>
      </c>
      <c r="D271" s="719">
        <v>-224586.34</v>
      </c>
      <c r="E271" s="719">
        <v>-452012.34</v>
      </c>
      <c r="F271" s="718" t="s">
        <v>2007</v>
      </c>
      <c r="G271" s="718" t="s">
        <v>419</v>
      </c>
      <c r="H271" s="719"/>
      <c r="I271" s="720"/>
      <c r="J271" s="720"/>
      <c r="K271" s="720"/>
      <c r="L271" s="149" t="str">
        <f t="shared" si="20"/>
        <v>422A</v>
      </c>
      <c r="M271" s="150" t="str">
        <f t="shared" si="21"/>
        <v>VTE - X6 XDRIVE 35I</v>
      </c>
      <c r="N271" s="151">
        <f>+IF(OR($Q271=Parametres!$G$2,$Q271=Parametres!$G$3),I271,C271)</f>
        <v>-227426</v>
      </c>
      <c r="O271" s="151">
        <f>+IF(OR($Q271=Parametres!$G$2,$Q271=Parametres!$G$3),J271,D271)</f>
        <v>-224586.34</v>
      </c>
      <c r="P271" s="151">
        <f>+IF(OR($Q271=Parametres!$G$2,$Q271=Parametres!$G$3),K271,E271)</f>
        <v>-452012.34</v>
      </c>
      <c r="Q271" s="150" t="str">
        <f t="shared" si="22"/>
        <v>5-Ventes</v>
      </c>
      <c r="R271" s="149" t="str">
        <f t="shared" si="23"/>
        <v>422A</v>
      </c>
      <c r="S271" s="150">
        <f t="shared" si="24"/>
        <v>0</v>
      </c>
      <c r="T271" s="152" t="str">
        <f>+VLOOKUP($L271,Data_Validation!$A:$D,1,0)</f>
        <v>422A</v>
      </c>
      <c r="U271" s="152" t="str">
        <f>+VLOOKUP($L271,Data_Validation!$A:$D,3,0)</f>
        <v>Véhicules neufs</v>
      </c>
      <c r="V271" s="152" t="str">
        <f>+VLOOKUP($L271,Data_Validation!$A:$D,4,0)</f>
        <v>Camions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2463</v>
      </c>
      <c r="B272" s="718" t="s">
        <v>624</v>
      </c>
      <c r="C272" s="720">
        <v>-222837.66</v>
      </c>
      <c r="D272" s="720">
        <v>0</v>
      </c>
      <c r="E272" s="720">
        <v>-222837.66</v>
      </c>
      <c r="F272" s="718" t="s">
        <v>2007</v>
      </c>
      <c r="G272" s="718" t="s">
        <v>624</v>
      </c>
      <c r="H272" s="673"/>
      <c r="I272" s="672"/>
      <c r="J272" s="672"/>
      <c r="K272" s="672"/>
      <c r="L272" s="149" t="str">
        <f t="shared" si="20"/>
        <v>429A</v>
      </c>
      <c r="M272" s="150" t="str">
        <f t="shared" si="21"/>
        <v>VTES -VTES -X4 XDRIVE 40I/ X4 XDRIVE 30I</v>
      </c>
      <c r="N272" s="151">
        <f>+IF(OR($Q272=Parametres!$G$2,$Q272=Parametres!$G$3),I272,C272)</f>
        <v>-222837.66</v>
      </c>
      <c r="O272" s="151">
        <f>+IF(OR($Q272=Parametres!$G$2,$Q272=Parametres!$G$3),J272,D272)</f>
        <v>0</v>
      </c>
      <c r="P272" s="151">
        <f>+IF(OR($Q272=Parametres!$G$2,$Q272=Parametres!$G$3),K272,E272)</f>
        <v>-222837.66</v>
      </c>
      <c r="Q272" s="150" t="str">
        <f t="shared" si="22"/>
        <v>5-Ventes</v>
      </c>
      <c r="R272" s="149" t="str">
        <f t="shared" si="23"/>
        <v>429A</v>
      </c>
      <c r="S272" s="150">
        <f t="shared" si="24"/>
        <v>0</v>
      </c>
      <c r="T272" s="152" t="str">
        <f>+VLOOKUP($L272,Data_Validation!$A:$D,1,0)</f>
        <v>429A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1119</v>
      </c>
      <c r="B273" s="718" t="s">
        <v>1120</v>
      </c>
      <c r="C273" s="719">
        <v>-221229.58</v>
      </c>
      <c r="D273" s="719">
        <v>-36156.76</v>
      </c>
      <c r="E273" s="719">
        <v>-257386.34</v>
      </c>
      <c r="F273" s="718" t="s">
        <v>2007</v>
      </c>
      <c r="G273" s="718" t="s">
        <v>1120</v>
      </c>
      <c r="H273" s="719"/>
      <c r="I273" s="720"/>
      <c r="J273" s="720"/>
      <c r="K273" s="720"/>
      <c r="L273" s="149" t="str">
        <f t="shared" si="20"/>
        <v>470A</v>
      </c>
      <c r="M273" s="150" t="str">
        <f t="shared" si="21"/>
        <v>VTE - PIECES BT CLIENT BMW AUTO</v>
      </c>
      <c r="N273" s="151">
        <f>+IF(OR($Q273=Parametres!$G$2,$Q273=Parametres!$G$3),I273,C273)</f>
        <v>-221229.58</v>
      </c>
      <c r="O273" s="151">
        <f>+IF(OR($Q273=Parametres!$G$2,$Q273=Parametres!$G$3),J273,D273)</f>
        <v>-36156.76</v>
      </c>
      <c r="P273" s="151">
        <f>+IF(OR($Q273=Parametres!$G$2,$Q273=Parametres!$G$3),K273,E273)</f>
        <v>-257386.34</v>
      </c>
      <c r="Q273" s="150" t="str">
        <f t="shared" si="22"/>
        <v>5-Ventes</v>
      </c>
      <c r="R273" s="149" t="str">
        <f t="shared" si="23"/>
        <v>470A</v>
      </c>
      <c r="S273" s="150">
        <f t="shared" si="24"/>
        <v>0</v>
      </c>
      <c r="T273" s="152" t="str">
        <f>+VLOOKUP($L273,Data_Validation!$A:$D,1,0)</f>
        <v>470A</v>
      </c>
      <c r="U273" s="152" t="str">
        <f>+VLOOKUP($L273,Data_Validation!$A:$D,3,0)</f>
        <v>Pièces</v>
      </c>
      <c r="V273" s="152" t="str">
        <f>+VLOOKUP($L273,Data_Validation!$A:$D,4,0)</f>
        <v>Pièces Ro Clients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1164</v>
      </c>
      <c r="B274" s="718" t="s">
        <v>1165</v>
      </c>
      <c r="C274" s="720">
        <v>-215055.88</v>
      </c>
      <c r="D274" s="720">
        <v>-49075</v>
      </c>
      <c r="E274" s="720">
        <v>-264130.88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20"/>
        <v>430E</v>
      </c>
      <c r="M274" s="150" t="str">
        <f t="shared" si="21"/>
        <v>VTE - PROTEC ESTHETIQUE NEUF BMW AUTO</v>
      </c>
      <c r="N274" s="151">
        <f>+IF(OR($Q274=Parametres!$G$2,$Q274=Parametres!$G$3),I274,C274)</f>
        <v>-215055.88</v>
      </c>
      <c r="O274" s="151">
        <f>+IF(OR($Q274=Parametres!$G$2,$Q274=Parametres!$G$3),J274,D274)</f>
        <v>-49075</v>
      </c>
      <c r="P274" s="151">
        <f>+IF(OR($Q274=Parametres!$G$2,$Q274=Parametres!$G$3),K274,E274)</f>
        <v>-264130.88</v>
      </c>
      <c r="Q274" s="150" t="str">
        <f t="shared" si="22"/>
        <v>5-Ventes</v>
      </c>
      <c r="R274" s="149" t="str">
        <f t="shared" si="23"/>
        <v>430</v>
      </c>
      <c r="S274" s="150">
        <f t="shared" si="24"/>
        <v>0</v>
      </c>
      <c r="T274" s="152" t="str">
        <f>+VLOOKUP($L274,Data_Validation!$A:$D,1,0)</f>
        <v>430E</v>
      </c>
      <c r="U274" s="152" t="str">
        <f>+VLOOKUP($L274,Data_Validation!$A:$D,3,0)</f>
        <v>Véhicules neufs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2530</v>
      </c>
      <c r="B275" s="671" t="s">
        <v>2531</v>
      </c>
      <c r="C275" s="672">
        <v>-214220.08</v>
      </c>
      <c r="D275" s="672">
        <v>-142788.41</v>
      </c>
      <c r="E275" s="672">
        <v>-357008.49</v>
      </c>
      <c r="F275" s="671" t="s">
        <v>2007</v>
      </c>
      <c r="G275" s="671" t="s">
        <v>2531</v>
      </c>
      <c r="H275" s="666"/>
      <c r="I275" s="665"/>
      <c r="J275" s="665"/>
      <c r="K275" s="665"/>
      <c r="L275" s="149" t="str">
        <f t="shared" si="20"/>
        <v>416A</v>
      </c>
      <c r="M275" s="150" t="str">
        <f t="shared" si="21"/>
        <v>VTES -VTE - X1 M35i xDRIVE</v>
      </c>
      <c r="N275" s="151">
        <f>+IF(OR($Q275=Parametres!$G$2,$Q275=Parametres!$G$3),I275,C275)</f>
        <v>-214220.08</v>
      </c>
      <c r="O275" s="151">
        <f>+IF(OR($Q275=Parametres!$G$2,$Q275=Parametres!$G$3),J275,D275)</f>
        <v>-142788.41</v>
      </c>
      <c r="P275" s="151">
        <f>+IF(OR($Q275=Parametres!$G$2,$Q275=Parametres!$G$3),K275,E275)</f>
        <v>-357008.49</v>
      </c>
      <c r="Q275" s="150" t="str">
        <f t="shared" si="22"/>
        <v>5-Ventes</v>
      </c>
      <c r="R275" s="149" t="str">
        <f t="shared" si="23"/>
        <v>416A</v>
      </c>
      <c r="S275" s="150">
        <f t="shared" si="24"/>
        <v>0</v>
      </c>
      <c r="T275" s="152" t="str">
        <f>+VLOOKUP($L275,Data_Validation!$A:$D,1,0)</f>
        <v>416A</v>
      </c>
      <c r="U275" s="152" t="str">
        <f>+VLOOKUP($L275,Data_Validation!$A:$D,3,0)</f>
        <v>Véhicules neufs</v>
      </c>
      <c r="V275" s="152" t="str">
        <f>+VLOOKUP($L275,Data_Validation!$A:$D,4,0)</f>
        <v>Camions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1375</v>
      </c>
      <c r="B276" s="718" t="s">
        <v>1376</v>
      </c>
      <c r="C276" s="720">
        <v>-181349.96</v>
      </c>
      <c r="D276" s="720">
        <v>0</v>
      </c>
      <c r="E276" s="720">
        <v>-181349.96</v>
      </c>
      <c r="F276" s="718" t="s">
        <v>2007</v>
      </c>
      <c r="G276" s="718" t="s">
        <v>1376</v>
      </c>
      <c r="H276" s="673"/>
      <c r="I276" s="672"/>
      <c r="J276" s="672"/>
      <c r="K276" s="672"/>
      <c r="L276" s="149" t="str">
        <f t="shared" si="20"/>
        <v>407A</v>
      </c>
      <c r="M276" s="150" t="str">
        <f t="shared" si="21"/>
        <v>VTE - M3 SEDAN</v>
      </c>
      <c r="N276" s="151">
        <f>+IF(OR($Q276=Parametres!$G$2,$Q276=Parametres!$G$3),I276,C276)</f>
        <v>-181349.96</v>
      </c>
      <c r="O276" s="151">
        <f>+IF(OR($Q276=Parametres!$G$2,$Q276=Parametres!$G$3),J276,D276)</f>
        <v>0</v>
      </c>
      <c r="P276" s="151">
        <f>+IF(OR($Q276=Parametres!$G$2,$Q276=Parametres!$G$3),K276,E276)</f>
        <v>-181349.96</v>
      </c>
      <c r="Q276" s="150" t="str">
        <f t="shared" si="22"/>
        <v>5-Ventes</v>
      </c>
      <c r="R276" s="149" t="str">
        <f t="shared" si="23"/>
        <v>407A</v>
      </c>
      <c r="S276" s="150">
        <f t="shared" si="24"/>
        <v>0</v>
      </c>
      <c r="T276" s="152" t="str">
        <f>+VLOOKUP($L276,Data_Validation!$A:$D,1,0)</f>
        <v>407A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1024</v>
      </c>
      <c r="B277" s="671" t="s">
        <v>407</v>
      </c>
      <c r="C277" s="672">
        <v>-180770</v>
      </c>
      <c r="D277" s="672">
        <v>0</v>
      </c>
      <c r="E277" s="672">
        <v>-180770</v>
      </c>
      <c r="F277" s="671" t="s">
        <v>2007</v>
      </c>
      <c r="G277" s="671" t="s">
        <v>407</v>
      </c>
      <c r="H277" s="666"/>
      <c r="I277" s="665"/>
      <c r="J277" s="665"/>
      <c r="K277" s="665"/>
      <c r="L277" s="149" t="str">
        <f t="shared" si="20"/>
        <v>429C</v>
      </c>
      <c r="M277" s="150" t="str">
        <f t="shared" si="21"/>
        <v>VTE - X4 M40I XDRIVE</v>
      </c>
      <c r="N277" s="151">
        <f>+IF(OR($Q277=Parametres!$G$2,$Q277=Parametres!$G$3),I277,C277)</f>
        <v>-180770</v>
      </c>
      <c r="O277" s="151">
        <f>+IF(OR($Q277=Parametres!$G$2,$Q277=Parametres!$G$3),J277,D277)</f>
        <v>0</v>
      </c>
      <c r="P277" s="151">
        <f>+IF(OR($Q277=Parametres!$G$2,$Q277=Parametres!$G$3),K277,E277)</f>
        <v>-180770</v>
      </c>
      <c r="Q277" s="150" t="str">
        <f t="shared" si="22"/>
        <v>5-Ventes</v>
      </c>
      <c r="R277" s="149" t="str">
        <f t="shared" si="23"/>
        <v>429C</v>
      </c>
      <c r="S277" s="150">
        <f t="shared" si="24"/>
        <v>0</v>
      </c>
      <c r="T277" s="152" t="str">
        <f>+VLOOKUP($L277,Data_Validation!$A:$D,1,0)</f>
        <v>429C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2874</v>
      </c>
      <c r="B278" s="671" t="s">
        <v>2875</v>
      </c>
      <c r="C278" s="672">
        <v>-169824</v>
      </c>
      <c r="D278" s="672">
        <v>0</v>
      </c>
      <c r="E278" s="672">
        <v>-169824</v>
      </c>
      <c r="F278" s="671" t="s">
        <v>2007</v>
      </c>
      <c r="G278" s="671" t="s">
        <v>2875</v>
      </c>
      <c r="H278" s="666"/>
      <c r="I278" s="665"/>
      <c r="J278" s="665"/>
      <c r="K278" s="665"/>
      <c r="L278" s="149" t="str">
        <f t="shared" si="20"/>
        <v>409A</v>
      </c>
      <c r="M278" s="150" t="str">
        <f t="shared" si="21"/>
        <v>X2 M35I XDRIVE</v>
      </c>
      <c r="N278" s="151">
        <f>+IF(OR($Q278=Parametres!$G$2,$Q278=Parametres!$G$3),I278,C278)</f>
        <v>-169824</v>
      </c>
      <c r="O278" s="151">
        <f>+IF(OR($Q278=Parametres!$G$2,$Q278=Parametres!$G$3),J278,D278)</f>
        <v>0</v>
      </c>
      <c r="P278" s="151">
        <f>+IF(OR($Q278=Parametres!$G$2,$Q278=Parametres!$G$3),K278,E278)</f>
        <v>-169824</v>
      </c>
      <c r="Q278" s="150" t="str">
        <f t="shared" si="22"/>
        <v>5-Ventes</v>
      </c>
      <c r="R278" s="149" t="str">
        <f t="shared" si="23"/>
        <v>409A</v>
      </c>
      <c r="S278" s="150">
        <f t="shared" si="24"/>
        <v>0</v>
      </c>
      <c r="T278" s="152" t="str">
        <f>+VLOOKUP($L278,Data_Validation!$A:$D,1,0)</f>
        <v>409A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2916</v>
      </c>
      <c r="B279" s="718" t="s">
        <v>2917</v>
      </c>
      <c r="C279" s="720">
        <v>-160941.5</v>
      </c>
      <c r="D279" s="720">
        <v>0</v>
      </c>
      <c r="E279" s="720">
        <v>-160941.5</v>
      </c>
      <c r="F279" s="718" t="s">
        <v>2007</v>
      </c>
      <c r="G279" s="718" t="s">
        <v>2917</v>
      </c>
      <c r="H279" s="666"/>
      <c r="I279" s="665"/>
      <c r="J279" s="665"/>
      <c r="K279" s="665"/>
      <c r="L279" s="149" t="str">
        <f t="shared" si="20"/>
        <v>404J</v>
      </c>
      <c r="M279" s="150" t="str">
        <f t="shared" si="21"/>
        <v>VTES -VTE - i4 xDRIVE40</v>
      </c>
      <c r="N279" s="151">
        <f>+IF(OR($Q279=Parametres!$G$2,$Q279=Parametres!$G$3),I279,C279)</f>
        <v>-160941.5</v>
      </c>
      <c r="O279" s="151">
        <f>+IF(OR($Q279=Parametres!$G$2,$Q279=Parametres!$G$3),J279,D279)</f>
        <v>0</v>
      </c>
      <c r="P279" s="151">
        <f>+IF(OR($Q279=Parametres!$G$2,$Q279=Parametres!$G$3),K279,E279)</f>
        <v>-160941.5</v>
      </c>
      <c r="Q279" s="150" t="str">
        <f t="shared" si="22"/>
        <v>5-Ventes</v>
      </c>
      <c r="R279" s="149" t="str">
        <f t="shared" si="23"/>
        <v>404J</v>
      </c>
      <c r="S279" s="150">
        <f t="shared" si="24"/>
        <v>0</v>
      </c>
      <c r="T279" s="152" t="str">
        <f>+VLOOKUP($L279,Data_Validation!$A:$D,1,0)</f>
        <v>404J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1117</v>
      </c>
      <c r="B280" s="718" t="s">
        <v>1118</v>
      </c>
      <c r="C280" s="720">
        <v>-156783.14000000001</v>
      </c>
      <c r="D280" s="720">
        <v>-12986.26</v>
      </c>
      <c r="E280" s="720">
        <v>-169769.4</v>
      </c>
      <c r="F280" s="718" t="s">
        <v>2007</v>
      </c>
      <c r="G280" s="718" t="s">
        <v>1118</v>
      </c>
      <c r="H280" s="609"/>
      <c r="I280" s="608"/>
      <c r="J280" s="608"/>
      <c r="K280" s="608"/>
      <c r="L280" s="149" t="str">
        <f t="shared" si="20"/>
        <v>474A</v>
      </c>
      <c r="M280" s="150" t="str">
        <f t="shared" si="21"/>
        <v>VTE - PIECES COMPTOIR BMW AUTO</v>
      </c>
      <c r="N280" s="151">
        <f>+IF(OR($Q280=Parametres!$G$2,$Q280=Parametres!$G$3),I280,C280)</f>
        <v>-156783.14000000001</v>
      </c>
      <c r="O280" s="151">
        <f>+IF(OR($Q280=Parametres!$G$2,$Q280=Parametres!$G$3),J280,D280)</f>
        <v>-12986.26</v>
      </c>
      <c r="P280" s="151">
        <f>+IF(OR($Q280=Parametres!$G$2,$Q280=Parametres!$G$3),K280,E280)</f>
        <v>-169769.4</v>
      </c>
      <c r="Q280" s="150" t="str">
        <f t="shared" si="22"/>
        <v>5-Ventes</v>
      </c>
      <c r="R280" s="149" t="str">
        <f t="shared" si="23"/>
        <v>474A</v>
      </c>
      <c r="S280" s="150">
        <f t="shared" si="24"/>
        <v>0</v>
      </c>
      <c r="T280" s="152" t="str">
        <f>+VLOOKUP($L280,Data_Validation!$A:$D,1,0)</f>
        <v>474A</v>
      </c>
      <c r="U280" s="152" t="str">
        <f>+VLOOKUP($L280,Data_Validation!$A:$D,3,0)</f>
        <v>pièces</v>
      </c>
      <c r="V280" s="152" t="str">
        <f>+VLOOKUP($L280,Data_Validation!$A:$D,4,0)</f>
        <v>Ventes Détails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1410</v>
      </c>
      <c r="B281" s="718" t="s">
        <v>631</v>
      </c>
      <c r="C281" s="720">
        <v>-156342</v>
      </c>
      <c r="D281" s="720">
        <v>0</v>
      </c>
      <c r="E281" s="720">
        <v>-156342</v>
      </c>
      <c r="F281" s="718" t="s">
        <v>2007</v>
      </c>
      <c r="G281" s="718" t="s">
        <v>631</v>
      </c>
      <c r="H281" s="673"/>
      <c r="I281" s="672"/>
      <c r="J281" s="672"/>
      <c r="K281" s="672"/>
      <c r="L281" s="149" t="str">
        <f t="shared" si="20"/>
        <v>452A</v>
      </c>
      <c r="M281" s="150" t="str">
        <f t="shared" si="21"/>
        <v>VTES -VTES - Z4 30I XDR</v>
      </c>
      <c r="N281" s="151">
        <f>+IF(OR($Q281=Parametres!$G$2,$Q281=Parametres!$G$3),I281,C281)</f>
        <v>-156342</v>
      </c>
      <c r="O281" s="151">
        <f>+IF(OR($Q281=Parametres!$G$2,$Q281=Parametres!$G$3),J281,D281)</f>
        <v>0</v>
      </c>
      <c r="P281" s="151">
        <f>+IF(OR($Q281=Parametres!$G$2,$Q281=Parametres!$G$3),K281,E281)</f>
        <v>-156342</v>
      </c>
      <c r="Q281" s="150" t="str">
        <f t="shared" si="22"/>
        <v>5-Ventes</v>
      </c>
      <c r="R281" s="149" t="str">
        <f t="shared" si="23"/>
        <v>452A</v>
      </c>
      <c r="S281" s="150">
        <f t="shared" si="24"/>
        <v>0</v>
      </c>
      <c r="T281" s="152" t="str">
        <f>+VLOOKUP($L281,Data_Validation!$A:$D,1,0)</f>
        <v>452A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628</v>
      </c>
      <c r="B282" s="718" t="s">
        <v>629</v>
      </c>
      <c r="C282" s="720">
        <v>-151506.5</v>
      </c>
      <c r="D282" s="720">
        <v>0</v>
      </c>
      <c r="E282" s="720">
        <v>-151506.5</v>
      </c>
      <c r="F282" s="718" t="s">
        <v>2007</v>
      </c>
      <c r="G282" s="718" t="s">
        <v>629</v>
      </c>
      <c r="H282" s="673"/>
      <c r="I282" s="672"/>
      <c r="J282" s="672"/>
      <c r="K282" s="672"/>
      <c r="L282" s="149" t="str">
        <f t="shared" si="20"/>
        <v>447</v>
      </c>
      <c r="M282" s="150" t="str">
        <f t="shared" si="21"/>
        <v>VTE - X5 M</v>
      </c>
      <c r="N282" s="151">
        <f>+IF(OR($Q282=Parametres!$G$2,$Q282=Parametres!$G$3),I282,C282)</f>
        <v>-151506.5</v>
      </c>
      <c r="O282" s="151">
        <f>+IF(OR($Q282=Parametres!$G$2,$Q282=Parametres!$G$3),J282,D282)</f>
        <v>0</v>
      </c>
      <c r="P282" s="151">
        <f>+IF(OR($Q282=Parametres!$G$2,$Q282=Parametres!$G$3),K282,E282)</f>
        <v>-151506.5</v>
      </c>
      <c r="Q282" s="150" t="str">
        <f t="shared" si="22"/>
        <v>5-Ventes</v>
      </c>
      <c r="R282" s="149" t="str">
        <f t="shared" si="23"/>
        <v>447</v>
      </c>
      <c r="S282" s="150">
        <f t="shared" si="24"/>
        <v>0</v>
      </c>
      <c r="T282" s="152" t="str">
        <f>+VLOOKUP($L282,Data_Validation!$A:$D,1,0)</f>
        <v>447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2935</v>
      </c>
      <c r="B283" s="718" t="s">
        <v>2936</v>
      </c>
      <c r="C283" s="720">
        <v>-140922.95000000001</v>
      </c>
      <c r="D283" s="720">
        <v>0</v>
      </c>
      <c r="E283" s="720">
        <v>-140922.95000000001</v>
      </c>
      <c r="F283" s="718" t="s">
        <v>2007</v>
      </c>
      <c r="G283" s="718" t="s">
        <v>2936</v>
      </c>
      <c r="H283" s="673"/>
      <c r="I283" s="672"/>
      <c r="J283" s="672"/>
      <c r="K283" s="672"/>
      <c r="L283" s="149" t="str">
        <f t="shared" si="20"/>
        <v>415</v>
      </c>
      <c r="M283" s="150" t="str">
        <f t="shared" si="21"/>
        <v>VTES -VTES - 760i xDRIVE</v>
      </c>
      <c r="N283" s="151">
        <f>+IF(OR($Q283=Parametres!$G$2,$Q283=Parametres!$G$3),I283,C283)</f>
        <v>-140922.95000000001</v>
      </c>
      <c r="O283" s="151">
        <f>+IF(OR($Q283=Parametres!$G$2,$Q283=Parametres!$G$3),J283,D283)</f>
        <v>0</v>
      </c>
      <c r="P283" s="151">
        <f>+IF(OR($Q283=Parametres!$G$2,$Q283=Parametres!$G$3),K283,E283)</f>
        <v>-140922.95000000001</v>
      </c>
      <c r="Q283" s="150" t="str">
        <f t="shared" si="22"/>
        <v>5-Ventes</v>
      </c>
      <c r="R283" s="149" t="str">
        <f t="shared" si="23"/>
        <v>415</v>
      </c>
      <c r="S283" s="150">
        <f t="shared" si="24"/>
        <v>0</v>
      </c>
      <c r="T283" s="152" t="str">
        <f>+VLOOKUP($L283,Data_Validation!$A:$D,1,0)</f>
        <v>415</v>
      </c>
      <c r="U283" s="152" t="str">
        <f>+VLOOKUP($L283,Data_Validation!$A:$D,3,0)</f>
        <v>Véhicules neufs</v>
      </c>
      <c r="V283" s="152" t="str">
        <f>+VLOOKUP($L283,Data_Validation!$A:$D,4,0)</f>
        <v>Autos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2144</v>
      </c>
      <c r="B284" s="718" t="s">
        <v>2145</v>
      </c>
      <c r="C284" s="720">
        <v>-133336.91</v>
      </c>
      <c r="D284" s="720">
        <v>-329043.81</v>
      </c>
      <c r="E284" s="720">
        <v>-462380.72</v>
      </c>
      <c r="F284" s="718" t="s">
        <v>2007</v>
      </c>
      <c r="G284" s="718" t="s">
        <v>2145</v>
      </c>
      <c r="H284" s="673"/>
      <c r="I284" s="672"/>
      <c r="J284" s="672"/>
      <c r="K284" s="672"/>
      <c r="L284" s="149" t="str">
        <f t="shared" si="20"/>
        <v>405J</v>
      </c>
      <c r="M284" s="150" t="str">
        <f t="shared" si="21"/>
        <v>VTES -M4 COMPETITION</v>
      </c>
      <c r="N284" s="151">
        <f>+IF(OR($Q284=Parametres!$G$2,$Q284=Parametres!$G$3),I284,C284)</f>
        <v>-133336.91</v>
      </c>
      <c r="O284" s="151">
        <f>+IF(OR($Q284=Parametres!$G$2,$Q284=Parametres!$G$3),J284,D284)</f>
        <v>-329043.81</v>
      </c>
      <c r="P284" s="151">
        <f>+IF(OR($Q284=Parametres!$G$2,$Q284=Parametres!$G$3),K284,E284)</f>
        <v>-462380.72</v>
      </c>
      <c r="Q284" s="150" t="str">
        <f t="shared" si="22"/>
        <v>5-Ventes</v>
      </c>
      <c r="R284" s="149" t="str">
        <f t="shared" si="23"/>
        <v>405J</v>
      </c>
      <c r="S284" s="150">
        <f t="shared" si="24"/>
        <v>0</v>
      </c>
      <c r="T284" s="152" t="str">
        <f>+VLOOKUP($L284,Data_Validation!$A:$D,1,0)</f>
        <v>405J</v>
      </c>
      <c r="U284" s="152" t="str">
        <f>+VLOOKUP($L284,Data_Validation!$A:$D,3,0)</f>
        <v>Véhicules neufs</v>
      </c>
      <c r="V284" s="152" t="str">
        <f>+VLOOKUP($L284,Data_Validation!$A:$D,4,0)</f>
        <v>Autos détail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1105</v>
      </c>
      <c r="B285" s="718" t="s">
        <v>368</v>
      </c>
      <c r="C285" s="720">
        <v>-130534.19</v>
      </c>
      <c r="D285" s="720">
        <v>-16172</v>
      </c>
      <c r="E285" s="720">
        <v>-146706.19</v>
      </c>
      <c r="F285" s="718" t="s">
        <v>2007</v>
      </c>
      <c r="G285" s="718" t="s">
        <v>368</v>
      </c>
      <c r="H285" s="673"/>
      <c r="I285" s="672"/>
      <c r="J285" s="672"/>
      <c r="K285" s="672"/>
      <c r="L285" s="149" t="str">
        <f t="shared" si="20"/>
        <v>452</v>
      </c>
      <c r="M285" s="150" t="str">
        <f t="shared" si="21"/>
        <v>VTES -GAR PROL USAGE BMW CERT</v>
      </c>
      <c r="N285" s="151">
        <f>+IF(OR($Q285=Parametres!$G$2,$Q285=Parametres!$G$3),I285,C285)</f>
        <v>-130534.19</v>
      </c>
      <c r="O285" s="151">
        <f>+IF(OR($Q285=Parametres!$G$2,$Q285=Parametres!$G$3),J285,D285)</f>
        <v>-16172</v>
      </c>
      <c r="P285" s="151">
        <f>+IF(OR($Q285=Parametres!$G$2,$Q285=Parametres!$G$3),K285,E285)</f>
        <v>-146706.19</v>
      </c>
      <c r="Q285" s="150" t="str">
        <f t="shared" si="22"/>
        <v>5-Ventes</v>
      </c>
      <c r="R285" s="149" t="str">
        <f t="shared" si="23"/>
        <v>452</v>
      </c>
      <c r="S285" s="150">
        <f t="shared" si="24"/>
        <v>0</v>
      </c>
      <c r="T285" s="152" t="str">
        <f>+VLOOKUP($L285,Data_Validation!$A:$D,1,0)</f>
        <v>452</v>
      </c>
      <c r="U285" s="152" t="str">
        <f>+VLOOKUP($L285,Data_Validation!$A:$D,3,0)</f>
        <v>Véhicules usagés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1126</v>
      </c>
      <c r="B286" s="718" t="s">
        <v>627</v>
      </c>
      <c r="C286" s="720">
        <v>-129685.94</v>
      </c>
      <c r="D286" s="720">
        <v>-22674</v>
      </c>
      <c r="E286" s="720">
        <v>-152359.94</v>
      </c>
      <c r="F286" s="718" t="s">
        <v>2007</v>
      </c>
      <c r="G286" s="718" t="s">
        <v>2012</v>
      </c>
      <c r="H286" s="673"/>
      <c r="I286" s="672"/>
      <c r="J286" s="672"/>
      <c r="K286" s="672"/>
      <c r="L286" s="149" t="str">
        <f t="shared" si="20"/>
        <v>432A</v>
      </c>
      <c r="M286" s="150" t="str">
        <f t="shared" si="21"/>
        <v>VTE - GAR PROL NEUF BMW AUTO</v>
      </c>
      <c r="N286" s="151">
        <f>+IF(OR($Q286=Parametres!$G$2,$Q286=Parametres!$G$3),I286,C286)</f>
        <v>-129685.94</v>
      </c>
      <c r="O286" s="151">
        <f>+IF(OR($Q286=Parametres!$G$2,$Q286=Parametres!$G$3),J286,D286)</f>
        <v>-22674</v>
      </c>
      <c r="P286" s="151">
        <f>+IF(OR($Q286=Parametres!$G$2,$Q286=Parametres!$G$3),K286,E286)</f>
        <v>-152359.94</v>
      </c>
      <c r="Q286" s="150" t="str">
        <f t="shared" si="22"/>
        <v>5-Ventes</v>
      </c>
      <c r="R286" s="149" t="str">
        <f t="shared" si="23"/>
        <v>432</v>
      </c>
      <c r="S286" s="150">
        <f t="shared" si="24"/>
        <v>0</v>
      </c>
      <c r="T286" s="152" t="str">
        <f>+VLOOKUP($L286,Data_Validation!$A:$D,1,0)</f>
        <v>432A</v>
      </c>
      <c r="U286" s="152" t="str">
        <f>+VLOOKUP($L286,Data_Validation!$A:$D,3,0)</f>
        <v>Véhicules neufs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1121</v>
      </c>
      <c r="B287" s="718" t="s">
        <v>1122</v>
      </c>
      <c r="C287" s="720">
        <v>-128576</v>
      </c>
      <c r="D287" s="720">
        <v>-33081</v>
      </c>
      <c r="E287" s="720">
        <v>-161657</v>
      </c>
      <c r="F287" s="718" t="s">
        <v>2007</v>
      </c>
      <c r="G287" s="718" t="s">
        <v>625</v>
      </c>
      <c r="H287" s="673"/>
      <c r="I287" s="673"/>
      <c r="J287" s="673"/>
      <c r="K287" s="673"/>
      <c r="L287" s="149" t="str">
        <f t="shared" si="20"/>
        <v>430U</v>
      </c>
      <c r="M287" s="508" t="str">
        <f t="shared" si="21"/>
        <v>VTE - ASSIST USURE NEUF BMW AUTO</v>
      </c>
      <c r="N287" s="151">
        <f>+IF(OR($Q287=Parametres!$G$2,$Q287=Parametres!$G$3),I287,C287)</f>
        <v>-128576</v>
      </c>
      <c r="O287" s="509">
        <f>+IF(OR($Q287=Parametres!$G$2,$Q287=Parametres!$G$3),J287,D287)</f>
        <v>-33081</v>
      </c>
      <c r="P287" s="510">
        <f>+IF(OR($Q287=Parametres!$G$2,$Q287=Parametres!$G$3),K287,E287)</f>
        <v>-161657</v>
      </c>
      <c r="Q287" s="150" t="str">
        <f t="shared" si="22"/>
        <v>5-Ventes</v>
      </c>
      <c r="R287" s="149" t="str">
        <f t="shared" si="23"/>
        <v>430</v>
      </c>
      <c r="S287" s="150">
        <f t="shared" si="24"/>
        <v>0</v>
      </c>
      <c r="T287" s="152" t="str">
        <f>+VLOOKUP($L287,Data_Validation!$A:$D,1,0)</f>
        <v>430U</v>
      </c>
      <c r="U287" s="152" t="str">
        <f>+VLOOKUP($L287,Data_Validation!$A:$D,3,0)</f>
        <v>Véhicules neufs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1078</v>
      </c>
      <c r="B288" s="671" t="s">
        <v>1079</v>
      </c>
      <c r="C288" s="672">
        <v>-128273.5</v>
      </c>
      <c r="D288" s="672">
        <v>0</v>
      </c>
      <c r="E288" s="672">
        <v>-128273.5</v>
      </c>
      <c r="F288" s="671" t="s">
        <v>2007</v>
      </c>
      <c r="G288" s="671" t="s">
        <v>1012</v>
      </c>
      <c r="H288" s="666"/>
      <c r="I288" s="665"/>
      <c r="J288" s="665"/>
      <c r="K288" s="665"/>
      <c r="L288" s="149" t="str">
        <f t="shared" si="20"/>
        <v>450H</v>
      </c>
      <c r="M288" s="150" t="str">
        <f t="shared" si="21"/>
        <v>VTES -VTE - M850I XDR GRAN COUPE</v>
      </c>
      <c r="N288" s="151">
        <f>+IF(OR($Q288=Parametres!$G$2,$Q288=Parametres!$G$3),I288,C288)</f>
        <v>-128273.5</v>
      </c>
      <c r="O288" s="151">
        <f>+IF(OR($Q288=Parametres!$G$2,$Q288=Parametres!$G$3),J288,D288)</f>
        <v>0</v>
      </c>
      <c r="P288" s="151">
        <f>+IF(OR($Q288=Parametres!$G$2,$Q288=Parametres!$G$3),K288,E288)</f>
        <v>-128273.5</v>
      </c>
      <c r="Q288" s="150" t="str">
        <f t="shared" si="22"/>
        <v>5-Ventes</v>
      </c>
      <c r="R288" s="149" t="str">
        <f t="shared" si="23"/>
        <v>450</v>
      </c>
      <c r="S288" s="150">
        <f t="shared" si="24"/>
        <v>0</v>
      </c>
      <c r="T288" s="152" t="str">
        <f>+VLOOKUP($L288,Data_Validation!$A:$D,1,0)</f>
        <v>450H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1138</v>
      </c>
      <c r="B289" s="718" t="s">
        <v>431</v>
      </c>
      <c r="C289" s="720">
        <v>-125192.31</v>
      </c>
      <c r="D289" s="720">
        <v>-20503.66</v>
      </c>
      <c r="E289" s="720">
        <v>-145695.97</v>
      </c>
      <c r="F289" s="718" t="s">
        <v>2007</v>
      </c>
      <c r="G289" s="718" t="s">
        <v>1139</v>
      </c>
      <c r="H289" s="673"/>
      <c r="I289" s="672"/>
      <c r="J289" s="672"/>
      <c r="K289" s="672"/>
      <c r="L289" s="149" t="str">
        <f t="shared" si="20"/>
        <v>462B</v>
      </c>
      <c r="M289" s="150" t="str">
        <f t="shared" si="21"/>
        <v>VTE - M/O INTERNE BMW CAMION</v>
      </c>
      <c r="N289" s="151">
        <f>+IF(OR($Q289=Parametres!$G$2,$Q289=Parametres!$G$3),I289,C289)</f>
        <v>-125192.31</v>
      </c>
      <c r="O289" s="151">
        <f>+IF(OR($Q289=Parametres!$G$2,$Q289=Parametres!$G$3),J289,D289)</f>
        <v>-20503.66</v>
      </c>
      <c r="P289" s="151">
        <f>+IF(OR($Q289=Parametres!$G$2,$Q289=Parametres!$G$3),K289,E289)</f>
        <v>-145695.97</v>
      </c>
      <c r="Q289" s="150" t="str">
        <f t="shared" si="22"/>
        <v>5-Ventes</v>
      </c>
      <c r="R289" s="149" t="str">
        <f t="shared" si="23"/>
        <v>462A</v>
      </c>
      <c r="S289" s="150">
        <f t="shared" si="24"/>
        <v>0</v>
      </c>
      <c r="T289" s="152" t="str">
        <f>+VLOOKUP($L289,Data_Validation!$A:$D,1,0)</f>
        <v>462B</v>
      </c>
      <c r="U289" s="152" t="str">
        <f>+VLOOKUP($L289,Data_Validation!$A:$D,3,0)</f>
        <v>service</v>
      </c>
      <c r="V289" s="152" t="str">
        <f>+VLOOKUP($L289,Data_Validation!$A:$D,4,0)</f>
        <v>M/O Interne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2363</v>
      </c>
      <c r="B290" s="718" t="s">
        <v>2364</v>
      </c>
      <c r="C290" s="719">
        <v>-121994.74</v>
      </c>
      <c r="D290" s="719">
        <v>0</v>
      </c>
      <c r="E290" s="719">
        <v>-121994.74</v>
      </c>
      <c r="F290" s="718" t="s">
        <v>2007</v>
      </c>
      <c r="G290" s="718" t="s">
        <v>2364</v>
      </c>
      <c r="H290" s="719"/>
      <c r="I290" s="720"/>
      <c r="J290" s="720"/>
      <c r="K290" s="720"/>
      <c r="L290" s="149" t="str">
        <f t="shared" si="20"/>
        <v>405H</v>
      </c>
      <c r="M290" s="150" t="str">
        <f t="shared" si="21"/>
        <v>VTES -M4 COMPETITION CABRIOLET XDRIVE</v>
      </c>
      <c r="N290" s="151">
        <f>+IF(OR($Q290=Parametres!$G$2,$Q290=Parametres!$G$3),I290,C290)</f>
        <v>-121994.74</v>
      </c>
      <c r="O290" s="151">
        <f>+IF(OR($Q290=Parametres!$G$2,$Q290=Parametres!$G$3),J290,D290)</f>
        <v>0</v>
      </c>
      <c r="P290" s="151">
        <f>+IF(OR($Q290=Parametres!$G$2,$Q290=Parametres!$G$3),K290,E290)</f>
        <v>-121994.74</v>
      </c>
      <c r="Q290" s="150" t="str">
        <f t="shared" si="22"/>
        <v>5-Ventes</v>
      </c>
      <c r="R290" s="149" t="str">
        <f t="shared" si="23"/>
        <v>405H</v>
      </c>
      <c r="S290" s="150">
        <f t="shared" si="24"/>
        <v>0</v>
      </c>
      <c r="T290" s="152" t="str">
        <f>+VLOOKUP($L290,Data_Validation!$A:$D,1,0)</f>
        <v>405H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1985</v>
      </c>
      <c r="B291" s="718" t="s">
        <v>1986</v>
      </c>
      <c r="C291" s="720">
        <v>-120450.16</v>
      </c>
      <c r="D291" s="720">
        <v>0</v>
      </c>
      <c r="E291" s="720">
        <v>-120450.16</v>
      </c>
      <c r="F291" s="718" t="s">
        <v>2007</v>
      </c>
      <c r="G291" s="718" t="s">
        <v>368</v>
      </c>
      <c r="H291" s="673"/>
      <c r="I291" s="673"/>
      <c r="J291" s="673"/>
      <c r="K291" s="673"/>
      <c r="L291" s="149" t="str">
        <f t="shared" si="20"/>
        <v>452C</v>
      </c>
      <c r="M291" s="150" t="str">
        <f t="shared" si="21"/>
        <v>VTES -GAR PROL USAGE BMW NON-CERT</v>
      </c>
      <c r="N291" s="151">
        <f>+IF(OR($Q291=Parametres!$G$2,$Q291=Parametres!$G$3),I291,C291)</f>
        <v>-120450.16</v>
      </c>
      <c r="O291" s="151">
        <f>+IF(OR($Q291=Parametres!$G$2,$Q291=Parametres!$G$3),J291,D291)</f>
        <v>0</v>
      </c>
      <c r="P291" s="151">
        <f>+IF(OR($Q291=Parametres!$G$2,$Q291=Parametres!$G$3),K291,E291)</f>
        <v>-120450.16</v>
      </c>
      <c r="Q291" s="150" t="str">
        <f t="shared" si="22"/>
        <v>5-Ventes</v>
      </c>
      <c r="R291" s="149" t="str">
        <f t="shared" si="23"/>
        <v>452</v>
      </c>
      <c r="S291" s="150">
        <f t="shared" si="24"/>
        <v>0</v>
      </c>
      <c r="T291" s="152" t="str">
        <f>+VLOOKUP($L291,Data_Validation!$A:$D,1,0)</f>
        <v>452C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2895</v>
      </c>
      <c r="B292" s="718" t="s">
        <v>2896</v>
      </c>
      <c r="C292" s="720">
        <v>-118545.13</v>
      </c>
      <c r="D292" s="720">
        <v>0</v>
      </c>
      <c r="E292" s="720">
        <v>-118545.13</v>
      </c>
      <c r="F292" s="718" t="s">
        <v>2007</v>
      </c>
      <c r="G292" s="718" t="s">
        <v>2896</v>
      </c>
      <c r="H292" s="673"/>
      <c r="I292" s="672"/>
      <c r="J292" s="672"/>
      <c r="K292" s="672"/>
      <c r="L292" s="149" t="str">
        <f t="shared" si="20"/>
        <v>415A</v>
      </c>
      <c r="M292" s="150" t="str">
        <f t="shared" si="21"/>
        <v>VTES -VTE - 750e xDRIVE</v>
      </c>
      <c r="N292" s="151">
        <f>+IF(OR($Q292=Parametres!$G$2,$Q292=Parametres!$G$3),I292,C292)</f>
        <v>-118545.13</v>
      </c>
      <c r="O292" s="151">
        <f>+IF(OR($Q292=Parametres!$G$2,$Q292=Parametres!$G$3),J292,D292)</f>
        <v>0</v>
      </c>
      <c r="P292" s="151">
        <f>+IF(OR($Q292=Parametres!$G$2,$Q292=Parametres!$G$3),K292,E292)</f>
        <v>-118545.13</v>
      </c>
      <c r="Q292" s="150" t="str">
        <f t="shared" si="22"/>
        <v>5-Ventes</v>
      </c>
      <c r="R292" s="149" t="str">
        <f t="shared" si="23"/>
        <v>415A</v>
      </c>
      <c r="S292" s="150">
        <f t="shared" si="24"/>
        <v>0</v>
      </c>
      <c r="T292" s="152" t="str">
        <f>+VLOOKUP($L292,Data_Validation!$A:$D,1,0)</f>
        <v>415A</v>
      </c>
      <c r="U292" s="152" t="str">
        <f>+VLOOKUP($L292,Data_Validation!$A:$D,3,0)</f>
        <v>Véhicules neufs</v>
      </c>
      <c r="V292" s="152" t="str">
        <f>+VLOOKUP($L292,Data_Validation!$A:$D,4,0)</f>
        <v>Autos détail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1095</v>
      </c>
      <c r="B293" s="671" t="s">
        <v>1096</v>
      </c>
      <c r="C293" s="672">
        <v>-113655.75</v>
      </c>
      <c r="D293" s="672">
        <v>-8035.39</v>
      </c>
      <c r="E293" s="672">
        <v>-121691.14</v>
      </c>
      <c r="F293" s="671" t="s">
        <v>2007</v>
      </c>
      <c r="G293" s="671" t="s">
        <v>1096</v>
      </c>
      <c r="H293" s="666"/>
      <c r="I293" s="665"/>
      <c r="J293" s="665"/>
      <c r="K293" s="665"/>
      <c r="L293" s="149" t="str">
        <f t="shared" si="20"/>
        <v>472A</v>
      </c>
      <c r="M293" s="150" t="str">
        <f t="shared" si="21"/>
        <v>VTE - PIECES GARANTIE BMW AUTO</v>
      </c>
      <c r="N293" s="151">
        <f>+IF(OR($Q293=Parametres!$G$2,$Q293=Parametres!$G$3),I293,C293)</f>
        <v>-113655.75</v>
      </c>
      <c r="O293" s="151">
        <f>+IF(OR($Q293=Parametres!$G$2,$Q293=Parametres!$G$3),J293,D293)</f>
        <v>-8035.39</v>
      </c>
      <c r="P293" s="151">
        <f>+IF(OR($Q293=Parametres!$G$2,$Q293=Parametres!$G$3),K293,E293)</f>
        <v>-121691.14</v>
      </c>
      <c r="Q293" s="150" t="str">
        <f t="shared" si="22"/>
        <v>5-Ventes</v>
      </c>
      <c r="R293" s="149" t="str">
        <f t="shared" si="23"/>
        <v>472A</v>
      </c>
      <c r="S293" s="150">
        <f t="shared" si="24"/>
        <v>0</v>
      </c>
      <c r="T293" s="152" t="str">
        <f>+VLOOKUP($L293,Data_Validation!$A:$D,1,0)</f>
        <v>472A</v>
      </c>
      <c r="U293" s="152" t="str">
        <f>+VLOOKUP($L293,Data_Validation!$A:$D,3,0)</f>
        <v>pièces</v>
      </c>
      <c r="V293" s="152" t="str">
        <f>+VLOOKUP($L293,Data_Validation!$A:$D,4,0)</f>
        <v>P/A Garantie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2191</v>
      </c>
      <c r="B294" s="671" t="s">
        <v>2192</v>
      </c>
      <c r="C294" s="672">
        <v>-109665.72</v>
      </c>
      <c r="D294" s="672">
        <v>-10214.299999999999</v>
      </c>
      <c r="E294" s="672">
        <v>-119880.02</v>
      </c>
      <c r="F294" s="671" t="s">
        <v>2007</v>
      </c>
      <c r="G294" s="671" t="s">
        <v>2418</v>
      </c>
      <c r="H294" s="666"/>
      <c r="I294" s="665"/>
      <c r="J294" s="665"/>
      <c r="K294" s="665"/>
      <c r="L294" s="149" t="str">
        <f t="shared" si="20"/>
        <v>459B</v>
      </c>
      <c r="M294" s="150" t="str">
        <f t="shared" si="21"/>
        <v>VTES -VTE - SUBLET ESTHETIQUE</v>
      </c>
      <c r="N294" s="151">
        <f>+IF(OR($Q294=Parametres!$G$2,$Q294=Parametres!$G$3),I294,C294)</f>
        <v>-109665.72</v>
      </c>
      <c r="O294" s="151">
        <f>+IF(OR($Q294=Parametres!$G$2,$Q294=Parametres!$G$3),J294,D294)</f>
        <v>-10214.299999999999</v>
      </c>
      <c r="P294" s="151">
        <f>+IF(OR($Q294=Parametres!$G$2,$Q294=Parametres!$G$3),K294,E294)</f>
        <v>-119880.02</v>
      </c>
      <c r="Q294" s="150" t="str">
        <f t="shared" si="22"/>
        <v>5-Ventes</v>
      </c>
      <c r="R294" s="149" t="str">
        <f t="shared" si="23"/>
        <v>459</v>
      </c>
      <c r="S294" s="150">
        <f t="shared" si="24"/>
        <v>0</v>
      </c>
      <c r="T294" s="152" t="str">
        <f>+VLOOKUP($L294,Data_Validation!$A:$D,1,0)</f>
        <v>459B</v>
      </c>
      <c r="U294" s="152" t="str">
        <f>+VLOOKUP($L294,Data_Validation!$A:$D,3,0)</f>
        <v>Service</v>
      </c>
      <c r="V294" s="152" t="str">
        <f>+VLOOKUP($L294,Data_Validation!$A:$D,4,0)</f>
        <v>M/O Esthétique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2937</v>
      </c>
      <c r="B295" s="671" t="s">
        <v>2220</v>
      </c>
      <c r="C295" s="672">
        <v>-109302.93</v>
      </c>
      <c r="D295" s="672">
        <v>0</v>
      </c>
      <c r="E295" s="672">
        <v>-109302.93</v>
      </c>
      <c r="F295" s="671" t="s">
        <v>2007</v>
      </c>
      <c r="G295" s="671" t="s">
        <v>2220</v>
      </c>
      <c r="H295" s="666"/>
      <c r="I295" s="665"/>
      <c r="J295" s="665"/>
      <c r="K295" s="665"/>
      <c r="L295" s="149" t="str">
        <f t="shared" si="20"/>
        <v>423H</v>
      </c>
      <c r="M295" s="150" t="str">
        <f t="shared" si="21"/>
        <v>VTES -X3 M / M3 M COMPETITION</v>
      </c>
      <c r="N295" s="151">
        <f>+IF(OR($Q295=Parametres!$G$2,$Q295=Parametres!$G$3),I295,C295)</f>
        <v>-109302.93</v>
      </c>
      <c r="O295" s="151">
        <f>+IF(OR($Q295=Parametres!$G$2,$Q295=Parametres!$G$3),J295,D295)</f>
        <v>0</v>
      </c>
      <c r="P295" s="151">
        <f>+IF(OR($Q295=Parametres!$G$2,$Q295=Parametres!$G$3),K295,E295)</f>
        <v>-109302.93</v>
      </c>
      <c r="Q295" s="150" t="str">
        <f t="shared" si="22"/>
        <v>5-Ventes</v>
      </c>
      <c r="R295" s="149" t="str">
        <f t="shared" si="23"/>
        <v>423H</v>
      </c>
      <c r="S295" s="150">
        <f t="shared" si="24"/>
        <v>0</v>
      </c>
      <c r="T295" s="152" t="str">
        <f>+VLOOKUP($L295,Data_Validation!$A:$D,1,0)</f>
        <v>423H</v>
      </c>
      <c r="U295" s="152" t="str">
        <f>+VLOOKUP($L295,Data_Validation!$A:$D,3,0)</f>
        <v>Véhicules neufs</v>
      </c>
      <c r="V295" s="152" t="str">
        <f>+VLOOKUP($L295,Data_Validation!$A:$D,4,0)</f>
        <v>Camions détail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2365</v>
      </c>
      <c r="B296" s="718" t="s">
        <v>2366</v>
      </c>
      <c r="C296" s="720">
        <v>-106923.5</v>
      </c>
      <c r="D296" s="720">
        <v>0</v>
      </c>
      <c r="E296" s="720">
        <v>-106923.5</v>
      </c>
      <c r="F296" s="718" t="s">
        <v>2007</v>
      </c>
      <c r="G296" s="718" t="s">
        <v>2486</v>
      </c>
      <c r="H296" s="666"/>
      <c r="I296" s="665"/>
      <c r="J296" s="665"/>
      <c r="K296" s="665"/>
      <c r="L296" s="149" t="str">
        <f t="shared" si="20"/>
        <v>407D</v>
      </c>
      <c r="M296" s="150" t="str">
        <f t="shared" si="21"/>
        <v>VTES -VTES -VTE - M3 COMPETITION XDRIVE</v>
      </c>
      <c r="N296" s="151">
        <f>+IF(OR($Q296=Parametres!$G$2,$Q296=Parametres!$G$3),I296,C296)</f>
        <v>-106923.5</v>
      </c>
      <c r="O296" s="151">
        <f>+IF(OR($Q296=Parametres!$G$2,$Q296=Parametres!$G$3),J296,D296)</f>
        <v>0</v>
      </c>
      <c r="P296" s="151">
        <f>+IF(OR($Q296=Parametres!$G$2,$Q296=Parametres!$G$3),K296,E296)</f>
        <v>-106923.5</v>
      </c>
      <c r="Q296" s="150" t="str">
        <f t="shared" si="22"/>
        <v>5-Ventes</v>
      </c>
      <c r="R296" s="149" t="str">
        <f t="shared" si="23"/>
        <v>407</v>
      </c>
      <c r="S296" s="150">
        <f t="shared" si="24"/>
        <v>0</v>
      </c>
      <c r="T296" s="152" t="str">
        <f>+VLOOKUP($L296,Data_Validation!$A:$D,1,0)</f>
        <v>407D</v>
      </c>
      <c r="U296" s="152" t="str">
        <f>+VLOOKUP($L296,Data_Validation!$A:$D,3,0)</f>
        <v>Véhicules neufs</v>
      </c>
      <c r="V296" s="152" t="str">
        <f>+VLOOKUP($L296,Data_Validation!$A:$D,4,0)</f>
        <v>Autos détail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1136</v>
      </c>
      <c r="B297" s="671" t="s">
        <v>1014</v>
      </c>
      <c r="C297" s="672">
        <v>-100207.81</v>
      </c>
      <c r="D297" s="672">
        <v>-15510</v>
      </c>
      <c r="E297" s="672">
        <v>-115717.81</v>
      </c>
      <c r="F297" s="671" t="s">
        <v>2007</v>
      </c>
      <c r="G297" s="671" t="s">
        <v>625</v>
      </c>
      <c r="H297" s="666"/>
      <c r="I297" s="665"/>
      <c r="J297" s="665"/>
      <c r="K297" s="665"/>
      <c r="L297" s="149" t="str">
        <f t="shared" si="20"/>
        <v>430A</v>
      </c>
      <c r="M297" s="150" t="str">
        <f t="shared" si="21"/>
        <v>VTES -VTE - MARQUAGE NEUF BMW AUTO</v>
      </c>
      <c r="N297" s="151">
        <f>+IF(OR($Q297=Parametres!$G$2,$Q297=Parametres!$G$3),I297,C297)</f>
        <v>-100207.81</v>
      </c>
      <c r="O297" s="151">
        <f>+IF(OR($Q297=Parametres!$G$2,$Q297=Parametres!$G$3),J297,D297)</f>
        <v>-15510</v>
      </c>
      <c r="P297" s="151">
        <f>+IF(OR($Q297=Parametres!$G$2,$Q297=Parametres!$G$3),K297,E297)</f>
        <v>-115717.81</v>
      </c>
      <c r="Q297" s="150" t="str">
        <f t="shared" si="22"/>
        <v>5-Ventes</v>
      </c>
      <c r="R297" s="149" t="str">
        <f t="shared" si="23"/>
        <v>430</v>
      </c>
      <c r="S297" s="150">
        <f t="shared" si="24"/>
        <v>0</v>
      </c>
      <c r="T297" s="152" t="str">
        <f>+VLOOKUP($L297,Data_Validation!$A:$D,1,0)</f>
        <v>430A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2387</v>
      </c>
      <c r="B298" s="718" t="s">
        <v>2388</v>
      </c>
      <c r="C298" s="720">
        <v>-98510.95</v>
      </c>
      <c r="D298" s="720">
        <v>0</v>
      </c>
      <c r="E298" s="720">
        <v>-98510.95</v>
      </c>
      <c r="F298" s="718" t="s">
        <v>2007</v>
      </c>
      <c r="G298" s="718" t="s">
        <v>2388</v>
      </c>
      <c r="H298" s="666"/>
      <c r="I298" s="665"/>
      <c r="J298" s="665"/>
      <c r="K298" s="665"/>
      <c r="L298" s="149" t="str">
        <f t="shared" si="20"/>
        <v>402A</v>
      </c>
      <c r="M298" s="150" t="str">
        <f t="shared" si="21"/>
        <v>VTES -IX XDRIVE 40</v>
      </c>
      <c r="N298" s="151">
        <f>+IF(OR($Q298=Parametres!$G$2,$Q298=Parametres!$G$3),I298,C298)</f>
        <v>-98510.95</v>
      </c>
      <c r="O298" s="151">
        <f>+IF(OR($Q298=Parametres!$G$2,$Q298=Parametres!$G$3),J298,D298)</f>
        <v>0</v>
      </c>
      <c r="P298" s="151">
        <f>+IF(OR($Q298=Parametres!$G$2,$Q298=Parametres!$G$3),K298,E298)</f>
        <v>-98510.95</v>
      </c>
      <c r="Q298" s="150" t="str">
        <f t="shared" si="22"/>
        <v>5-Ventes</v>
      </c>
      <c r="R298" s="149" t="str">
        <f t="shared" si="23"/>
        <v>402A</v>
      </c>
      <c r="S298" s="150">
        <f t="shared" si="24"/>
        <v>0</v>
      </c>
      <c r="T298" s="152" t="str">
        <f>+VLOOKUP($L298,Data_Validation!$A:$D,1,0)</f>
        <v>402A</v>
      </c>
      <c r="U298" s="152" t="str">
        <f>+VLOOKUP($L298,Data_Validation!$A:$D,3,0)</f>
        <v>Véhicules neufs</v>
      </c>
      <c r="V298" s="152" t="str">
        <f>+VLOOKUP($L298,Data_Validation!$A:$D,4,0)</f>
        <v>Autos détail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2893</v>
      </c>
      <c r="B299" s="718" t="s">
        <v>2894</v>
      </c>
      <c r="C299" s="720">
        <v>-97623.5</v>
      </c>
      <c r="D299" s="720">
        <v>0</v>
      </c>
      <c r="E299" s="720">
        <v>-97623.5</v>
      </c>
      <c r="F299" s="718" t="s">
        <v>2007</v>
      </c>
      <c r="G299" s="718" t="s">
        <v>2894</v>
      </c>
      <c r="H299" s="666"/>
      <c r="I299" s="665"/>
      <c r="J299" s="665"/>
      <c r="K299" s="665"/>
      <c r="L299" s="149" t="str">
        <f t="shared" si="20"/>
        <v>405L</v>
      </c>
      <c r="M299" s="150" t="str">
        <f t="shared" si="21"/>
        <v>M440I XDRIVE CABRIOLET</v>
      </c>
      <c r="N299" s="151">
        <f>+IF(OR($Q299=Parametres!$G$2,$Q299=Parametres!$G$3),I299,C299)</f>
        <v>-97623.5</v>
      </c>
      <c r="O299" s="151">
        <f>+IF(OR($Q299=Parametres!$G$2,$Q299=Parametres!$G$3),J299,D299)</f>
        <v>0</v>
      </c>
      <c r="P299" s="151">
        <f>+IF(OR($Q299=Parametres!$G$2,$Q299=Parametres!$G$3),K299,E299)</f>
        <v>-97623.5</v>
      </c>
      <c r="Q299" s="150" t="str">
        <f t="shared" si="22"/>
        <v>5-Ventes</v>
      </c>
      <c r="R299" s="149" t="str">
        <f t="shared" si="23"/>
        <v>405L</v>
      </c>
      <c r="S299" s="150">
        <f t="shared" si="24"/>
        <v>0</v>
      </c>
      <c r="T299" s="152" t="str">
        <f>+VLOOKUP($L299,Data_Validation!$A:$D,1,0)</f>
        <v>405L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1027</v>
      </c>
      <c r="B300" s="718" t="s">
        <v>634</v>
      </c>
      <c r="C300" s="720">
        <v>-96292.62</v>
      </c>
      <c r="D300" s="720">
        <v>-31521.919999999998</v>
      </c>
      <c r="E300" s="720">
        <v>-127814.54</v>
      </c>
      <c r="F300" s="718" t="s">
        <v>2007</v>
      </c>
      <c r="G300" s="718" t="s">
        <v>1096</v>
      </c>
      <c r="H300" s="673"/>
      <c r="I300" s="672"/>
      <c r="J300" s="672"/>
      <c r="K300" s="672"/>
      <c r="L300" s="149" t="str">
        <f t="shared" si="20"/>
        <v>472H</v>
      </c>
      <c r="M300" s="150" t="str">
        <f t="shared" si="21"/>
        <v>VTE - PIECES GARANTIE BMW I</v>
      </c>
      <c r="N300" s="151">
        <f>+IF(OR($Q300=Parametres!$G$2,$Q300=Parametres!$G$3),I300,C300)</f>
        <v>-96292.62</v>
      </c>
      <c r="O300" s="151">
        <f>+IF(OR($Q300=Parametres!$G$2,$Q300=Parametres!$G$3),J300,D300)</f>
        <v>-31521.919999999998</v>
      </c>
      <c r="P300" s="151">
        <f>+IF(OR($Q300=Parametres!$G$2,$Q300=Parametres!$G$3),K300,E300)</f>
        <v>-127814.54</v>
      </c>
      <c r="Q300" s="150" t="str">
        <f t="shared" si="22"/>
        <v>5-Ventes</v>
      </c>
      <c r="R300" s="149" t="str">
        <f t="shared" si="23"/>
        <v>472A</v>
      </c>
      <c r="S300" s="150">
        <f t="shared" si="24"/>
        <v>0</v>
      </c>
      <c r="T300" s="152" t="str">
        <f>+VLOOKUP($L300,Data_Validation!$A:$D,1,0)</f>
        <v>472H</v>
      </c>
      <c r="U300" s="152" t="str">
        <f>+VLOOKUP($L300,Data_Validation!$A:$D,3,0)</f>
        <v>pièces</v>
      </c>
      <c r="V300" s="152" t="str">
        <f>+VLOOKUP($L300,Data_Validation!$A:$D,4,0)</f>
        <v>P/A Garantie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1148</v>
      </c>
      <c r="B301" s="718" t="s">
        <v>1132</v>
      </c>
      <c r="C301" s="719">
        <v>-93591.55</v>
      </c>
      <c r="D301" s="719">
        <v>-12519.34</v>
      </c>
      <c r="E301" s="719">
        <v>-106110.89</v>
      </c>
      <c r="F301" s="718" t="s">
        <v>2007</v>
      </c>
      <c r="G301" s="718" t="s">
        <v>1132</v>
      </c>
      <c r="H301" s="719"/>
      <c r="I301" s="720"/>
      <c r="J301" s="720"/>
      <c r="K301" s="720"/>
      <c r="L301" s="149" t="str">
        <f t="shared" si="20"/>
        <v>473A</v>
      </c>
      <c r="M301" s="150" t="str">
        <f t="shared" si="21"/>
        <v>VTE - PIECES INTERNE BMW AUTO</v>
      </c>
      <c r="N301" s="151">
        <f>+IF(OR($Q301=Parametres!$G$2,$Q301=Parametres!$G$3),I301,C301)</f>
        <v>-93591.55</v>
      </c>
      <c r="O301" s="151">
        <f>+IF(OR($Q301=Parametres!$G$2,$Q301=Parametres!$G$3),J301,D301)</f>
        <v>-12519.34</v>
      </c>
      <c r="P301" s="151">
        <f>+IF(OR($Q301=Parametres!$G$2,$Q301=Parametres!$G$3),K301,E301)</f>
        <v>-106110.89</v>
      </c>
      <c r="Q301" s="150" t="str">
        <f t="shared" si="22"/>
        <v>5-Ventes</v>
      </c>
      <c r="R301" s="149" t="str">
        <f t="shared" si="23"/>
        <v>473A</v>
      </c>
      <c r="S301" s="150">
        <f t="shared" si="24"/>
        <v>0</v>
      </c>
      <c r="T301" s="152" t="str">
        <f>+VLOOKUP($L301,Data_Validation!$A:$D,1,0)</f>
        <v>473A</v>
      </c>
      <c r="U301" s="152" t="str">
        <f>+VLOOKUP($L301,Data_Validation!$A:$D,3,0)</f>
        <v>pièces</v>
      </c>
      <c r="V301" s="152" t="str">
        <f>+VLOOKUP($L301,Data_Validation!$A:$D,4,0)</f>
        <v>Ventes Internes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1133</v>
      </c>
      <c r="B302" s="718" t="s">
        <v>425</v>
      </c>
      <c r="C302" s="720">
        <v>-92308.64</v>
      </c>
      <c r="D302" s="720">
        <v>-11501.09</v>
      </c>
      <c r="E302" s="720">
        <v>-103809.73</v>
      </c>
      <c r="F302" s="718" t="s">
        <v>2007</v>
      </c>
      <c r="G302" s="718" t="s">
        <v>1118</v>
      </c>
      <c r="H302" s="673"/>
      <c r="I302" s="672"/>
      <c r="J302" s="672"/>
      <c r="K302" s="672"/>
      <c r="L302" s="149" t="str">
        <f t="shared" si="20"/>
        <v>474E</v>
      </c>
      <c r="M302" s="150" t="str">
        <f t="shared" si="21"/>
        <v>VTE - PIECES COMP. BMW ACCESSOIRE</v>
      </c>
      <c r="N302" s="151">
        <f>+IF(OR($Q302=Parametres!$G$2,$Q302=Parametres!$G$3),I302,C302)</f>
        <v>-92308.64</v>
      </c>
      <c r="O302" s="151">
        <f>+IF(OR($Q302=Parametres!$G$2,$Q302=Parametres!$G$3),J302,D302)</f>
        <v>-11501.09</v>
      </c>
      <c r="P302" s="151">
        <f>+IF(OR($Q302=Parametres!$G$2,$Q302=Parametres!$G$3),K302,E302)</f>
        <v>-103809.73</v>
      </c>
      <c r="Q302" s="150" t="str">
        <f t="shared" si="22"/>
        <v>5-Ventes</v>
      </c>
      <c r="R302" s="149" t="str">
        <f t="shared" si="23"/>
        <v>474A</v>
      </c>
      <c r="S302" s="150">
        <f t="shared" si="24"/>
        <v>0</v>
      </c>
      <c r="T302" s="152" t="str">
        <f>+VLOOKUP($L302,Data_Validation!$A:$D,1,0)</f>
        <v>474E</v>
      </c>
      <c r="U302" s="152" t="str">
        <f>+VLOOKUP($L302,Data_Validation!$A:$D,3,0)</f>
        <v>pièces</v>
      </c>
      <c r="V302" s="152" t="str">
        <f>+VLOOKUP($L302,Data_Validation!$A:$D,4,0)</f>
        <v>Ventes Détails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1370</v>
      </c>
      <c r="B303" s="718" t="s">
        <v>605</v>
      </c>
      <c r="C303" s="720">
        <v>-90273.5</v>
      </c>
      <c r="D303" s="720">
        <v>0</v>
      </c>
      <c r="E303" s="720">
        <v>-90273.5</v>
      </c>
      <c r="F303" s="718" t="s">
        <v>2007</v>
      </c>
      <c r="G303" s="718" t="s">
        <v>605</v>
      </c>
      <c r="H303" s="609"/>
      <c r="I303" s="608"/>
      <c r="J303" s="608"/>
      <c r="K303" s="608"/>
      <c r="L303" s="149" t="str">
        <f t="shared" si="20"/>
        <v>405B</v>
      </c>
      <c r="M303" s="150" t="str">
        <f t="shared" si="21"/>
        <v>VTES -VTE - 430I XDRIVE CABRIOLET</v>
      </c>
      <c r="N303" s="151">
        <f>+IF(OR($Q303=Parametres!$G$2,$Q303=Parametres!$G$3),I303,C303)</f>
        <v>-90273.5</v>
      </c>
      <c r="O303" s="504">
        <f>+IF(OR($Q303=Parametres!$G$2,$Q303=Parametres!$G$3),J303,D303)</f>
        <v>0</v>
      </c>
      <c r="P303" s="151">
        <f>+IF(OR($Q303=Parametres!$G$2,$Q303=Parametres!$G$3),K303,E303)</f>
        <v>-90273.5</v>
      </c>
      <c r="Q303" s="150" t="str">
        <f t="shared" si="22"/>
        <v>5-Ventes</v>
      </c>
      <c r="R303" s="149" t="str">
        <f t="shared" si="23"/>
        <v>405B</v>
      </c>
      <c r="S303" s="150">
        <f t="shared" si="24"/>
        <v>0</v>
      </c>
      <c r="T303" s="152" t="str">
        <f>+VLOOKUP($L303,Data_Validation!$A:$D,1,0)</f>
        <v>405B</v>
      </c>
      <c r="U303" s="152" t="str">
        <f>+VLOOKUP($L303,Data_Validation!$A:$D,3,0)</f>
        <v>Véhicules neufs</v>
      </c>
      <c r="V303" s="152" t="str">
        <f>+VLOOKUP($L303,Data_Validation!$A:$D,4,0)</f>
        <v>Autos détail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2507</v>
      </c>
      <c r="B304" s="718" t="s">
        <v>2508</v>
      </c>
      <c r="C304" s="720">
        <v>-88209.5</v>
      </c>
      <c r="D304" s="720">
        <v>0</v>
      </c>
      <c r="E304" s="720">
        <v>-88209.5</v>
      </c>
      <c r="F304" s="718" t="s">
        <v>2007</v>
      </c>
      <c r="G304" s="718" t="s">
        <v>2508</v>
      </c>
      <c r="H304" s="673"/>
      <c r="I304" s="672"/>
      <c r="J304" s="672"/>
      <c r="K304" s="672"/>
      <c r="L304" s="149" t="str">
        <f t="shared" si="20"/>
        <v>401F</v>
      </c>
      <c r="M304" s="150" t="str">
        <f t="shared" si="21"/>
        <v>VTES -VTE - M2</v>
      </c>
      <c r="N304" s="151">
        <f>+IF(OR($Q304=Parametres!$G$2,$Q304=Parametres!$G$3),I304,C304)</f>
        <v>-88209.5</v>
      </c>
      <c r="O304" s="151">
        <f>+IF(OR($Q304=Parametres!$G$2,$Q304=Parametres!$G$3),J304,D304)</f>
        <v>0</v>
      </c>
      <c r="P304" s="151">
        <f>+IF(OR($Q304=Parametres!$G$2,$Q304=Parametres!$G$3),K304,E304)</f>
        <v>-88209.5</v>
      </c>
      <c r="Q304" s="150" t="str">
        <f t="shared" si="22"/>
        <v>5-Ventes</v>
      </c>
      <c r="R304" s="149" t="str">
        <f t="shared" si="23"/>
        <v>401F</v>
      </c>
      <c r="S304" s="150">
        <f t="shared" si="24"/>
        <v>0</v>
      </c>
      <c r="T304" s="152" t="str">
        <f>+VLOOKUP($L304,Data_Validation!$A:$D,1,0)</f>
        <v>401F</v>
      </c>
      <c r="U304" s="152" t="str">
        <f>+VLOOKUP($L304,Data_Validation!$A:$D,3,0)</f>
        <v>Véhicules neufs</v>
      </c>
      <c r="V304" s="152" t="str">
        <f>+VLOOKUP($L304,Data_Validation!$A:$D,4,0)</f>
        <v>Autos détail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1109</v>
      </c>
      <c r="B305" s="718" t="s">
        <v>436</v>
      </c>
      <c r="C305" s="720">
        <v>-86466.69</v>
      </c>
      <c r="D305" s="720">
        <v>-8608.83</v>
      </c>
      <c r="E305" s="720">
        <v>-95075.520000000004</v>
      </c>
      <c r="F305" s="718" t="s">
        <v>2007</v>
      </c>
      <c r="G305" s="718" t="s">
        <v>1110</v>
      </c>
      <c r="H305" s="673"/>
      <c r="I305" s="672"/>
      <c r="J305" s="672"/>
      <c r="K305" s="672"/>
      <c r="L305" s="149" t="str">
        <f t="shared" si="20"/>
        <v>461B</v>
      </c>
      <c r="M305" s="150" t="str">
        <f t="shared" si="21"/>
        <v>VTE - M/O GARANTIE BMW CAMION</v>
      </c>
      <c r="N305" s="151">
        <f>+IF(OR($Q305=Parametres!$G$2,$Q305=Parametres!$G$3),I305,C305)</f>
        <v>-86466.69</v>
      </c>
      <c r="O305" s="151">
        <f>+IF(OR($Q305=Parametres!$G$2,$Q305=Parametres!$G$3),J305,D305)</f>
        <v>-8608.83</v>
      </c>
      <c r="P305" s="151">
        <f>+IF(OR($Q305=Parametres!$G$2,$Q305=Parametres!$G$3),K305,E305)</f>
        <v>-95075.520000000004</v>
      </c>
      <c r="Q305" s="150" t="str">
        <f t="shared" si="22"/>
        <v>5-Ventes</v>
      </c>
      <c r="R305" s="149" t="str">
        <f t="shared" si="23"/>
        <v>461A</v>
      </c>
      <c r="S305" s="150">
        <f t="shared" si="24"/>
        <v>0</v>
      </c>
      <c r="T305" s="152" t="str">
        <f>+VLOOKUP($L305,Data_Validation!$A:$D,1,0)</f>
        <v>461B</v>
      </c>
      <c r="U305" s="152" t="str">
        <f>+VLOOKUP($L305,Data_Validation!$A:$D,3,0)</f>
        <v>service</v>
      </c>
      <c r="V305" s="152" t="str">
        <f>+VLOOKUP($L305,Data_Validation!$A:$D,4,0)</f>
        <v>M/O Garantie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1979</v>
      </c>
      <c r="B306" s="718" t="s">
        <v>1980</v>
      </c>
      <c r="C306" s="720">
        <v>-80066.53</v>
      </c>
      <c r="D306" s="720">
        <v>0</v>
      </c>
      <c r="E306" s="720">
        <v>-80066.53</v>
      </c>
      <c r="F306" s="718" t="s">
        <v>2007</v>
      </c>
      <c r="G306" s="718" t="s">
        <v>1980</v>
      </c>
      <c r="H306" s="673"/>
      <c r="I306" s="672"/>
      <c r="J306" s="672"/>
      <c r="K306" s="672"/>
      <c r="L306" s="149" t="str">
        <f t="shared" si="20"/>
        <v>412C</v>
      </c>
      <c r="M306" s="150" t="str">
        <f t="shared" si="21"/>
        <v>M340I XDRIVE</v>
      </c>
      <c r="N306" s="151">
        <f>+IF(OR($Q306=Parametres!$G$2,$Q306=Parametres!$G$3),I306,C306)</f>
        <v>-80066.53</v>
      </c>
      <c r="O306" s="151">
        <f>+IF(OR($Q306=Parametres!$G$2,$Q306=Parametres!$G$3),J306,D306)</f>
        <v>0</v>
      </c>
      <c r="P306" s="151">
        <f>+IF(OR($Q306=Parametres!$G$2,$Q306=Parametres!$G$3),K306,E306)</f>
        <v>-80066.53</v>
      </c>
      <c r="Q306" s="150" t="str">
        <f t="shared" si="22"/>
        <v>5-Ventes</v>
      </c>
      <c r="R306" s="149" t="str">
        <f t="shared" si="23"/>
        <v>412C</v>
      </c>
      <c r="S306" s="150">
        <f t="shared" si="24"/>
        <v>0</v>
      </c>
      <c r="T306" s="152" t="str">
        <f>+VLOOKUP($L306,Data_Validation!$A:$D,1,0)</f>
        <v>412C</v>
      </c>
      <c r="U306" s="152" t="str">
        <f>+VLOOKUP($L306,Data_Validation!$A:$D,3,0)</f>
        <v>Véhicules neufs</v>
      </c>
      <c r="V306" s="152" t="str">
        <f>+VLOOKUP($L306,Data_Validation!$A:$D,4,0)</f>
        <v>Autos détail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1140</v>
      </c>
      <c r="B307" s="718" t="s">
        <v>1139</v>
      </c>
      <c r="C307" s="720">
        <v>-76427.08</v>
      </c>
      <c r="D307" s="720">
        <v>-8717.33</v>
      </c>
      <c r="E307" s="720">
        <v>-85144.41</v>
      </c>
      <c r="F307" s="718" t="s">
        <v>2007</v>
      </c>
      <c r="G307" s="718" t="s">
        <v>1139</v>
      </c>
      <c r="H307" s="673"/>
      <c r="I307" s="672"/>
      <c r="J307" s="672"/>
      <c r="K307" s="672"/>
      <c r="L307" s="149" t="str">
        <f t="shared" si="20"/>
        <v>462A</v>
      </c>
      <c r="M307" s="150" t="str">
        <f t="shared" si="21"/>
        <v>VTE - M/O INTERNE BMW AUTO</v>
      </c>
      <c r="N307" s="151">
        <f>+IF(OR($Q307=Parametres!$G$2,$Q307=Parametres!$G$3),I307,C307)</f>
        <v>-76427.08</v>
      </c>
      <c r="O307" s="151">
        <f>+IF(OR($Q307=Parametres!$G$2,$Q307=Parametres!$G$3),J307,D307)</f>
        <v>-8717.33</v>
      </c>
      <c r="P307" s="151">
        <f>+IF(OR($Q307=Parametres!$G$2,$Q307=Parametres!$G$3),K307,E307)</f>
        <v>-85144.41</v>
      </c>
      <c r="Q307" s="150" t="str">
        <f t="shared" si="22"/>
        <v>5-Ventes</v>
      </c>
      <c r="R307" s="149" t="str">
        <f t="shared" si="23"/>
        <v>462A</v>
      </c>
      <c r="S307" s="150">
        <f t="shared" si="24"/>
        <v>0</v>
      </c>
      <c r="T307" s="152" t="str">
        <f>+VLOOKUP($L307,Data_Validation!$A:$D,1,0)</f>
        <v>462A</v>
      </c>
      <c r="U307" s="152" t="str">
        <f>+VLOOKUP($L307,Data_Validation!$A:$D,3,0)</f>
        <v>service</v>
      </c>
      <c r="V307" s="152" t="str">
        <f>+VLOOKUP($L307,Data_Validation!$A:$D,4,0)</f>
        <v>M/O Interne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1861</v>
      </c>
      <c r="B308" s="718" t="s">
        <v>607</v>
      </c>
      <c r="C308" s="719">
        <v>-72260.61</v>
      </c>
      <c r="D308" s="719">
        <v>-78387.77</v>
      </c>
      <c r="E308" s="719">
        <v>-150648.38</v>
      </c>
      <c r="F308" s="718" t="s">
        <v>2007</v>
      </c>
      <c r="G308" s="718" t="s">
        <v>607</v>
      </c>
      <c r="H308" s="719"/>
      <c r="I308" s="720"/>
      <c r="J308" s="720"/>
      <c r="K308" s="720"/>
      <c r="L308" s="149" t="str">
        <f t="shared" si="20"/>
        <v>405F</v>
      </c>
      <c r="M308" s="150" t="str">
        <f t="shared" si="21"/>
        <v>VTES -VTE - 440I XDRIVE GRAN COUPE</v>
      </c>
      <c r="N308" s="151">
        <f>+IF(OR($Q308=Parametres!$G$2,$Q308=Parametres!$G$3),I308,C308)</f>
        <v>-72260.61</v>
      </c>
      <c r="O308" s="151">
        <f>+IF(OR($Q308=Parametres!$G$2,$Q308=Parametres!$G$3),J308,D308)</f>
        <v>-78387.77</v>
      </c>
      <c r="P308" s="151">
        <f>+IF(OR($Q308=Parametres!$G$2,$Q308=Parametres!$G$3),K308,E308)</f>
        <v>-150648.38</v>
      </c>
      <c r="Q308" s="150" t="str">
        <f t="shared" si="22"/>
        <v>5-Ventes</v>
      </c>
      <c r="R308" s="149" t="str">
        <f t="shared" si="23"/>
        <v>405F</v>
      </c>
      <c r="S308" s="150">
        <f t="shared" si="24"/>
        <v>0</v>
      </c>
      <c r="T308" s="152" t="str">
        <f>+VLOOKUP($L308,Data_Validation!$A:$D,1,0)</f>
        <v>405F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2175</v>
      </c>
      <c r="B309" s="718" t="s">
        <v>2176</v>
      </c>
      <c r="C309" s="720">
        <v>-68659.12</v>
      </c>
      <c r="D309" s="720">
        <v>-5506.02</v>
      </c>
      <c r="E309" s="720">
        <v>-74165.14</v>
      </c>
      <c r="F309" s="718" t="s">
        <v>2007</v>
      </c>
      <c r="G309" s="718" t="s">
        <v>1139</v>
      </c>
      <c r="H309" s="673"/>
      <c r="I309" s="672"/>
      <c r="J309" s="672"/>
      <c r="K309" s="672"/>
      <c r="L309" s="149" t="str">
        <f t="shared" si="20"/>
        <v>462L</v>
      </c>
      <c r="M309" s="150" t="str">
        <f t="shared" si="21"/>
        <v>VTES -SUBLET INTERNE AUTO</v>
      </c>
      <c r="N309" s="151">
        <f>+IF(OR($Q309=Parametres!$G$2,$Q309=Parametres!$G$3),I309,C309)</f>
        <v>-68659.12</v>
      </c>
      <c r="O309" s="151">
        <f>+IF(OR($Q309=Parametres!$G$2,$Q309=Parametres!$G$3),J309,D309)</f>
        <v>-5506.02</v>
      </c>
      <c r="P309" s="151">
        <f>+IF(OR($Q309=Parametres!$G$2,$Q309=Parametres!$G$3),K309,E309)</f>
        <v>-74165.14</v>
      </c>
      <c r="Q309" s="150" t="str">
        <f t="shared" si="22"/>
        <v>5-Ventes</v>
      </c>
      <c r="R309" s="149" t="str">
        <f t="shared" si="23"/>
        <v>462A</v>
      </c>
      <c r="S309" s="150">
        <f t="shared" si="24"/>
        <v>0</v>
      </c>
      <c r="T309" s="152" t="str">
        <f>+VLOOKUP($L309,Data_Validation!$A:$D,1,0)</f>
        <v>462L</v>
      </c>
      <c r="U309" s="152" t="str">
        <f>+VLOOKUP($L309,Data_Validation!$A:$D,3,0)</f>
        <v>Service</v>
      </c>
      <c r="V309" s="152" t="str">
        <f>+VLOOKUP($L309,Data_Validation!$A:$D,4,0)</f>
        <v>M/O Interne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1373</v>
      </c>
      <c r="B310" s="718" t="s">
        <v>610</v>
      </c>
      <c r="C310" s="720">
        <v>-66243.350000000006</v>
      </c>
      <c r="D310" s="720">
        <v>0</v>
      </c>
      <c r="E310" s="720">
        <v>-66243.350000000006</v>
      </c>
      <c r="F310" s="718" t="s">
        <v>2007</v>
      </c>
      <c r="G310" s="718" t="s">
        <v>610</v>
      </c>
      <c r="H310" s="666"/>
      <c r="I310" s="665"/>
      <c r="J310" s="665"/>
      <c r="K310" s="665"/>
      <c r="L310" s="149" t="str">
        <f t="shared" si="20"/>
        <v>406G</v>
      </c>
      <c r="M310" s="150" t="str">
        <f t="shared" si="21"/>
        <v>VTES -VTE - M240I XDRIVE COUPE</v>
      </c>
      <c r="N310" s="151">
        <f>+IF(OR($Q310=Parametres!$G$2,$Q310=Parametres!$G$3),I310,C310)</f>
        <v>-66243.350000000006</v>
      </c>
      <c r="O310" s="151">
        <f>+IF(OR($Q310=Parametres!$G$2,$Q310=Parametres!$G$3),J310,D310)</f>
        <v>0</v>
      </c>
      <c r="P310" s="151">
        <f>+IF(OR($Q310=Parametres!$G$2,$Q310=Parametres!$G$3),K310,E310)</f>
        <v>-66243.350000000006</v>
      </c>
      <c r="Q310" s="150" t="str">
        <f t="shared" si="22"/>
        <v>5-Ventes</v>
      </c>
      <c r="R310" s="149" t="str">
        <f t="shared" si="23"/>
        <v>406G</v>
      </c>
      <c r="S310" s="150">
        <f t="shared" si="24"/>
        <v>0</v>
      </c>
      <c r="T310" s="152" t="str">
        <f>+VLOOKUP($L310,Data_Validation!$A:$D,1,0)</f>
        <v>406G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2177</v>
      </c>
      <c r="B311" s="718" t="s">
        <v>2178</v>
      </c>
      <c r="C311" s="720">
        <v>-64869.09</v>
      </c>
      <c r="D311" s="720">
        <v>-8572.08</v>
      </c>
      <c r="E311" s="720">
        <v>-73441.17</v>
      </c>
      <c r="F311" s="718" t="s">
        <v>2007</v>
      </c>
      <c r="G311" s="718" t="s">
        <v>1139</v>
      </c>
      <c r="H311" s="673"/>
      <c r="I311" s="672"/>
      <c r="J311" s="672"/>
      <c r="K311" s="672"/>
      <c r="L311" s="149" t="str">
        <f t="shared" si="20"/>
        <v>462M</v>
      </c>
      <c r="M311" s="150" t="str">
        <f t="shared" si="21"/>
        <v>VTES -SUBLET INTERNE CAMION</v>
      </c>
      <c r="N311" s="151">
        <f>+IF(OR($Q311=Parametres!$G$2,$Q311=Parametres!$G$3),I311,C311)</f>
        <v>-64869.09</v>
      </c>
      <c r="O311" s="151">
        <f>+IF(OR($Q311=Parametres!$G$2,$Q311=Parametres!$G$3),J311,D311)</f>
        <v>-8572.08</v>
      </c>
      <c r="P311" s="151">
        <f>+IF(OR($Q311=Parametres!$G$2,$Q311=Parametres!$G$3),K311,E311)</f>
        <v>-73441.17</v>
      </c>
      <c r="Q311" s="150" t="str">
        <f t="shared" si="22"/>
        <v>5-Ventes</v>
      </c>
      <c r="R311" s="149" t="str">
        <f t="shared" si="23"/>
        <v>462A</v>
      </c>
      <c r="S311" s="150">
        <f t="shared" si="24"/>
        <v>0</v>
      </c>
      <c r="T311" s="152" t="str">
        <f>+VLOOKUP($L311,Data_Validation!$A:$D,1,0)</f>
        <v>462M</v>
      </c>
      <c r="U311" s="152" t="str">
        <f>+VLOOKUP($L311,Data_Validation!$A:$D,3,0)</f>
        <v>Service</v>
      </c>
      <c r="V311" s="152" t="str">
        <f>+VLOOKUP($L311,Data_Validation!$A:$D,4,0)</f>
        <v>M/O Interne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1089</v>
      </c>
      <c r="B312" s="718" t="s">
        <v>612</v>
      </c>
      <c r="C312" s="720">
        <v>-63527.8</v>
      </c>
      <c r="D312" s="720">
        <v>0</v>
      </c>
      <c r="E312" s="720">
        <v>-63527.8</v>
      </c>
      <c r="F312" s="718" t="s">
        <v>2007</v>
      </c>
      <c r="G312" s="718" t="s">
        <v>612</v>
      </c>
      <c r="H312" s="666"/>
      <c r="I312" s="665"/>
      <c r="J312" s="665"/>
      <c r="K312" s="665"/>
      <c r="L312" s="149" t="str">
        <f t="shared" si="20"/>
        <v>411C</v>
      </c>
      <c r="M312" s="150" t="str">
        <f t="shared" si="21"/>
        <v>VTES -VTE - 330I XDRIVE SEDAN</v>
      </c>
      <c r="N312" s="151">
        <f>+IF(OR($Q312=Parametres!$G$2,$Q312=Parametres!$G$3),I312,C312)</f>
        <v>-63527.8</v>
      </c>
      <c r="O312" s="151">
        <f>+IF(OR($Q312=Parametres!$G$2,$Q312=Parametres!$G$3),J312,D312)</f>
        <v>0</v>
      </c>
      <c r="P312" s="151">
        <f>+IF(OR($Q312=Parametres!$G$2,$Q312=Parametres!$G$3),K312,E312)</f>
        <v>-63527.8</v>
      </c>
      <c r="Q312" s="150" t="str">
        <f t="shared" si="22"/>
        <v>5-Ventes</v>
      </c>
      <c r="R312" s="149" t="str">
        <f t="shared" si="23"/>
        <v>411C</v>
      </c>
      <c r="S312" s="150">
        <f t="shared" si="24"/>
        <v>0</v>
      </c>
      <c r="T312" s="152" t="str">
        <f>+VLOOKUP($L312,Data_Validation!$A:$D,1,0)</f>
        <v>411C</v>
      </c>
      <c r="U312" s="152" t="str">
        <f>+VLOOKUP($L312,Data_Validation!$A:$D,3,0)</f>
        <v>Véhicules neufs</v>
      </c>
      <c r="V312" s="152" t="str">
        <f>+VLOOKUP($L312,Data_Validation!$A:$D,4,0)</f>
        <v>Autos détail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1141</v>
      </c>
      <c r="B313" s="718" t="s">
        <v>435</v>
      </c>
      <c r="C313" s="719">
        <v>-63477.57</v>
      </c>
      <c r="D313" s="719">
        <v>-7780.08</v>
      </c>
      <c r="E313" s="719">
        <v>-71257.649999999994</v>
      </c>
      <c r="F313" s="718" t="s">
        <v>2007</v>
      </c>
      <c r="G313" s="718" t="s">
        <v>441</v>
      </c>
      <c r="H313" s="719"/>
      <c r="I313" s="720"/>
      <c r="J313" s="720"/>
      <c r="K313" s="720"/>
      <c r="L313" s="149" t="str">
        <f t="shared" si="20"/>
        <v>461E</v>
      </c>
      <c r="M313" s="150" t="str">
        <f t="shared" si="21"/>
        <v>VTE - M/O ENTRETIEN BMW CAMION</v>
      </c>
      <c r="N313" s="151">
        <f>+IF(OR($Q313=Parametres!$G$2,$Q313=Parametres!$G$3),I313,C313)</f>
        <v>-63477.57</v>
      </c>
      <c r="O313" s="151">
        <f>+IF(OR($Q313=Parametres!$G$2,$Q313=Parametres!$G$3),J313,D313)</f>
        <v>-7780.08</v>
      </c>
      <c r="P313" s="151">
        <f>+IF(OR($Q313=Parametres!$G$2,$Q313=Parametres!$G$3),K313,E313)</f>
        <v>-71257.649999999994</v>
      </c>
      <c r="Q313" s="150" t="str">
        <f t="shared" si="22"/>
        <v>5-Ventes</v>
      </c>
      <c r="R313" s="149" t="str">
        <f t="shared" si="23"/>
        <v>461D</v>
      </c>
      <c r="S313" s="150">
        <f t="shared" si="24"/>
        <v>0</v>
      </c>
      <c r="T313" s="152" t="str">
        <f>+VLOOKUP($L313,Data_Validation!$A:$D,1,0)</f>
        <v>461E</v>
      </c>
      <c r="U313" s="152" t="str">
        <f>+VLOOKUP($L313,Data_Validation!$A:$D,3,0)</f>
        <v>service</v>
      </c>
      <c r="V313" s="152" t="str">
        <f>+VLOOKUP($L313,Data_Validation!$A:$D,4,0)</f>
        <v>M/O Garantie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1150</v>
      </c>
      <c r="B314" s="718" t="s">
        <v>1151</v>
      </c>
      <c r="C314" s="720">
        <v>-59339.08</v>
      </c>
      <c r="D314" s="720">
        <v>-7503.28</v>
      </c>
      <c r="E314" s="720">
        <v>-66842.36</v>
      </c>
      <c r="F314" s="718" t="s">
        <v>2007</v>
      </c>
      <c r="G314" s="718" t="s">
        <v>445</v>
      </c>
      <c r="H314" s="673"/>
      <c r="I314" s="672"/>
      <c r="J314" s="672"/>
      <c r="K314" s="672"/>
      <c r="L314" s="149" t="str">
        <f t="shared" si="20"/>
        <v>489B</v>
      </c>
      <c r="M314" s="150" t="str">
        <f t="shared" si="21"/>
        <v>VTE - HUILE &amp; GRAISSE</v>
      </c>
      <c r="N314" s="151">
        <f>+IF(OR($Q314=Parametres!$G$2,$Q314=Parametres!$G$3),I314,C314)</f>
        <v>-59339.08</v>
      </c>
      <c r="O314" s="151">
        <f>+IF(OR($Q314=Parametres!$G$2,$Q314=Parametres!$G$3),J314,D314)</f>
        <v>-7503.28</v>
      </c>
      <c r="P314" s="151">
        <f>+IF(OR($Q314=Parametres!$G$2,$Q314=Parametres!$G$3),K314,E314)</f>
        <v>-66842.36</v>
      </c>
      <c r="Q314" s="150" t="str">
        <f t="shared" si="22"/>
        <v>5-Ventes</v>
      </c>
      <c r="R314" s="149" t="str">
        <f t="shared" si="23"/>
        <v>489A</v>
      </c>
      <c r="S314" s="150">
        <f t="shared" si="24"/>
        <v>0</v>
      </c>
      <c r="T314" s="152" t="str">
        <f>+VLOOKUP($L314,Data_Validation!$A:$D,1,0)</f>
        <v>489B</v>
      </c>
      <c r="U314" s="152" t="str">
        <f>+VLOOKUP($L314,Data_Validation!$A:$D,3,0)</f>
        <v>pièces</v>
      </c>
      <c r="V314" s="152" t="str">
        <f>+VLOOKUP($L314,Data_Validation!$A:$D,4,0)</f>
        <v>Huiles et Graisse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1131</v>
      </c>
      <c r="B315" s="671" t="s">
        <v>449</v>
      </c>
      <c r="C315" s="672">
        <v>-56962.71</v>
      </c>
      <c r="D315" s="672">
        <v>-14154.45</v>
      </c>
      <c r="E315" s="672">
        <v>-71117.16</v>
      </c>
      <c r="F315" s="671" t="s">
        <v>2007</v>
      </c>
      <c r="G315" s="671" t="s">
        <v>1132</v>
      </c>
      <c r="H315" s="666"/>
      <c r="I315" s="665"/>
      <c r="J315" s="665"/>
      <c r="K315" s="665"/>
      <c r="L315" s="149" t="str">
        <f t="shared" si="20"/>
        <v>473B</v>
      </c>
      <c r="M315" s="150" t="str">
        <f t="shared" si="21"/>
        <v>VTE - PIECES INTERNE BMW CAMION</v>
      </c>
      <c r="N315" s="151">
        <f>+IF(OR($Q315=Parametres!$G$2,$Q315=Parametres!$G$3),I315,C315)</f>
        <v>-56962.71</v>
      </c>
      <c r="O315" s="151">
        <f>+IF(OR($Q315=Parametres!$G$2,$Q315=Parametres!$G$3),J315,D315)</f>
        <v>-14154.45</v>
      </c>
      <c r="P315" s="151">
        <f>+IF(OR($Q315=Parametres!$G$2,$Q315=Parametres!$G$3),K315,E315)</f>
        <v>-71117.16</v>
      </c>
      <c r="Q315" s="150" t="str">
        <f t="shared" si="22"/>
        <v>5-Ventes</v>
      </c>
      <c r="R315" s="149" t="str">
        <f t="shared" si="23"/>
        <v>473A</v>
      </c>
      <c r="S315" s="150">
        <f t="shared" si="24"/>
        <v>0</v>
      </c>
      <c r="T315" s="152" t="str">
        <f>+VLOOKUP($L315,Data_Validation!$A:$D,1,0)</f>
        <v>473B</v>
      </c>
      <c r="U315" s="152" t="str">
        <f>+VLOOKUP($L315,Data_Validation!$A:$D,3,0)</f>
        <v>pièces</v>
      </c>
      <c r="V315" s="152" t="str">
        <f>+VLOOKUP($L315,Data_Validation!$A:$D,4,0)</f>
        <v>Ventes Internes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1149</v>
      </c>
      <c r="B316" s="671" t="s">
        <v>464</v>
      </c>
      <c r="C316" s="672">
        <v>-50612.97</v>
      </c>
      <c r="D316" s="672">
        <v>-6544.55</v>
      </c>
      <c r="E316" s="672">
        <v>-57157.52</v>
      </c>
      <c r="F316" s="671" t="s">
        <v>2007</v>
      </c>
      <c r="G316" s="671" t="s">
        <v>434</v>
      </c>
      <c r="H316" s="666"/>
      <c r="I316" s="665"/>
      <c r="J316" s="665"/>
      <c r="K316" s="665"/>
      <c r="L316" s="149" t="str">
        <f t="shared" si="20"/>
        <v>472E</v>
      </c>
      <c r="M316" s="150" t="str">
        <f t="shared" si="21"/>
        <v>VTE - PIECES ENTRETIEN BMW CAMION</v>
      </c>
      <c r="N316" s="151">
        <f>+IF(OR($Q316=Parametres!$G$2,$Q316=Parametres!$G$3),I316,C316)</f>
        <v>-50612.97</v>
      </c>
      <c r="O316" s="151">
        <f>+IF(OR($Q316=Parametres!$G$2,$Q316=Parametres!$G$3),J316,D316)</f>
        <v>-6544.55</v>
      </c>
      <c r="P316" s="151">
        <f>+IF(OR($Q316=Parametres!$G$2,$Q316=Parametres!$G$3),K316,E316)</f>
        <v>-57157.52</v>
      </c>
      <c r="Q316" s="150" t="str">
        <f t="shared" si="22"/>
        <v>5-Ventes</v>
      </c>
      <c r="R316" s="149" t="str">
        <f t="shared" si="23"/>
        <v>472D</v>
      </c>
      <c r="S316" s="150">
        <f t="shared" si="24"/>
        <v>0</v>
      </c>
      <c r="T316" s="152" t="str">
        <f>+VLOOKUP($L316,Data_Validation!$A:$D,1,0)</f>
        <v>472E</v>
      </c>
      <c r="U316" s="152" t="str">
        <f>+VLOOKUP($L316,Data_Validation!$A:$D,3,0)</f>
        <v>pièces</v>
      </c>
      <c r="V316" s="152" t="str">
        <f>+VLOOKUP($L316,Data_Validation!$A:$D,4,0)</f>
        <v>P/A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1146</v>
      </c>
      <c r="B317" s="718" t="s">
        <v>445</v>
      </c>
      <c r="C317" s="719">
        <v>-49760.95</v>
      </c>
      <c r="D317" s="719">
        <v>-6291.03</v>
      </c>
      <c r="E317" s="719">
        <v>-56051.98</v>
      </c>
      <c r="F317" s="718" t="s">
        <v>2007</v>
      </c>
      <c r="G317" s="718" t="s">
        <v>445</v>
      </c>
      <c r="H317" s="719"/>
      <c r="I317" s="720"/>
      <c r="J317" s="720"/>
      <c r="K317" s="720"/>
      <c r="L317" s="149" t="str">
        <f t="shared" si="20"/>
        <v>489A</v>
      </c>
      <c r="M317" s="150" t="str">
        <f t="shared" si="21"/>
        <v>VTE - HUILES &amp; GRAISSES</v>
      </c>
      <c r="N317" s="151">
        <f>+IF(OR($Q317=Parametres!$G$2,$Q317=Parametres!$G$3),I317,C317)</f>
        <v>-49760.95</v>
      </c>
      <c r="O317" s="151">
        <f>+IF(OR($Q317=Parametres!$G$2,$Q317=Parametres!$G$3),J317,D317)</f>
        <v>-6291.03</v>
      </c>
      <c r="P317" s="151">
        <f>+IF(OR($Q317=Parametres!$G$2,$Q317=Parametres!$G$3),K317,E317)</f>
        <v>-56051.98</v>
      </c>
      <c r="Q317" s="150" t="str">
        <f t="shared" si="22"/>
        <v>5-Ventes</v>
      </c>
      <c r="R317" s="149" t="str">
        <f t="shared" si="23"/>
        <v>489A</v>
      </c>
      <c r="S317" s="150">
        <f t="shared" si="24"/>
        <v>0</v>
      </c>
      <c r="T317" s="152" t="str">
        <f>+VLOOKUP($L317,Data_Validation!$A:$D,1,0)</f>
        <v>489A</v>
      </c>
      <c r="U317" s="152" t="str">
        <f>+VLOOKUP($L317,Data_Validation!$A:$D,3,0)</f>
        <v>pièces</v>
      </c>
      <c r="V317" s="152" t="str">
        <f>+VLOOKUP($L317,Data_Validation!$A:$D,4,0)</f>
        <v>Huiles et Graisse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1372</v>
      </c>
      <c r="B318" s="718" t="s">
        <v>608</v>
      </c>
      <c r="C318" s="719">
        <v>-49508.31</v>
      </c>
      <c r="D318" s="719">
        <v>0</v>
      </c>
      <c r="E318" s="719">
        <v>-49508.31</v>
      </c>
      <c r="F318" s="718" t="s">
        <v>2007</v>
      </c>
      <c r="G318" s="718" t="s">
        <v>608</v>
      </c>
      <c r="H318" s="719"/>
      <c r="I318" s="720"/>
      <c r="J318" s="720"/>
      <c r="K318" s="720"/>
      <c r="L318" s="149" t="str">
        <f t="shared" si="20"/>
        <v>406D</v>
      </c>
      <c r="M318" s="150" t="str">
        <f t="shared" si="21"/>
        <v>VTES -VTE - 230I XDR COUPE</v>
      </c>
      <c r="N318" s="151">
        <f>+IF(OR($Q318=Parametres!$G$2,$Q318=Parametres!$G$3),I318,C318)</f>
        <v>-49508.31</v>
      </c>
      <c r="O318" s="151">
        <f>+IF(OR($Q318=Parametres!$G$2,$Q318=Parametres!$G$3),J318,D318)</f>
        <v>0</v>
      </c>
      <c r="P318" s="151">
        <f>+IF(OR($Q318=Parametres!$G$2,$Q318=Parametres!$G$3),K318,E318)</f>
        <v>-49508.31</v>
      </c>
      <c r="Q318" s="150" t="str">
        <f t="shared" si="22"/>
        <v>5-Ventes</v>
      </c>
      <c r="R318" s="149" t="str">
        <f t="shared" si="23"/>
        <v>406D</v>
      </c>
      <c r="S318" s="150">
        <f t="shared" si="24"/>
        <v>0</v>
      </c>
      <c r="T318" s="152" t="str">
        <f>+VLOOKUP($L318,Data_Validation!$A:$D,1,0)</f>
        <v>406D</v>
      </c>
      <c r="U318" s="152" t="str">
        <f>+VLOOKUP($L318,Data_Validation!$A:$D,3,0)</f>
        <v>Véhicules neufs</v>
      </c>
      <c r="V318" s="152" t="str">
        <f>+VLOOKUP($L318,Data_Validation!$A:$D,4,0)</f>
        <v>Autos détail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1127</v>
      </c>
      <c r="B319" s="671" t="s">
        <v>1110</v>
      </c>
      <c r="C319" s="672">
        <v>-45183.43</v>
      </c>
      <c r="D319" s="672">
        <v>-3685.5</v>
      </c>
      <c r="E319" s="672">
        <v>-48868.93</v>
      </c>
      <c r="F319" s="671" t="s">
        <v>2007</v>
      </c>
      <c r="G319" s="671" t="s">
        <v>1110</v>
      </c>
      <c r="H319" s="666"/>
      <c r="I319" s="665"/>
      <c r="J319" s="665"/>
      <c r="K319" s="665"/>
      <c r="L319" s="149" t="str">
        <f t="shared" si="20"/>
        <v>461A</v>
      </c>
      <c r="M319" s="150" t="str">
        <f t="shared" si="21"/>
        <v>VTE - M/O GARANTIE BMW AUTO</v>
      </c>
      <c r="N319" s="151">
        <f>+IF(OR($Q319=Parametres!$G$2,$Q319=Parametres!$G$3),I319,C319)</f>
        <v>-45183.43</v>
      </c>
      <c r="O319" s="151">
        <f>+IF(OR($Q319=Parametres!$G$2,$Q319=Parametres!$G$3),J319,D319)</f>
        <v>-3685.5</v>
      </c>
      <c r="P319" s="151">
        <f>+IF(OR($Q319=Parametres!$G$2,$Q319=Parametres!$G$3),K319,E319)</f>
        <v>-48868.93</v>
      </c>
      <c r="Q319" s="150" t="str">
        <f t="shared" si="22"/>
        <v>5-Ventes</v>
      </c>
      <c r="R319" s="149" t="str">
        <f t="shared" si="23"/>
        <v>461A</v>
      </c>
      <c r="S319" s="150">
        <f t="shared" si="24"/>
        <v>0</v>
      </c>
      <c r="T319" s="152" t="str">
        <f>+VLOOKUP($L319,Data_Validation!$A:$D,1,0)</f>
        <v>461A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1390</v>
      </c>
      <c r="B320" s="718" t="s">
        <v>1016</v>
      </c>
      <c r="C320" s="719">
        <v>-44426.5</v>
      </c>
      <c r="D320" s="719">
        <v>-6555.9</v>
      </c>
      <c r="E320" s="719">
        <v>-50982.400000000001</v>
      </c>
      <c r="F320" s="718" t="s">
        <v>2007</v>
      </c>
      <c r="G320" s="718" t="s">
        <v>625</v>
      </c>
      <c r="H320" s="719"/>
      <c r="I320" s="720"/>
      <c r="J320" s="720"/>
      <c r="K320" s="720"/>
      <c r="L320" s="149" t="str">
        <f t="shared" si="20"/>
        <v>430C</v>
      </c>
      <c r="M320" s="150" t="str">
        <f t="shared" si="21"/>
        <v>VTE - ACCESSOIRES NEUFS BMW AUTO</v>
      </c>
      <c r="N320" s="151">
        <f>+IF(OR($Q320=Parametres!$G$2,$Q320=Parametres!$G$3),I320,C320)</f>
        <v>-44426.5</v>
      </c>
      <c r="O320" s="151">
        <f>+IF(OR($Q320=Parametres!$G$2,$Q320=Parametres!$G$3),J320,D320)</f>
        <v>-6555.9</v>
      </c>
      <c r="P320" s="151">
        <f>+IF(OR($Q320=Parametres!$G$2,$Q320=Parametres!$G$3),K320,E320)</f>
        <v>-50982.400000000001</v>
      </c>
      <c r="Q320" s="150" t="str">
        <f t="shared" si="22"/>
        <v>5-Ventes</v>
      </c>
      <c r="R320" s="149" t="str">
        <f t="shared" si="23"/>
        <v>430</v>
      </c>
      <c r="S320" s="150">
        <f t="shared" si="24"/>
        <v>0</v>
      </c>
      <c r="T320" s="152" t="str">
        <f>+VLOOKUP($L320,Data_Validation!$A:$D,1,0)</f>
        <v>430C</v>
      </c>
      <c r="U320" s="152" t="str">
        <f>+VLOOKUP($L320,Data_Validation!$A:$D,3,0)</f>
        <v>Véhicules neufs</v>
      </c>
      <c r="V320" s="152" t="str">
        <f>+VLOOKUP($L320,Data_Validation!$A:$D,4,0)</f>
        <v>Rev. Autres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1018</v>
      </c>
      <c r="B321" s="718" t="s">
        <v>471</v>
      </c>
      <c r="C321" s="720">
        <v>-41923.360000000001</v>
      </c>
      <c r="D321" s="720">
        <v>-6375.64</v>
      </c>
      <c r="E321" s="720">
        <v>-48299</v>
      </c>
      <c r="F321" s="718" t="s">
        <v>2007</v>
      </c>
      <c r="G321" s="718" t="s">
        <v>1139</v>
      </c>
      <c r="H321" s="673"/>
      <c r="I321" s="672"/>
      <c r="J321" s="672"/>
      <c r="K321" s="672"/>
      <c r="L321" s="149" t="str">
        <f t="shared" si="20"/>
        <v>462D</v>
      </c>
      <c r="M321" s="150" t="str">
        <f t="shared" si="21"/>
        <v>VTE - M/O INTERNE BMW I</v>
      </c>
      <c r="N321" s="151">
        <f>+IF(OR($Q321=Parametres!$G$2,$Q321=Parametres!$G$3),I321,C321)</f>
        <v>-41923.360000000001</v>
      </c>
      <c r="O321" s="151">
        <f>+IF(OR($Q321=Parametres!$G$2,$Q321=Parametres!$G$3),J321,D321)</f>
        <v>-6375.64</v>
      </c>
      <c r="P321" s="151">
        <f>+IF(OR($Q321=Parametres!$G$2,$Q321=Parametres!$G$3),K321,E321)</f>
        <v>-48299</v>
      </c>
      <c r="Q321" s="150" t="str">
        <f t="shared" si="22"/>
        <v>5-Ventes</v>
      </c>
      <c r="R321" s="149" t="str">
        <f t="shared" si="23"/>
        <v>462A</v>
      </c>
      <c r="S321" s="150">
        <f t="shared" si="24"/>
        <v>0</v>
      </c>
      <c r="T321" s="152" t="str">
        <f>+VLOOKUP($L321,Data_Validation!$A:$D,1,0)</f>
        <v>462D</v>
      </c>
      <c r="U321" s="152" t="str">
        <f>+VLOOKUP($L321,Data_Validation!$A:$D,3,0)</f>
        <v>service</v>
      </c>
      <c r="V321" s="152" t="str">
        <f>+VLOOKUP($L321,Data_Validation!$A:$D,4,0)</f>
        <v>M/O Interne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2095</v>
      </c>
      <c r="B322" s="718" t="s">
        <v>2094</v>
      </c>
      <c r="C322" s="720">
        <v>-35360.300000000003</v>
      </c>
      <c r="D322" s="720">
        <v>-9465</v>
      </c>
      <c r="E322" s="720">
        <v>-44825.3</v>
      </c>
      <c r="F322" s="718" t="s">
        <v>2007</v>
      </c>
      <c r="G322" s="718" t="s">
        <v>2361</v>
      </c>
      <c r="H322" s="673"/>
      <c r="I322" s="672"/>
      <c r="J322" s="672"/>
      <c r="K322" s="672"/>
      <c r="L322" s="149" t="str">
        <f t="shared" ref="L322:L385" si="25">+B322</f>
        <v>434A</v>
      </c>
      <c r="M322" s="150" t="str">
        <f t="shared" ref="M322:M385" si="26">+A322</f>
        <v>VTE - CONT ENTRT NEUF BMW AUTO</v>
      </c>
      <c r="N322" s="151">
        <f>+IF(OR($Q322=Parametres!$G$2,$Q322=Parametres!$G$3),I322,C322)</f>
        <v>-35360.300000000003</v>
      </c>
      <c r="O322" s="151">
        <f>+IF(OR($Q322=Parametres!$G$2,$Q322=Parametres!$G$3),J322,D322)</f>
        <v>-9465</v>
      </c>
      <c r="P322" s="151">
        <f>+IF(OR($Q322=Parametres!$G$2,$Q322=Parametres!$G$3),K322,E322)</f>
        <v>-44825.3</v>
      </c>
      <c r="Q322" s="150" t="str">
        <f t="shared" ref="Q322:Q385" si="27">+F322</f>
        <v>5-Ventes</v>
      </c>
      <c r="R322" s="149" t="str">
        <f t="shared" ref="R322:R385" si="28">+G322</f>
        <v>434</v>
      </c>
      <c r="S322" s="150">
        <f t="shared" ref="S322:S385" si="29">+H322</f>
        <v>0</v>
      </c>
      <c r="T322" s="152" t="str">
        <f>+VLOOKUP($L322,Data_Validation!$A:$D,1,0)</f>
        <v>434A</v>
      </c>
      <c r="U322" s="152" t="str">
        <f>+VLOOKUP($L322,Data_Validation!$A:$D,3,0)</f>
        <v>Véhicules neufs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1013</v>
      </c>
      <c r="B323" s="718" t="s">
        <v>458</v>
      </c>
      <c r="C323" s="719">
        <v>-32926.93</v>
      </c>
      <c r="D323" s="719">
        <v>-7198.95</v>
      </c>
      <c r="E323" s="719">
        <v>-40125.879999999997</v>
      </c>
      <c r="F323" s="718" t="s">
        <v>2007</v>
      </c>
      <c r="G323" s="718" t="s">
        <v>1116</v>
      </c>
      <c r="H323" s="719"/>
      <c r="I323" s="720"/>
      <c r="J323" s="720"/>
      <c r="K323" s="720"/>
      <c r="L323" s="149" t="str">
        <f t="shared" si="25"/>
        <v>460D</v>
      </c>
      <c r="M323" s="150" t="str">
        <f t="shared" si="26"/>
        <v>VTE - M/O CLIENT BMW I</v>
      </c>
      <c r="N323" s="151">
        <f>+IF(OR($Q323=Parametres!$G$2,$Q323=Parametres!$G$3),I323,C323)</f>
        <v>-32926.93</v>
      </c>
      <c r="O323" s="151">
        <f>+IF(OR($Q323=Parametres!$G$2,$Q323=Parametres!$G$3),J323,D323)</f>
        <v>-7198.95</v>
      </c>
      <c r="P323" s="151">
        <f>+IF(OR($Q323=Parametres!$G$2,$Q323=Parametres!$G$3),K323,E323)</f>
        <v>-40125.879999999997</v>
      </c>
      <c r="Q323" s="150" t="str">
        <f t="shared" si="27"/>
        <v>5-Ventes</v>
      </c>
      <c r="R323" s="149" t="str">
        <f t="shared" si="28"/>
        <v>460A</v>
      </c>
      <c r="S323" s="150">
        <f t="shared" si="29"/>
        <v>0</v>
      </c>
      <c r="T323" s="152" t="str">
        <f>+VLOOKUP($L323,Data_Validation!$A:$D,1,0)</f>
        <v>460D</v>
      </c>
      <c r="U323" s="152" t="str">
        <f>+VLOOKUP($L323,Data_Validation!$A:$D,3,0)</f>
        <v>service</v>
      </c>
      <c r="V323" s="152" t="str">
        <f>+VLOOKUP($L323,Data_Validation!$A:$D,4,0)</f>
        <v>M/O Client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2146</v>
      </c>
      <c r="B324" s="718" t="s">
        <v>2147</v>
      </c>
      <c r="C324" s="719">
        <v>-31980</v>
      </c>
      <c r="D324" s="719">
        <v>-6385</v>
      </c>
      <c r="E324" s="719">
        <v>-38365</v>
      </c>
      <c r="F324" s="718" t="s">
        <v>2007</v>
      </c>
      <c r="G324" s="718" t="s">
        <v>2362</v>
      </c>
      <c r="H324" s="719"/>
      <c r="I324" s="720"/>
      <c r="J324" s="720"/>
      <c r="K324" s="720"/>
      <c r="L324" s="149" t="str">
        <f t="shared" si="25"/>
        <v>454A</v>
      </c>
      <c r="M324" s="150" t="str">
        <f t="shared" si="26"/>
        <v>VTES -CONT ENTRET USAGE BMW NON-CERT</v>
      </c>
      <c r="N324" s="151">
        <f>+IF(OR($Q324=Parametres!$G$2,$Q324=Parametres!$G$3),I324,C324)</f>
        <v>-31980</v>
      </c>
      <c r="O324" s="151">
        <f>+IF(OR($Q324=Parametres!$G$2,$Q324=Parametres!$G$3),J324,D324)</f>
        <v>-6385</v>
      </c>
      <c r="P324" s="151">
        <f>+IF(OR($Q324=Parametres!$G$2,$Q324=Parametres!$G$3),K324,E324)</f>
        <v>-38365</v>
      </c>
      <c r="Q324" s="150" t="str">
        <f t="shared" si="27"/>
        <v>5-Ventes</v>
      </c>
      <c r="R324" s="149" t="str">
        <f t="shared" si="28"/>
        <v>454</v>
      </c>
      <c r="S324" s="150">
        <f t="shared" si="29"/>
        <v>0</v>
      </c>
      <c r="T324" s="152" t="str">
        <f>+VLOOKUP($L324,Data_Validation!$A:$D,1,0)</f>
        <v>454A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1160</v>
      </c>
      <c r="B325" s="671" t="s">
        <v>441</v>
      </c>
      <c r="C325" s="672">
        <v>-31126.799999999999</v>
      </c>
      <c r="D325" s="672">
        <v>-3566.43</v>
      </c>
      <c r="E325" s="672">
        <v>-34693.230000000003</v>
      </c>
      <c r="F325" s="671" t="s">
        <v>2007</v>
      </c>
      <c r="G325" s="671" t="s">
        <v>441</v>
      </c>
      <c r="H325" s="666"/>
      <c r="I325" s="665"/>
      <c r="J325" s="665"/>
      <c r="K325" s="665"/>
      <c r="L325" s="149" t="str">
        <f t="shared" si="25"/>
        <v>461D</v>
      </c>
      <c r="M325" s="150" t="str">
        <f t="shared" si="26"/>
        <v>VTE - M/O ENTRETIEN BMW AUTO</v>
      </c>
      <c r="N325" s="151">
        <f>+IF(OR($Q325=Parametres!$G$2,$Q325=Parametres!$G$3),I325,C325)</f>
        <v>-31126.799999999999</v>
      </c>
      <c r="O325" s="151">
        <f>+IF(OR($Q325=Parametres!$G$2,$Q325=Parametres!$G$3),J325,D325)</f>
        <v>-3566.43</v>
      </c>
      <c r="P325" s="151">
        <f>+IF(OR($Q325=Parametres!$G$2,$Q325=Parametres!$G$3),K325,E325)</f>
        <v>-34693.230000000003</v>
      </c>
      <c r="Q325" s="150" t="str">
        <f t="shared" si="27"/>
        <v>5-Ventes</v>
      </c>
      <c r="R325" s="149" t="str">
        <f t="shared" si="28"/>
        <v>461D</v>
      </c>
      <c r="S325" s="150">
        <f t="shared" si="29"/>
        <v>0</v>
      </c>
      <c r="T325" s="152" t="str">
        <f>+VLOOKUP($L325,Data_Validation!$A:$D,1,0)</f>
        <v>461D</v>
      </c>
      <c r="U325" s="152" t="str">
        <f>+VLOOKUP($L325,Data_Validation!$A:$D,3,0)</f>
        <v>service</v>
      </c>
      <c r="V325" s="152" t="str">
        <f>+VLOOKUP($L325,Data_Validation!$A:$D,4,0)</f>
        <v>M/O Garantie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1411</v>
      </c>
      <c r="B326" s="718" t="s">
        <v>366</v>
      </c>
      <c r="C326" s="720">
        <v>-28505</v>
      </c>
      <c r="D326" s="720">
        <v>-5315</v>
      </c>
      <c r="E326" s="720">
        <v>-33820</v>
      </c>
      <c r="F326" s="718" t="s">
        <v>2007</v>
      </c>
      <c r="G326" s="718" t="s">
        <v>366</v>
      </c>
      <c r="H326" s="673"/>
      <c r="I326" s="672"/>
      <c r="J326" s="672"/>
      <c r="K326" s="672"/>
      <c r="L326" s="149" t="str">
        <f t="shared" si="25"/>
        <v>455</v>
      </c>
      <c r="M326" s="150" t="str">
        <f t="shared" si="26"/>
        <v>VTE - GAR PROL USAGE AUTRE</v>
      </c>
      <c r="N326" s="151">
        <f>+IF(OR($Q326=Parametres!$G$2,$Q326=Parametres!$G$3),I326,C326)</f>
        <v>-28505</v>
      </c>
      <c r="O326" s="151">
        <f>+IF(OR($Q326=Parametres!$G$2,$Q326=Parametres!$G$3),J326,D326)</f>
        <v>-5315</v>
      </c>
      <c r="P326" s="151">
        <f>+IF(OR($Q326=Parametres!$G$2,$Q326=Parametres!$G$3),K326,E326)</f>
        <v>-33820</v>
      </c>
      <c r="Q326" s="150" t="str">
        <f t="shared" si="27"/>
        <v>5-Ventes</v>
      </c>
      <c r="R326" s="149" t="str">
        <f t="shared" si="28"/>
        <v>455</v>
      </c>
      <c r="S326" s="150">
        <f t="shared" si="29"/>
        <v>0</v>
      </c>
      <c r="T326" s="152" t="str">
        <f>+VLOOKUP($L326,Data_Validation!$A:$D,1,0)</f>
        <v>455</v>
      </c>
      <c r="U326" s="152" t="str">
        <f>+VLOOKUP($L326,Data_Validation!$A:$D,3,0)</f>
        <v>Véhicules usagés</v>
      </c>
      <c r="V326" s="152" t="str">
        <f>+VLOOKUP($L326,Data_Validation!$A:$D,4,0)</f>
        <v>Rev. Protections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1650</v>
      </c>
      <c r="B327" s="718" t="s">
        <v>437</v>
      </c>
      <c r="C327" s="719">
        <v>-25731.68</v>
      </c>
      <c r="D327" s="719">
        <v>0</v>
      </c>
      <c r="E327" s="719">
        <v>-25731.68</v>
      </c>
      <c r="F327" s="718" t="s">
        <v>2007</v>
      </c>
      <c r="G327" s="718" t="s">
        <v>1012</v>
      </c>
      <c r="H327" s="719"/>
      <c r="I327" s="720"/>
      <c r="J327" s="720"/>
      <c r="K327" s="720"/>
      <c r="L327" s="149" t="str">
        <f t="shared" si="25"/>
        <v>450F</v>
      </c>
      <c r="M327" s="150" t="str">
        <f t="shared" si="26"/>
        <v>VTE - RIST FINANCE USAGE BMW AUTO</v>
      </c>
      <c r="N327" s="151">
        <f>+IF(OR($Q327=Parametres!$G$2,$Q327=Parametres!$G$3),I327,C327)</f>
        <v>-25731.68</v>
      </c>
      <c r="O327" s="151">
        <f>+IF(OR($Q327=Parametres!$G$2,$Q327=Parametres!$G$3),J327,D327)</f>
        <v>0</v>
      </c>
      <c r="P327" s="151">
        <f>+IF(OR($Q327=Parametres!$G$2,$Q327=Parametres!$G$3),K327,E327)</f>
        <v>-25731.68</v>
      </c>
      <c r="Q327" s="150" t="str">
        <f t="shared" si="27"/>
        <v>5-Ventes</v>
      </c>
      <c r="R327" s="149" t="str">
        <f t="shared" si="28"/>
        <v>450</v>
      </c>
      <c r="S327" s="150">
        <f t="shared" si="29"/>
        <v>0</v>
      </c>
      <c r="T327" s="152" t="str">
        <f>+VLOOKUP($L327,Data_Validation!$A:$D,1,0)</f>
        <v>450F</v>
      </c>
      <c r="U327" s="152" t="str">
        <f>+VLOOKUP($L327,Data_Validation!$A:$D,3,0)</f>
        <v>Véhicules usagés</v>
      </c>
      <c r="V327" s="152" t="str">
        <f>+VLOOKUP($L327,Data_Validation!$A:$D,4,0)</f>
        <v>Rev. Finances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1238</v>
      </c>
      <c r="B328" s="718" t="s">
        <v>457</v>
      </c>
      <c r="C328" s="720">
        <v>-24979.82</v>
      </c>
      <c r="D328" s="720">
        <v>-1641.79</v>
      </c>
      <c r="E328" s="720">
        <v>-26621.61</v>
      </c>
      <c r="F328" s="718" t="s">
        <v>2007</v>
      </c>
      <c r="G328" s="718" t="s">
        <v>1120</v>
      </c>
      <c r="H328" s="673"/>
      <c r="I328" s="672"/>
      <c r="J328" s="672"/>
      <c r="K328" s="672"/>
      <c r="L328" s="149" t="str">
        <f t="shared" si="25"/>
        <v>470D</v>
      </c>
      <c r="M328" s="150" t="str">
        <f t="shared" si="26"/>
        <v>VTE - PIECES BT CLIENT BMW I</v>
      </c>
      <c r="N328" s="151">
        <f>+IF(OR($Q328=Parametres!$G$2,$Q328=Parametres!$G$3),I328,C328)</f>
        <v>-24979.82</v>
      </c>
      <c r="O328" s="151">
        <f>+IF(OR($Q328=Parametres!$G$2,$Q328=Parametres!$G$3),J328,D328)</f>
        <v>-1641.79</v>
      </c>
      <c r="P328" s="151">
        <f>+IF(OR($Q328=Parametres!$G$2,$Q328=Parametres!$G$3),K328,E328)</f>
        <v>-26621.61</v>
      </c>
      <c r="Q328" s="150" t="str">
        <f t="shared" si="27"/>
        <v>5-Ventes</v>
      </c>
      <c r="R328" s="149" t="str">
        <f t="shared" si="28"/>
        <v>470A</v>
      </c>
      <c r="S328" s="150">
        <f t="shared" si="29"/>
        <v>0</v>
      </c>
      <c r="T328" s="152" t="str">
        <f>+VLOOKUP($L328,Data_Validation!$A:$D,1,0)</f>
        <v>470D</v>
      </c>
      <c r="U328" s="152" t="str">
        <f>+VLOOKUP($L328,Data_Validation!$A:$D,3,0)</f>
        <v>Pièces</v>
      </c>
      <c r="V328" s="152" t="str">
        <f>+VLOOKUP($L328,Data_Validation!$A:$D,4,0)</f>
        <v>Pièces Ro Clients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1413</v>
      </c>
      <c r="B329" s="718" t="s">
        <v>365</v>
      </c>
      <c r="C329" s="720">
        <v>-24757.119999999999</v>
      </c>
      <c r="D329" s="720">
        <v>-3725.96</v>
      </c>
      <c r="E329" s="720">
        <v>-28483.08</v>
      </c>
      <c r="F329" s="718" t="s">
        <v>2007</v>
      </c>
      <c r="G329" s="718" t="s">
        <v>365</v>
      </c>
      <c r="H329" s="673"/>
      <c r="I329" s="672"/>
      <c r="J329" s="672"/>
      <c r="K329" s="672"/>
      <c r="L329" s="149" t="str">
        <f t="shared" si="25"/>
        <v>493</v>
      </c>
      <c r="M329" s="150" t="str">
        <f t="shared" si="26"/>
        <v>VTE - M/O CARROSERIE BMW</v>
      </c>
      <c r="N329" s="151">
        <f>+IF(OR($Q329=Parametres!$G$2,$Q329=Parametres!$G$3),I329,C329)</f>
        <v>-24757.119999999999</v>
      </c>
      <c r="O329" s="151">
        <f>+IF(OR($Q329=Parametres!$G$2,$Q329=Parametres!$G$3),J329,D329)</f>
        <v>-3725.96</v>
      </c>
      <c r="P329" s="151">
        <f>+IF(OR($Q329=Parametres!$G$2,$Q329=Parametres!$G$3),K329,E329)</f>
        <v>-28483.08</v>
      </c>
      <c r="Q329" s="150" t="str">
        <f t="shared" si="27"/>
        <v>5-Ventes</v>
      </c>
      <c r="R329" s="149" t="str">
        <f t="shared" si="28"/>
        <v>493</v>
      </c>
      <c r="S329" s="150">
        <f t="shared" si="29"/>
        <v>0</v>
      </c>
      <c r="T329" s="152" t="str">
        <f>+VLOOKUP($L329,Data_Validation!$A:$D,1,0)</f>
        <v>493</v>
      </c>
      <c r="U329" s="152" t="str">
        <f>+VLOOKUP($L329,Data_Validation!$A:$D,3,0)</f>
        <v>carrosserie</v>
      </c>
      <c r="V329" s="152" t="str">
        <f>+VLOOKUP($L329,Data_Validation!$A:$D,4,0)</f>
        <v>M/O 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1954</v>
      </c>
      <c r="B330" s="718" t="s">
        <v>1955</v>
      </c>
      <c r="C330" s="719">
        <v>-22743</v>
      </c>
      <c r="D330" s="719">
        <v>-798</v>
      </c>
      <c r="E330" s="719">
        <v>-23541</v>
      </c>
      <c r="F330" s="718" t="s">
        <v>2007</v>
      </c>
      <c r="G330" s="718" t="s">
        <v>1012</v>
      </c>
      <c r="H330" s="719"/>
      <c r="I330" s="720"/>
      <c r="J330" s="720"/>
      <c r="K330" s="720"/>
      <c r="L330" s="149" t="str">
        <f t="shared" si="25"/>
        <v>454M</v>
      </c>
      <c r="M330" s="150" t="str">
        <f t="shared" si="26"/>
        <v>VTES -MARQUAGE USAGE BMW NON-CERT</v>
      </c>
      <c r="N330" s="151">
        <f>+IF(OR($Q330=Parametres!$G$2,$Q330=Parametres!$G$3),I330,C330)</f>
        <v>-22743</v>
      </c>
      <c r="O330" s="151">
        <f>+IF(OR($Q330=Parametres!$G$2,$Q330=Parametres!$G$3),J330,D330)</f>
        <v>-798</v>
      </c>
      <c r="P330" s="151">
        <f>+IF(OR($Q330=Parametres!$G$2,$Q330=Parametres!$G$3),K330,E330)</f>
        <v>-23541</v>
      </c>
      <c r="Q330" s="150" t="str">
        <f t="shared" si="27"/>
        <v>5-Ventes</v>
      </c>
      <c r="R330" s="149" t="str">
        <f t="shared" si="28"/>
        <v>450</v>
      </c>
      <c r="S330" s="150">
        <f t="shared" si="29"/>
        <v>0</v>
      </c>
      <c r="T330" s="152" t="str">
        <f>+VLOOKUP($L330,Data_Validation!$A:$D,1,0)</f>
        <v>454M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1179</v>
      </c>
      <c r="B331" s="718" t="s">
        <v>434</v>
      </c>
      <c r="C331" s="720">
        <v>-22535.99</v>
      </c>
      <c r="D331" s="720">
        <v>-2995.08</v>
      </c>
      <c r="E331" s="720">
        <v>-25531.07</v>
      </c>
      <c r="F331" s="718" t="s">
        <v>2007</v>
      </c>
      <c r="G331" s="718" t="s">
        <v>434</v>
      </c>
      <c r="H331" s="673"/>
      <c r="I331" s="672"/>
      <c r="J331" s="672"/>
      <c r="K331" s="672"/>
      <c r="L331" s="149" t="str">
        <f t="shared" si="25"/>
        <v>472D</v>
      </c>
      <c r="M331" s="150" t="str">
        <f t="shared" si="26"/>
        <v>VTE - PIECES ENTRETIEN BMW AUTO</v>
      </c>
      <c r="N331" s="151">
        <f>+IF(OR($Q331=Parametres!$G$2,$Q331=Parametres!$G$3),I331,C331)</f>
        <v>-22535.99</v>
      </c>
      <c r="O331" s="151">
        <f>+IF(OR($Q331=Parametres!$G$2,$Q331=Parametres!$G$3),J331,D331)</f>
        <v>-2995.08</v>
      </c>
      <c r="P331" s="151">
        <f>+IF(OR($Q331=Parametres!$G$2,$Q331=Parametres!$G$3),K331,E331)</f>
        <v>-25531.07</v>
      </c>
      <c r="Q331" s="150" t="str">
        <f t="shared" si="27"/>
        <v>5-Ventes</v>
      </c>
      <c r="R331" s="149" t="str">
        <f t="shared" si="28"/>
        <v>472D</v>
      </c>
      <c r="S331" s="150">
        <f t="shared" si="29"/>
        <v>0</v>
      </c>
      <c r="T331" s="152" t="str">
        <f>+VLOOKUP($L331,Data_Validation!$A:$D,1,0)</f>
        <v>472D</v>
      </c>
      <c r="U331" s="152" t="str">
        <f>+VLOOKUP($L331,Data_Validation!$A:$D,3,0)</f>
        <v>pièces</v>
      </c>
      <c r="V331" s="152" t="str">
        <f>+VLOOKUP($L331,Data_Validation!$A:$D,4,0)</f>
        <v>P/A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1224</v>
      </c>
      <c r="B332" s="671" t="s">
        <v>369</v>
      </c>
      <c r="C332" s="672">
        <v>-22146.7</v>
      </c>
      <c r="D332" s="672">
        <v>-633.38</v>
      </c>
      <c r="E332" s="672">
        <v>-22780.080000000002</v>
      </c>
      <c r="F332" s="671" t="s">
        <v>2007</v>
      </c>
      <c r="G332" s="671" t="s">
        <v>369</v>
      </c>
      <c r="H332" s="666"/>
      <c r="I332" s="665"/>
      <c r="J332" s="665"/>
      <c r="K332" s="665"/>
      <c r="L332" s="149" t="str">
        <f t="shared" si="25"/>
        <v>453</v>
      </c>
      <c r="M332" s="150" t="str">
        <f t="shared" si="26"/>
        <v>VTE - RIST FINANCE USAGE AUTRE</v>
      </c>
      <c r="N332" s="151">
        <f>+IF(OR($Q332=Parametres!$G$2,$Q332=Parametres!$G$3),I332,C332)</f>
        <v>-22146.7</v>
      </c>
      <c r="O332" s="151">
        <f>+IF(OR($Q332=Parametres!$G$2,$Q332=Parametres!$G$3),J332,D332)</f>
        <v>-633.38</v>
      </c>
      <c r="P332" s="151">
        <f>+IF(OR($Q332=Parametres!$G$2,$Q332=Parametres!$G$3),K332,E332)</f>
        <v>-22780.080000000002</v>
      </c>
      <c r="Q332" s="150" t="str">
        <f t="shared" si="27"/>
        <v>5-Ventes</v>
      </c>
      <c r="R332" s="149" t="str">
        <f t="shared" si="28"/>
        <v>453</v>
      </c>
      <c r="S332" s="150">
        <f t="shared" si="29"/>
        <v>0</v>
      </c>
      <c r="T332" s="152" t="str">
        <f>+VLOOKUP($L332,Data_Validation!$A:$D,1,0)</f>
        <v>453</v>
      </c>
      <c r="U332" s="152" t="str">
        <f>+VLOOKUP($L332,Data_Validation!$A:$D,3,0)</f>
        <v>Véhicules usagés</v>
      </c>
      <c r="V332" s="152" t="str">
        <f>+VLOOKUP($L332,Data_Validation!$A:$D,4,0)</f>
        <v>Rev. Finances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1225</v>
      </c>
      <c r="B333" s="718" t="s">
        <v>468</v>
      </c>
      <c r="C333" s="720">
        <v>-21736.98</v>
      </c>
      <c r="D333" s="720">
        <v>-4141.79</v>
      </c>
      <c r="E333" s="720">
        <v>-25878.77</v>
      </c>
      <c r="F333" s="718" t="s">
        <v>2007</v>
      </c>
      <c r="G333" s="718" t="s">
        <v>1110</v>
      </c>
      <c r="H333" s="673"/>
      <c r="I333" s="672"/>
      <c r="J333" s="672"/>
      <c r="K333" s="672"/>
      <c r="L333" s="149" t="str">
        <f t="shared" si="25"/>
        <v>461H</v>
      </c>
      <c r="M333" s="150" t="str">
        <f t="shared" si="26"/>
        <v>VTE - M/O GARANTIE BMW</v>
      </c>
      <c r="N333" s="151">
        <f>+IF(OR($Q333=Parametres!$G$2,$Q333=Parametres!$G$3),I333,C333)</f>
        <v>-21736.98</v>
      </c>
      <c r="O333" s="151">
        <f>+IF(OR($Q333=Parametres!$G$2,$Q333=Parametres!$G$3),J333,D333)</f>
        <v>-4141.79</v>
      </c>
      <c r="P333" s="151">
        <f>+IF(OR($Q333=Parametres!$G$2,$Q333=Parametres!$G$3),K333,E333)</f>
        <v>-25878.77</v>
      </c>
      <c r="Q333" s="150" t="str">
        <f t="shared" si="27"/>
        <v>5-Ventes</v>
      </c>
      <c r="R333" s="149" t="str">
        <f t="shared" si="28"/>
        <v>461A</v>
      </c>
      <c r="S333" s="150">
        <f t="shared" si="29"/>
        <v>0</v>
      </c>
      <c r="T333" s="152" t="str">
        <f>+VLOOKUP($L333,Data_Validation!$A:$D,1,0)</f>
        <v>461H</v>
      </c>
      <c r="U333" s="152" t="str">
        <f>+VLOOKUP($L333,Data_Validation!$A:$D,3,0)</f>
        <v>service</v>
      </c>
      <c r="V333" s="152" t="str">
        <f>+VLOOKUP($L333,Data_Validation!$A:$D,4,0)</f>
        <v>M/O Garantie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1187</v>
      </c>
      <c r="B334" s="671" t="s">
        <v>460</v>
      </c>
      <c r="C334" s="672">
        <v>-20418.84</v>
      </c>
      <c r="D334" s="672">
        <v>-1842.68</v>
      </c>
      <c r="E334" s="672">
        <v>-22261.52</v>
      </c>
      <c r="F334" s="671" t="s">
        <v>2007</v>
      </c>
      <c r="G334" s="671" t="s">
        <v>1118</v>
      </c>
      <c r="H334" s="666"/>
      <c r="I334" s="665"/>
      <c r="J334" s="665"/>
      <c r="K334" s="665"/>
      <c r="L334" s="149" t="str">
        <f t="shared" si="25"/>
        <v>474D</v>
      </c>
      <c r="M334" s="150" t="str">
        <f t="shared" si="26"/>
        <v>VTE - PIECES COMP. BMW LIFESTYLE</v>
      </c>
      <c r="N334" s="151">
        <f>+IF(OR($Q334=Parametres!$G$2,$Q334=Parametres!$G$3),I334,C334)</f>
        <v>-20418.84</v>
      </c>
      <c r="O334" s="151">
        <f>+IF(OR($Q334=Parametres!$G$2,$Q334=Parametres!$G$3),J334,D334)</f>
        <v>-1842.68</v>
      </c>
      <c r="P334" s="151">
        <f>+IF(OR($Q334=Parametres!$G$2,$Q334=Parametres!$G$3),K334,E334)</f>
        <v>-22261.52</v>
      </c>
      <c r="Q334" s="150" t="str">
        <f t="shared" si="27"/>
        <v>5-Ventes</v>
      </c>
      <c r="R334" s="149" t="str">
        <f t="shared" si="28"/>
        <v>474A</v>
      </c>
      <c r="S334" s="150">
        <f t="shared" si="29"/>
        <v>0</v>
      </c>
      <c r="T334" s="152" t="str">
        <f>+VLOOKUP($L334,Data_Validation!$A:$D,1,0)</f>
        <v>474D</v>
      </c>
      <c r="U334" s="152" t="str">
        <f>+VLOOKUP($L334,Data_Validation!$A:$D,3,0)</f>
        <v>pièces</v>
      </c>
      <c r="V334" s="152" t="str">
        <f>+VLOOKUP($L334,Data_Validation!$A:$D,4,0)</f>
        <v>Ventes Détails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1142</v>
      </c>
      <c r="B335" s="671" t="s">
        <v>454</v>
      </c>
      <c r="C335" s="672">
        <v>-19541.990000000002</v>
      </c>
      <c r="D335" s="672">
        <v>-544.85</v>
      </c>
      <c r="E335" s="672">
        <v>-20086.84</v>
      </c>
      <c r="F335" s="671" t="s">
        <v>2007</v>
      </c>
      <c r="G335" s="671" t="s">
        <v>1143</v>
      </c>
      <c r="H335" s="666"/>
      <c r="I335" s="665"/>
      <c r="J335" s="665"/>
      <c r="K335" s="665"/>
      <c r="L335" s="149" t="str">
        <f t="shared" si="25"/>
        <v>463B</v>
      </c>
      <c r="M335" s="150" t="str">
        <f t="shared" si="26"/>
        <v>VTE - SOUS-TRAITANCE BMW CAMION</v>
      </c>
      <c r="N335" s="151">
        <f>+IF(OR($Q335=Parametres!$G$2,$Q335=Parametres!$G$3),I335,C335)</f>
        <v>-19541.990000000002</v>
      </c>
      <c r="O335" s="151">
        <f>+IF(OR($Q335=Parametres!$G$2,$Q335=Parametres!$G$3),J335,D335)</f>
        <v>-544.85</v>
      </c>
      <c r="P335" s="151">
        <f>+IF(OR($Q335=Parametres!$G$2,$Q335=Parametres!$G$3),K335,E335)</f>
        <v>-20086.84</v>
      </c>
      <c r="Q335" s="150" t="str">
        <f t="shared" si="27"/>
        <v>5-Ventes</v>
      </c>
      <c r="R335" s="149" t="str">
        <f t="shared" si="28"/>
        <v>463A</v>
      </c>
      <c r="S335" s="150">
        <f t="shared" si="29"/>
        <v>0</v>
      </c>
      <c r="T335" s="152" t="str">
        <f>+VLOOKUP($L335,Data_Validation!$A:$D,1,0)</f>
        <v>463B</v>
      </c>
      <c r="U335" s="152" t="str">
        <f>+VLOOKUP($L335,Data_Validation!$A:$D,3,0)</f>
        <v>service</v>
      </c>
      <c r="V335" s="152" t="str">
        <f>+VLOOKUP($L335,Data_Validation!$A:$D,4,0)</f>
        <v>Sous-traitement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1952</v>
      </c>
      <c r="B336" s="718" t="s">
        <v>1953</v>
      </c>
      <c r="C336" s="720">
        <v>-19127.07</v>
      </c>
      <c r="D336" s="720">
        <v>-791.73</v>
      </c>
      <c r="E336" s="720">
        <v>-19918.8</v>
      </c>
      <c r="F336" s="718" t="s">
        <v>2007</v>
      </c>
      <c r="G336" s="718" t="s">
        <v>1012</v>
      </c>
      <c r="H336" s="666"/>
      <c r="I336" s="665"/>
      <c r="J336" s="665"/>
      <c r="K336" s="665"/>
      <c r="L336" s="149" t="str">
        <f t="shared" si="25"/>
        <v>454F</v>
      </c>
      <c r="M336" s="150" t="str">
        <f t="shared" si="26"/>
        <v>VTES -RIST FINANCE USAGE BMW NON-CERT</v>
      </c>
      <c r="N336" s="151">
        <f>+IF(OR($Q336=Parametres!$G$2,$Q336=Parametres!$G$3),I336,C336)</f>
        <v>-19127.07</v>
      </c>
      <c r="O336" s="151">
        <f>+IF(OR($Q336=Parametres!$G$2,$Q336=Parametres!$G$3),J336,D336)</f>
        <v>-791.73</v>
      </c>
      <c r="P336" s="151">
        <f>+IF(OR($Q336=Parametres!$G$2,$Q336=Parametres!$G$3),K336,E336)</f>
        <v>-19918.8</v>
      </c>
      <c r="Q336" s="150" t="str">
        <f t="shared" si="27"/>
        <v>5-Ventes</v>
      </c>
      <c r="R336" s="149" t="str">
        <f t="shared" si="28"/>
        <v>450</v>
      </c>
      <c r="S336" s="150">
        <f t="shared" si="29"/>
        <v>0</v>
      </c>
      <c r="T336" s="152" t="str">
        <f>+VLOOKUP($L336,Data_Validation!$A:$D,1,0)</f>
        <v>454F</v>
      </c>
      <c r="U336" s="152" t="str">
        <f>+VLOOKUP($L336,Data_Validation!$A:$D,3,0)</f>
        <v>Véhicules usagés</v>
      </c>
      <c r="V336" s="152" t="str">
        <f>+VLOOKUP($L336,Data_Validation!$A:$D,4,0)</f>
        <v>Rev. Finances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1186</v>
      </c>
      <c r="B337" s="671" t="s">
        <v>1012</v>
      </c>
      <c r="C337" s="672">
        <v>-17157</v>
      </c>
      <c r="D337" s="672">
        <v>-798</v>
      </c>
      <c r="E337" s="672">
        <v>-17955</v>
      </c>
      <c r="F337" s="671" t="s">
        <v>2007</v>
      </c>
      <c r="G337" s="671" t="s">
        <v>1012</v>
      </c>
      <c r="H337" s="666"/>
      <c r="I337" s="665"/>
      <c r="J337" s="665"/>
      <c r="K337" s="665"/>
      <c r="L337" s="149" t="str">
        <f t="shared" si="25"/>
        <v>450</v>
      </c>
      <c r="M337" s="150" t="str">
        <f t="shared" si="26"/>
        <v>VTES -MARQUAGE USAGE BMW CERT</v>
      </c>
      <c r="N337" s="151">
        <f>+IF(OR($Q337=Parametres!$G$2,$Q337=Parametres!$G$3),I337,C337)</f>
        <v>-17157</v>
      </c>
      <c r="O337" s="151">
        <f>+IF(OR($Q337=Parametres!$G$2,$Q337=Parametres!$G$3),J337,D337)</f>
        <v>-798</v>
      </c>
      <c r="P337" s="151">
        <f>+IF(OR($Q337=Parametres!$G$2,$Q337=Parametres!$G$3),K337,E337)</f>
        <v>-17955</v>
      </c>
      <c r="Q337" s="150" t="str">
        <f t="shared" si="27"/>
        <v>5-Ventes</v>
      </c>
      <c r="R337" s="149" t="str">
        <f t="shared" si="28"/>
        <v>450</v>
      </c>
      <c r="S337" s="150">
        <f t="shared" si="29"/>
        <v>0</v>
      </c>
      <c r="T337" s="152" t="str">
        <f>+VLOOKUP($L337,Data_Validation!$A:$D,1,0)</f>
        <v>450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2238</v>
      </c>
      <c r="B338" s="718" t="s">
        <v>2237</v>
      </c>
      <c r="C338" s="720">
        <v>-17152.900000000001</v>
      </c>
      <c r="D338" s="720">
        <v>-1232</v>
      </c>
      <c r="E338" s="720">
        <v>-18384.900000000001</v>
      </c>
      <c r="F338" s="718" t="s">
        <v>2007</v>
      </c>
      <c r="G338" s="718" t="s">
        <v>1139</v>
      </c>
      <c r="H338" s="673"/>
      <c r="I338" s="672"/>
      <c r="J338" s="672"/>
      <c r="K338" s="672"/>
      <c r="L338" s="149" t="str">
        <f t="shared" si="25"/>
        <v>462N</v>
      </c>
      <c r="M338" s="150" t="str">
        <f t="shared" si="26"/>
        <v>VTES -SUBLET INTERNE ESTHETIQUE</v>
      </c>
      <c r="N338" s="151">
        <f>+IF(OR($Q338=Parametres!$G$2,$Q338=Parametres!$G$3),I338,C338)</f>
        <v>-17152.900000000001</v>
      </c>
      <c r="O338" s="151">
        <f>+IF(OR($Q338=Parametres!$G$2,$Q338=Parametres!$G$3),J338,D338)</f>
        <v>-1232</v>
      </c>
      <c r="P338" s="151">
        <f>+IF(OR($Q338=Parametres!$G$2,$Q338=Parametres!$G$3),K338,E338)</f>
        <v>-18384.900000000001</v>
      </c>
      <c r="Q338" s="150" t="str">
        <f t="shared" si="27"/>
        <v>5-Ventes</v>
      </c>
      <c r="R338" s="149" t="str">
        <f t="shared" si="28"/>
        <v>462A</v>
      </c>
      <c r="S338" s="150">
        <f t="shared" si="29"/>
        <v>0</v>
      </c>
      <c r="T338" s="152" t="str">
        <f>+VLOOKUP($L338,Data_Validation!$A:$D,1,0)</f>
        <v>462N</v>
      </c>
      <c r="U338" s="152" t="str">
        <f>+VLOOKUP($L338,Data_Validation!$A:$D,3,0)</f>
        <v>Service</v>
      </c>
      <c r="V338" s="152" t="str">
        <f>+VLOOKUP($L338,Data_Validation!$A:$D,4,0)</f>
        <v>M/O Interne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1407</v>
      </c>
      <c r="B339" s="718" t="s">
        <v>374</v>
      </c>
      <c r="C339" s="720">
        <v>-15761.99</v>
      </c>
      <c r="D339" s="720">
        <v>-1197</v>
      </c>
      <c r="E339" s="720">
        <v>-16958.990000000002</v>
      </c>
      <c r="F339" s="718" t="s">
        <v>2007</v>
      </c>
      <c r="G339" s="718" t="s">
        <v>374</v>
      </c>
      <c r="H339" s="673"/>
      <c r="I339" s="672"/>
      <c r="J339" s="672"/>
      <c r="K339" s="672"/>
      <c r="L339" s="149" t="str">
        <f t="shared" si="25"/>
        <v>451</v>
      </c>
      <c r="M339" s="150" t="str">
        <f t="shared" si="26"/>
        <v>VTES -VTE - MARQUAGE USAGE AUTRE</v>
      </c>
      <c r="N339" s="151">
        <f>+IF(OR($Q339=Parametres!$G$2,$Q339=Parametres!$G$3),I339,C339)</f>
        <v>-15761.99</v>
      </c>
      <c r="O339" s="151">
        <f>+IF(OR($Q339=Parametres!$G$2,$Q339=Parametres!$G$3),J339,D339)</f>
        <v>-1197</v>
      </c>
      <c r="P339" s="151">
        <f>+IF(OR($Q339=Parametres!$G$2,$Q339=Parametres!$G$3),K339,E339)</f>
        <v>-16958.990000000002</v>
      </c>
      <c r="Q339" s="150" t="str">
        <f t="shared" si="27"/>
        <v>5-Ventes</v>
      </c>
      <c r="R339" s="149" t="str">
        <f t="shared" si="28"/>
        <v>451</v>
      </c>
      <c r="S339" s="150">
        <f t="shared" si="29"/>
        <v>0</v>
      </c>
      <c r="T339" s="152" t="str">
        <f>+VLOOKUP($L339,Data_Validation!$A:$D,1,0)</f>
        <v>451</v>
      </c>
      <c r="U339" s="152" t="str">
        <f>+VLOOKUP($L339,Data_Validation!$A:$D,3,0)</f>
        <v>Véhicules usagés</v>
      </c>
      <c r="V339" s="152" t="str">
        <f>+VLOOKUP($L339,Data_Validation!$A:$D,4,0)</f>
        <v>Rev. Autres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1154</v>
      </c>
      <c r="B340" s="671" t="s">
        <v>1143</v>
      </c>
      <c r="C340" s="672">
        <v>-13990.67</v>
      </c>
      <c r="D340" s="672">
        <v>-66.459999999999994</v>
      </c>
      <c r="E340" s="672">
        <v>-14057.13</v>
      </c>
      <c r="F340" s="671" t="s">
        <v>2007</v>
      </c>
      <c r="G340" s="671" t="s">
        <v>1143</v>
      </c>
      <c r="H340" s="666"/>
      <c r="I340" s="665"/>
      <c r="J340" s="665"/>
      <c r="K340" s="665"/>
      <c r="L340" s="149" t="str">
        <f t="shared" si="25"/>
        <v>463A</v>
      </c>
      <c r="M340" s="150" t="str">
        <f t="shared" si="26"/>
        <v>VTE - SOUS-TRAITANCE BMW AUTO</v>
      </c>
      <c r="N340" s="151">
        <f>+IF(OR($Q340=Parametres!$G$2,$Q340=Parametres!$G$3),I340,C340)</f>
        <v>-13990.67</v>
      </c>
      <c r="O340" s="151">
        <f>+IF(OR($Q340=Parametres!$G$2,$Q340=Parametres!$G$3),J340,D340)</f>
        <v>-66.459999999999994</v>
      </c>
      <c r="P340" s="151">
        <f>+IF(OR($Q340=Parametres!$G$2,$Q340=Parametres!$G$3),K340,E340)</f>
        <v>-14057.13</v>
      </c>
      <c r="Q340" s="150" t="str">
        <f t="shared" si="27"/>
        <v>5-Ventes</v>
      </c>
      <c r="R340" s="149" t="str">
        <f t="shared" si="28"/>
        <v>463A</v>
      </c>
      <c r="S340" s="150">
        <f t="shared" si="29"/>
        <v>0</v>
      </c>
      <c r="T340" s="152" t="str">
        <f>+VLOOKUP($L340,Data_Validation!$A:$D,1,0)</f>
        <v>463A</v>
      </c>
      <c r="U340" s="152" t="str">
        <f>+VLOOKUP($L340,Data_Validation!$A:$D,3,0)</f>
        <v>service</v>
      </c>
      <c r="V340" s="152" t="str">
        <f>+VLOOKUP($L340,Data_Validation!$A:$D,4,0)</f>
        <v>Sous-traitement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635</v>
      </c>
      <c r="B341" s="671" t="s">
        <v>636</v>
      </c>
      <c r="C341" s="672">
        <v>-11242.67</v>
      </c>
      <c r="D341" s="672">
        <v>-3713.17</v>
      </c>
      <c r="E341" s="672">
        <v>-14955.84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25"/>
        <v>473D</v>
      </c>
      <c r="M341" s="150" t="str">
        <f t="shared" si="26"/>
        <v>VTE - PIECES INTERNE BMW I</v>
      </c>
      <c r="N341" s="151">
        <f>+IF(OR($Q341=Parametres!$G$2,$Q341=Parametres!$G$3),I341,C341)</f>
        <v>-11242.67</v>
      </c>
      <c r="O341" s="151">
        <f>+IF(OR($Q341=Parametres!$G$2,$Q341=Parametres!$G$3),J341,D341)</f>
        <v>-3713.17</v>
      </c>
      <c r="P341" s="151">
        <f>+IF(OR($Q341=Parametres!$G$2,$Q341=Parametres!$G$3),K341,E341)</f>
        <v>-14955.84</v>
      </c>
      <c r="Q341" s="150" t="str">
        <f t="shared" si="27"/>
        <v>5-Ventes</v>
      </c>
      <c r="R341" s="149" t="str">
        <f t="shared" si="28"/>
        <v>473A</v>
      </c>
      <c r="S341" s="150">
        <f t="shared" si="29"/>
        <v>0</v>
      </c>
      <c r="T341" s="152" t="str">
        <f>+VLOOKUP($L341,Data_Validation!$A:$D,1,0)</f>
        <v>473D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1946</v>
      </c>
      <c r="B342" s="718" t="s">
        <v>1947</v>
      </c>
      <c r="C342" s="720">
        <v>-10120</v>
      </c>
      <c r="D342" s="720">
        <v>0</v>
      </c>
      <c r="E342" s="720">
        <v>-10120</v>
      </c>
      <c r="F342" s="718" t="s">
        <v>2007</v>
      </c>
      <c r="G342" s="718" t="s">
        <v>625</v>
      </c>
      <c r="H342" s="673"/>
      <c r="I342" s="673"/>
      <c r="J342" s="673"/>
      <c r="K342" s="673"/>
      <c r="L342" s="149" t="str">
        <f t="shared" si="25"/>
        <v>430R</v>
      </c>
      <c r="M342" s="150" t="str">
        <f t="shared" si="26"/>
        <v>VTE - ASS. REMP. NEUF BMW AUTO</v>
      </c>
      <c r="N342" s="151">
        <f>+IF(OR($Q342=Parametres!$G$2,$Q342=Parametres!$G$3),I342,C342)</f>
        <v>-10120</v>
      </c>
      <c r="O342" s="151">
        <f>+IF(OR($Q342=Parametres!$G$2,$Q342=Parametres!$G$3),J342,D342)</f>
        <v>0</v>
      </c>
      <c r="P342" s="151">
        <f>+IF(OR($Q342=Parametres!$G$2,$Q342=Parametres!$G$3),K342,E342)</f>
        <v>-10120</v>
      </c>
      <c r="Q342" s="150" t="str">
        <f t="shared" si="27"/>
        <v>5-Ventes</v>
      </c>
      <c r="R342" s="149" t="str">
        <f t="shared" si="28"/>
        <v>430</v>
      </c>
      <c r="S342" s="150">
        <f t="shared" si="29"/>
        <v>0</v>
      </c>
      <c r="T342" s="152" t="str">
        <f>+VLOOKUP($L342,Data_Validation!$A:$D,1,0)</f>
        <v>430R</v>
      </c>
      <c r="U342" s="152" t="str">
        <f>+VLOOKUP($L342,Data_Validation!$A:$D,3,0)</f>
        <v>Véhicules neufs</v>
      </c>
      <c r="V342" s="152" t="str">
        <f>+VLOOKUP($L342,Data_Validation!$A:$D,4,0)</f>
        <v>Rev. Protections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1190</v>
      </c>
      <c r="B343" s="718" t="s">
        <v>1191</v>
      </c>
      <c r="C343" s="720">
        <v>-9855</v>
      </c>
      <c r="D343" s="720">
        <v>0</v>
      </c>
      <c r="E343" s="720">
        <v>-9855</v>
      </c>
      <c r="F343" s="718" t="s">
        <v>2007</v>
      </c>
      <c r="G343" s="718" t="s">
        <v>1012</v>
      </c>
      <c r="H343" s="673"/>
      <c r="I343" s="672"/>
      <c r="J343" s="672"/>
      <c r="K343" s="672"/>
      <c r="L343" s="149" t="str">
        <f t="shared" si="25"/>
        <v>450E</v>
      </c>
      <c r="M343" s="150" t="str">
        <f t="shared" si="26"/>
        <v>VTE - PROTEC ESTHETIQUE USAGE BMW AUTO</v>
      </c>
      <c r="N343" s="151">
        <f>+IF(OR($Q343=Parametres!$G$2,$Q343=Parametres!$G$3),I343,C343)</f>
        <v>-9855</v>
      </c>
      <c r="O343" s="151">
        <f>+IF(OR($Q343=Parametres!$G$2,$Q343=Parametres!$G$3),J343,D343)</f>
        <v>0</v>
      </c>
      <c r="P343" s="151">
        <f>+IF(OR($Q343=Parametres!$G$2,$Q343=Parametres!$G$3),K343,E343)</f>
        <v>-9855</v>
      </c>
      <c r="Q343" s="150" t="str">
        <f t="shared" si="27"/>
        <v>5-Ventes</v>
      </c>
      <c r="R343" s="149" t="str">
        <f t="shared" si="28"/>
        <v>450</v>
      </c>
      <c r="S343" s="150">
        <f t="shared" si="29"/>
        <v>0</v>
      </c>
      <c r="T343" s="152" t="str">
        <f>+VLOOKUP($L343,Data_Validation!$A:$D,1,0)</f>
        <v>450E</v>
      </c>
      <c r="U343" s="152" t="str">
        <f>+VLOOKUP($L343,Data_Validation!$A:$D,3,0)</f>
        <v>Véhicules usagés</v>
      </c>
      <c r="V343" s="152" t="str">
        <f>+VLOOKUP($L343,Data_Validation!$A:$D,4,0)</f>
        <v>Rev. Protections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1393</v>
      </c>
      <c r="B344" s="718" t="s">
        <v>1011</v>
      </c>
      <c r="C344" s="720">
        <v>-8310</v>
      </c>
      <c r="D344" s="720">
        <v>-2895</v>
      </c>
      <c r="E344" s="720">
        <v>-11205</v>
      </c>
      <c r="F344" s="718" t="s">
        <v>2007</v>
      </c>
      <c r="G344" s="718" t="s">
        <v>625</v>
      </c>
      <c r="H344" s="666"/>
      <c r="I344" s="665"/>
      <c r="J344" s="665"/>
      <c r="K344" s="665"/>
      <c r="L344" s="149" t="str">
        <f t="shared" si="25"/>
        <v>430P</v>
      </c>
      <c r="M344" s="150" t="str">
        <f t="shared" si="26"/>
        <v>VTE - PROTEC PNEUS/JANTES NEUF BMW AUTO</v>
      </c>
      <c r="N344" s="151">
        <f>+IF(OR($Q344=Parametres!$G$2,$Q344=Parametres!$G$3),I344,C344)</f>
        <v>-8310</v>
      </c>
      <c r="O344" s="151">
        <f>+IF(OR($Q344=Parametres!$G$2,$Q344=Parametres!$G$3),J344,D344)</f>
        <v>-2895</v>
      </c>
      <c r="P344" s="151">
        <f>+IF(OR($Q344=Parametres!$G$2,$Q344=Parametres!$G$3),K344,E344)</f>
        <v>-11205</v>
      </c>
      <c r="Q344" s="150" t="str">
        <f t="shared" si="27"/>
        <v>5-Ventes</v>
      </c>
      <c r="R344" s="149" t="str">
        <f t="shared" si="28"/>
        <v>430</v>
      </c>
      <c r="S344" s="150">
        <f t="shared" si="29"/>
        <v>0</v>
      </c>
      <c r="T344" s="152" t="str">
        <f>+VLOOKUP($L344,Data_Validation!$A:$D,1,0)</f>
        <v>430P</v>
      </c>
      <c r="U344" s="152" t="str">
        <f>+VLOOKUP($L344,Data_Validation!$A:$D,3,0)</f>
        <v>Véhicules neufs</v>
      </c>
      <c r="V344" s="152" t="str">
        <f>+VLOOKUP($L344,Data_Validation!$A:$D,4,0)</f>
        <v>Rev. Protections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1222</v>
      </c>
      <c r="B345" s="671" t="s">
        <v>469</v>
      </c>
      <c r="C345" s="672">
        <v>-5556.94</v>
      </c>
      <c r="D345" s="672">
        <v>-1776.34</v>
      </c>
      <c r="E345" s="672">
        <v>-7333.28</v>
      </c>
      <c r="F345" s="671" t="s">
        <v>2007</v>
      </c>
      <c r="G345" s="671" t="s">
        <v>441</v>
      </c>
      <c r="H345" s="666"/>
      <c r="I345" s="665"/>
      <c r="J345" s="665"/>
      <c r="K345" s="665"/>
      <c r="L345" s="149" t="str">
        <f t="shared" si="25"/>
        <v>461G</v>
      </c>
      <c r="M345" s="150" t="str">
        <f t="shared" si="26"/>
        <v>VTE - M/O ENTRETIEN BMW I</v>
      </c>
      <c r="N345" s="151">
        <f>+IF(OR($Q345=Parametres!$G$2,$Q345=Parametres!$G$3),I345,C345)</f>
        <v>-5556.94</v>
      </c>
      <c r="O345" s="151">
        <f>+IF(OR($Q345=Parametres!$G$2,$Q345=Parametres!$G$3),J345,D345)</f>
        <v>-1776.34</v>
      </c>
      <c r="P345" s="151">
        <f>+IF(OR($Q345=Parametres!$G$2,$Q345=Parametres!$G$3),K345,E345)</f>
        <v>-7333.28</v>
      </c>
      <c r="Q345" s="150" t="str">
        <f t="shared" si="27"/>
        <v>5-Ventes</v>
      </c>
      <c r="R345" s="149" t="str">
        <f t="shared" si="28"/>
        <v>461D</v>
      </c>
      <c r="S345" s="150">
        <f t="shared" si="29"/>
        <v>0</v>
      </c>
      <c r="T345" s="152" t="str">
        <f>+VLOOKUP($L345,Data_Validation!$A:$D,1,0)</f>
        <v>461G</v>
      </c>
      <c r="U345" s="152" t="str">
        <f>+VLOOKUP($L345,Data_Validation!$A:$D,3,0)</f>
        <v>service</v>
      </c>
      <c r="V345" s="152" t="str">
        <f>+VLOOKUP($L345,Data_Validation!$A:$D,4,0)</f>
        <v>M/O Garantie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1198</v>
      </c>
      <c r="B346" s="718" t="s">
        <v>1199</v>
      </c>
      <c r="C346" s="720">
        <v>-4815</v>
      </c>
      <c r="D346" s="720">
        <v>0</v>
      </c>
      <c r="E346" s="720">
        <v>-4815</v>
      </c>
      <c r="F346" s="718" t="s">
        <v>2007</v>
      </c>
      <c r="G346" s="718" t="s">
        <v>625</v>
      </c>
      <c r="H346" s="673"/>
      <c r="I346" s="672"/>
      <c r="J346" s="672"/>
      <c r="K346" s="672"/>
      <c r="L346" s="149" t="str">
        <f t="shared" si="25"/>
        <v>430T</v>
      </c>
      <c r="M346" s="150" t="str">
        <f t="shared" si="26"/>
        <v>VTE - TRAITEMENT OTOPROTEC NEUF BMW AUTO</v>
      </c>
      <c r="N346" s="151">
        <f>+IF(OR($Q346=Parametres!$G$2,$Q346=Parametres!$G$3),I346,C346)</f>
        <v>-4815</v>
      </c>
      <c r="O346" s="151">
        <f>+IF(OR($Q346=Parametres!$G$2,$Q346=Parametres!$G$3),J346,D346)</f>
        <v>0</v>
      </c>
      <c r="P346" s="151">
        <f>+IF(OR($Q346=Parametres!$G$2,$Q346=Parametres!$G$3),K346,E346)</f>
        <v>-4815</v>
      </c>
      <c r="Q346" s="150" t="str">
        <f t="shared" si="27"/>
        <v>5-Ventes</v>
      </c>
      <c r="R346" s="149" t="str">
        <f t="shared" si="28"/>
        <v>430</v>
      </c>
      <c r="S346" s="150">
        <f t="shared" si="29"/>
        <v>0</v>
      </c>
      <c r="T346" s="152" t="str">
        <f>+VLOOKUP($L346,Data_Validation!$A:$D,1,0)</f>
        <v>430T</v>
      </c>
      <c r="U346" s="152" t="str">
        <f>+VLOOKUP($L346,Data_Validation!$A:$D,3,0)</f>
        <v>Véhicules neufs</v>
      </c>
      <c r="V346" s="152" t="str">
        <f>+VLOOKUP($L346,Data_Validation!$A:$D,4,0)</f>
        <v>Rev. Autres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472</v>
      </c>
      <c r="B347" s="718" t="s">
        <v>473</v>
      </c>
      <c r="C347" s="720">
        <v>-4675</v>
      </c>
      <c r="D347" s="720">
        <v>0</v>
      </c>
      <c r="E347" s="720">
        <v>-4675</v>
      </c>
      <c r="F347" s="718" t="s">
        <v>2007</v>
      </c>
      <c r="G347" s="718" t="s">
        <v>1143</v>
      </c>
      <c r="H347" s="673"/>
      <c r="I347" s="673"/>
      <c r="J347" s="673"/>
      <c r="K347" s="673"/>
      <c r="L347" s="149" t="str">
        <f t="shared" si="25"/>
        <v>463D</v>
      </c>
      <c r="M347" s="150" t="str">
        <f t="shared" si="26"/>
        <v>VTE - SOUS-TRAITANCE BMW I</v>
      </c>
      <c r="N347" s="151">
        <f>+IF(OR($Q347=Parametres!$G$2,$Q347=Parametres!$G$3),I347,C347)</f>
        <v>-4675</v>
      </c>
      <c r="O347" s="151">
        <f>+IF(OR($Q347=Parametres!$G$2,$Q347=Parametres!$G$3),J347,D347)</f>
        <v>0</v>
      </c>
      <c r="P347" s="151">
        <f>+IF(OR($Q347=Parametres!$G$2,$Q347=Parametres!$G$3),K347,E347)</f>
        <v>-4675</v>
      </c>
      <c r="Q347" s="150" t="str">
        <f t="shared" si="27"/>
        <v>5-Ventes</v>
      </c>
      <c r="R347" s="149" t="str">
        <f t="shared" si="28"/>
        <v>463A</v>
      </c>
      <c r="S347" s="150">
        <f t="shared" si="29"/>
        <v>0</v>
      </c>
      <c r="T347" s="152" t="str">
        <f>+VLOOKUP($L347,Data_Validation!$A:$D,1,0)</f>
        <v>463D</v>
      </c>
      <c r="U347" s="152" t="str">
        <f>+VLOOKUP($L347,Data_Validation!$A:$D,3,0)</f>
        <v>service</v>
      </c>
      <c r="V347" s="152" t="str">
        <f>+VLOOKUP($L347,Data_Validation!$A:$D,4,0)</f>
        <v>Sous-traitement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2423</v>
      </c>
      <c r="B348" s="718" t="s">
        <v>2424</v>
      </c>
      <c r="C348" s="720">
        <v>-4095.97</v>
      </c>
      <c r="D348" s="720">
        <v>0</v>
      </c>
      <c r="E348" s="720">
        <v>-4095.97</v>
      </c>
      <c r="F348" s="718" t="s">
        <v>2007</v>
      </c>
      <c r="G348" s="718" t="s">
        <v>2083</v>
      </c>
      <c r="H348" s="673"/>
      <c r="I348" s="672"/>
      <c r="J348" s="672"/>
      <c r="K348" s="672"/>
      <c r="L348" s="149" t="str">
        <f t="shared" si="25"/>
        <v>471B</v>
      </c>
      <c r="M348" s="150" t="str">
        <f t="shared" si="26"/>
        <v>VTE - PIECES BT CARROSS. BMW CAMION</v>
      </c>
      <c r="N348" s="151">
        <f>+IF(OR($Q348=Parametres!$G$2,$Q348=Parametres!$G$3),I348,C348)</f>
        <v>-4095.97</v>
      </c>
      <c r="O348" s="151">
        <f>+IF(OR($Q348=Parametres!$G$2,$Q348=Parametres!$G$3),J348,D348)</f>
        <v>0</v>
      </c>
      <c r="P348" s="151">
        <f>+IF(OR($Q348=Parametres!$G$2,$Q348=Parametres!$G$3),K348,E348)</f>
        <v>-4095.97</v>
      </c>
      <c r="Q348" s="150" t="str">
        <f t="shared" si="27"/>
        <v>5-Ventes</v>
      </c>
      <c r="R348" s="149" t="str">
        <f t="shared" si="28"/>
        <v>471A</v>
      </c>
      <c r="S348" s="150">
        <f t="shared" si="29"/>
        <v>0</v>
      </c>
      <c r="T348" s="152" t="str">
        <f>+VLOOKUP($L348,Data_Validation!$A:$D,1,0)</f>
        <v>471B</v>
      </c>
      <c r="U348" s="152" t="str">
        <f>+VLOOKUP($L348,Data_Validation!$A:$D,3,0)</f>
        <v>Pièces</v>
      </c>
      <c r="V348" s="152" t="str">
        <f>+VLOOKUP($L348,Data_Validation!$A:$D,4,0)</f>
        <v>Pièces Ro Carrosserie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2907</v>
      </c>
      <c r="B349" s="718" t="s">
        <v>2908</v>
      </c>
      <c r="C349" s="719">
        <v>-3765</v>
      </c>
      <c r="D349" s="719">
        <v>0</v>
      </c>
      <c r="E349" s="719">
        <v>-3765</v>
      </c>
      <c r="F349" s="718" t="s">
        <v>2007</v>
      </c>
      <c r="G349" s="718" t="s">
        <v>1012</v>
      </c>
      <c r="H349" s="719"/>
      <c r="I349" s="720"/>
      <c r="J349" s="720"/>
      <c r="K349" s="720"/>
      <c r="L349" s="149" t="str">
        <f t="shared" si="25"/>
        <v>454P</v>
      </c>
      <c r="M349" s="150" t="str">
        <f t="shared" si="26"/>
        <v>VTES -PROTEC PNEUS/JANTES USAGE BMW NON-CERT</v>
      </c>
      <c r="N349" s="151">
        <f>+IF(OR($Q349=Parametres!$G$2,$Q349=Parametres!$G$3),I349,C349)</f>
        <v>-3765</v>
      </c>
      <c r="O349" s="151">
        <f>+IF(OR($Q349=Parametres!$G$2,$Q349=Parametres!$G$3),J349,D349)</f>
        <v>0</v>
      </c>
      <c r="P349" s="151">
        <f>+IF(OR($Q349=Parametres!$G$2,$Q349=Parametres!$G$3),K349,E349)</f>
        <v>-3765</v>
      </c>
      <c r="Q349" s="150" t="str">
        <f t="shared" si="27"/>
        <v>5-Ventes</v>
      </c>
      <c r="R349" s="149" t="str">
        <f t="shared" si="28"/>
        <v>450</v>
      </c>
      <c r="S349" s="150">
        <f t="shared" si="29"/>
        <v>0</v>
      </c>
      <c r="T349" s="152" t="str">
        <f>+VLOOKUP($L349,Data_Validation!$A:$D,1,0)</f>
        <v>454P</v>
      </c>
      <c r="U349" s="152" t="str">
        <f>+VLOOKUP($L349,Data_Validation!$A:$D,3,0)</f>
        <v>Véhicules usagés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2082</v>
      </c>
      <c r="B350" s="718" t="s">
        <v>2083</v>
      </c>
      <c r="C350" s="719">
        <v>-2926.15</v>
      </c>
      <c r="D350" s="719">
        <v>-236.24</v>
      </c>
      <c r="E350" s="719">
        <v>-3162.39</v>
      </c>
      <c r="F350" s="718" t="s">
        <v>2007</v>
      </c>
      <c r="G350" s="718" t="s">
        <v>2083</v>
      </c>
      <c r="H350" s="719"/>
      <c r="I350" s="720"/>
      <c r="J350" s="720"/>
      <c r="K350" s="720"/>
      <c r="L350" s="149" t="str">
        <f t="shared" si="25"/>
        <v>471A</v>
      </c>
      <c r="M350" s="150" t="str">
        <f t="shared" si="26"/>
        <v>VTE - PIECES BT CARROSS. BMW AUTO</v>
      </c>
      <c r="N350" s="151">
        <f>+IF(OR($Q350=Parametres!$G$2,$Q350=Parametres!$G$3),I350,C350)</f>
        <v>-2926.15</v>
      </c>
      <c r="O350" s="151">
        <f>+IF(OR($Q350=Parametres!$G$2,$Q350=Parametres!$G$3),J350,D350)</f>
        <v>-236.24</v>
      </c>
      <c r="P350" s="151">
        <f>+IF(OR($Q350=Parametres!$G$2,$Q350=Parametres!$G$3),K350,E350)</f>
        <v>-3162.39</v>
      </c>
      <c r="Q350" s="150" t="str">
        <f t="shared" si="27"/>
        <v>5-Ventes</v>
      </c>
      <c r="R350" s="149" t="str">
        <f t="shared" si="28"/>
        <v>471A</v>
      </c>
      <c r="S350" s="150">
        <f t="shared" si="29"/>
        <v>0</v>
      </c>
      <c r="T350" s="152" t="str">
        <f>+VLOOKUP($L350,Data_Validation!$A:$D,1,0)</f>
        <v>471A</v>
      </c>
      <c r="U350" s="152" t="str">
        <f>+VLOOKUP($L350,Data_Validation!$A:$D,3,0)</f>
        <v>Pièces</v>
      </c>
      <c r="V350" s="152" t="str">
        <f>+VLOOKUP($L350,Data_Validation!$A:$D,4,0)</f>
        <v>Pièces Ro Carrosserie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1398</v>
      </c>
      <c r="B351" s="718" t="s">
        <v>630</v>
      </c>
      <c r="C351" s="720">
        <v>-2798</v>
      </c>
      <c r="D351" s="720">
        <v>0</v>
      </c>
      <c r="E351" s="720">
        <v>-2798</v>
      </c>
      <c r="F351" s="718" t="s">
        <v>2007</v>
      </c>
      <c r="G351" s="718" t="s">
        <v>1012</v>
      </c>
      <c r="H351" s="673"/>
      <c r="I351" s="672"/>
      <c r="J351" s="672"/>
      <c r="K351" s="672"/>
      <c r="L351" s="149" t="str">
        <f t="shared" si="25"/>
        <v>450C</v>
      </c>
      <c r="M351" s="150" t="str">
        <f t="shared" si="26"/>
        <v>VTES -ACCESSOIRES USAGE BMW CERT</v>
      </c>
      <c r="N351" s="151">
        <f>+IF(OR($Q351=Parametres!$G$2,$Q351=Parametres!$G$3),I351,C351)</f>
        <v>-2798</v>
      </c>
      <c r="O351" s="151">
        <f>+IF(OR($Q351=Parametres!$G$2,$Q351=Parametres!$G$3),J351,D351)</f>
        <v>0</v>
      </c>
      <c r="P351" s="151">
        <f>+IF(OR($Q351=Parametres!$G$2,$Q351=Parametres!$G$3),K351,E351)</f>
        <v>-2798</v>
      </c>
      <c r="Q351" s="150" t="str">
        <f t="shared" si="27"/>
        <v>5-Ventes</v>
      </c>
      <c r="R351" s="149" t="str">
        <f t="shared" si="28"/>
        <v>450</v>
      </c>
      <c r="S351" s="150">
        <f t="shared" si="29"/>
        <v>0</v>
      </c>
      <c r="T351" s="152" t="str">
        <f>+VLOOKUP($L351,Data_Validation!$A:$D,1,0)</f>
        <v>450C</v>
      </c>
      <c r="U351" s="152" t="str">
        <f>+VLOOKUP($L351,Data_Validation!$A:$D,3,0)</f>
        <v>Véhicules usagés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1230</v>
      </c>
      <c r="B352" s="671" t="s">
        <v>470</v>
      </c>
      <c r="C352" s="672">
        <v>-2748</v>
      </c>
      <c r="D352" s="672">
        <v>-1142.18</v>
      </c>
      <c r="E352" s="672">
        <v>-3890.18</v>
      </c>
      <c r="F352" s="671" t="s">
        <v>2007</v>
      </c>
      <c r="G352" s="671" t="s">
        <v>434</v>
      </c>
      <c r="H352" s="666"/>
      <c r="I352" s="665"/>
      <c r="J352" s="665"/>
      <c r="K352" s="665"/>
      <c r="L352" s="149" t="str">
        <f t="shared" si="25"/>
        <v>472G</v>
      </c>
      <c r="M352" s="150" t="str">
        <f t="shared" si="26"/>
        <v>VTE - PIECES ENTRETIEN BMW I</v>
      </c>
      <c r="N352" s="151">
        <f>+IF(OR($Q352=Parametres!$G$2,$Q352=Parametres!$G$3),I352,C352)</f>
        <v>-2748</v>
      </c>
      <c r="O352" s="151">
        <f>+IF(OR($Q352=Parametres!$G$2,$Q352=Parametres!$G$3),J352,D352)</f>
        <v>-1142.18</v>
      </c>
      <c r="P352" s="151">
        <f>+IF(OR($Q352=Parametres!$G$2,$Q352=Parametres!$G$3),K352,E352)</f>
        <v>-3890.18</v>
      </c>
      <c r="Q352" s="150" t="str">
        <f t="shared" si="27"/>
        <v>5-Ventes</v>
      </c>
      <c r="R352" s="149" t="str">
        <f t="shared" si="28"/>
        <v>472D</v>
      </c>
      <c r="S352" s="150">
        <f t="shared" si="29"/>
        <v>0</v>
      </c>
      <c r="T352" s="152" t="str">
        <f>+VLOOKUP($L352,Data_Validation!$A:$D,1,0)</f>
        <v>472G</v>
      </c>
      <c r="U352" s="152" t="str">
        <f>+VLOOKUP($L352,Data_Validation!$A:$D,3,0)</f>
        <v>pièces</v>
      </c>
      <c r="V352" s="152" t="str">
        <f>+VLOOKUP($L352,Data_Validation!$A:$D,4,0)</f>
        <v>P/A Garantie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2067</v>
      </c>
      <c r="B353" s="718" t="s">
        <v>2068</v>
      </c>
      <c r="C353" s="720">
        <v>-2349</v>
      </c>
      <c r="D353" s="720">
        <v>0</v>
      </c>
      <c r="E353" s="720">
        <v>-2349</v>
      </c>
      <c r="F353" s="718" t="s">
        <v>2007</v>
      </c>
      <c r="G353" s="718" t="s">
        <v>1012</v>
      </c>
      <c r="H353" s="673"/>
      <c r="I353" s="672"/>
      <c r="J353" s="672"/>
      <c r="K353" s="672"/>
      <c r="L353" s="149" t="str">
        <f t="shared" si="25"/>
        <v>454E</v>
      </c>
      <c r="M353" s="150" t="str">
        <f t="shared" si="26"/>
        <v>VTES -PROTEC ESTHETIQUE USAGE BMW NON-CERT</v>
      </c>
      <c r="N353" s="151">
        <f>+IF(OR($Q353=Parametres!$G$2,$Q353=Parametres!$G$3),I353,C353)</f>
        <v>-2349</v>
      </c>
      <c r="O353" s="151">
        <f>+IF(OR($Q353=Parametres!$G$2,$Q353=Parametres!$G$3),J353,D353)</f>
        <v>0</v>
      </c>
      <c r="P353" s="151">
        <f>+IF(OR($Q353=Parametres!$G$2,$Q353=Parametres!$G$3),K353,E353)</f>
        <v>-2349</v>
      </c>
      <c r="Q353" s="150" t="str">
        <f t="shared" si="27"/>
        <v>5-Ventes</v>
      </c>
      <c r="R353" s="149" t="str">
        <f t="shared" si="28"/>
        <v>450</v>
      </c>
      <c r="S353" s="150">
        <f t="shared" si="29"/>
        <v>0</v>
      </c>
      <c r="T353" s="152" t="str">
        <f>+VLOOKUP($L353,Data_Validation!$A:$D,1,0)</f>
        <v>454E</v>
      </c>
      <c r="U353" s="152" t="str">
        <f>+VLOOKUP($L353,Data_Validation!$A:$D,3,0)</f>
        <v>Véhicules usagés</v>
      </c>
      <c r="V353" s="152" t="str">
        <f>+VLOOKUP($L353,Data_Validation!$A:$D,4,0)</f>
        <v>Rev. Protections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1178</v>
      </c>
      <c r="B354" s="671" t="s">
        <v>450</v>
      </c>
      <c r="C354" s="672">
        <v>-2228.7600000000002</v>
      </c>
      <c r="D354" s="672">
        <v>-349.85</v>
      </c>
      <c r="E354" s="672">
        <v>-2578.61</v>
      </c>
      <c r="F354" s="671" t="s">
        <v>2007</v>
      </c>
      <c r="G354" s="671" t="s">
        <v>450</v>
      </c>
      <c r="H354" s="666"/>
      <c r="I354" s="665"/>
      <c r="J354" s="665"/>
      <c r="K354" s="665"/>
      <c r="L354" s="149" t="str">
        <f t="shared" si="25"/>
        <v>459A</v>
      </c>
      <c r="M354" s="150" t="str">
        <f t="shared" si="26"/>
        <v>VTE - BMW SPA PROGRAMME</v>
      </c>
      <c r="N354" s="151">
        <f>+IF(OR($Q354=Parametres!$G$2,$Q354=Parametres!$G$3),I354,C354)</f>
        <v>-2228.7600000000002</v>
      </c>
      <c r="O354" s="151">
        <f>+IF(OR($Q354=Parametres!$G$2,$Q354=Parametres!$G$3),J354,D354)</f>
        <v>-349.85</v>
      </c>
      <c r="P354" s="151">
        <f>+IF(OR($Q354=Parametres!$G$2,$Q354=Parametres!$G$3),K354,E354)</f>
        <v>-2578.61</v>
      </c>
      <c r="Q354" s="150" t="str">
        <f t="shared" si="27"/>
        <v>5-Ventes</v>
      </c>
      <c r="R354" s="149" t="str">
        <f t="shared" si="28"/>
        <v>459A</v>
      </c>
      <c r="S354" s="150">
        <f t="shared" si="29"/>
        <v>0</v>
      </c>
      <c r="T354" s="152" t="str">
        <f>+VLOOKUP($L354,Data_Validation!$A:$D,1,0)</f>
        <v>459A</v>
      </c>
      <c r="U354" s="152" t="str">
        <f>+VLOOKUP($L354,Data_Validation!$A:$D,3,0)</f>
        <v>service</v>
      </c>
      <c r="V354" s="152" t="str">
        <f>+VLOOKUP($L354,Data_Validation!$A:$D,4,0)</f>
        <v>M/O Esthétique</v>
      </c>
      <c r="W354" s="152" t="str">
        <f>+VLOOKUP($L354,Data_Validation!$A:$E,5,0)</f>
        <v>$</v>
      </c>
      <c r="X354" s="152" t="str">
        <f>+VLOOKUP($L354,Data_Validation!$A:$F,6,0)</f>
        <v>Oui</v>
      </c>
    </row>
    <row r="355" spans="1:24" ht="15" customHeight="1">
      <c r="A355" s="718" t="s">
        <v>2938</v>
      </c>
      <c r="B355" s="718" t="s">
        <v>2939</v>
      </c>
      <c r="C355" s="720">
        <v>-1879</v>
      </c>
      <c r="D355" s="720">
        <v>0</v>
      </c>
      <c r="E355" s="720">
        <v>-1879</v>
      </c>
      <c r="F355" s="718" t="s">
        <v>2007</v>
      </c>
      <c r="G355" s="718" t="s">
        <v>374</v>
      </c>
      <c r="H355" s="666"/>
      <c r="I355" s="665"/>
      <c r="J355" s="665"/>
      <c r="K355" s="665"/>
      <c r="L355" s="149" t="str">
        <f t="shared" si="25"/>
        <v>451R</v>
      </c>
      <c r="M355" s="150" t="str">
        <f t="shared" si="26"/>
        <v>VTE - ASS. REMP. USAGE AUTRE</v>
      </c>
      <c r="N355" s="151">
        <f>+IF(OR($Q355=Parametres!$G$2,$Q355=Parametres!$G$3),I355,C355)</f>
        <v>-1879</v>
      </c>
      <c r="O355" s="151">
        <f>+IF(OR($Q355=Parametres!$G$2,$Q355=Parametres!$G$3),J355,D355)</f>
        <v>0</v>
      </c>
      <c r="P355" s="151">
        <f>+IF(OR($Q355=Parametres!$G$2,$Q355=Parametres!$G$3),K355,E355)</f>
        <v>-1879</v>
      </c>
      <c r="Q355" s="150" t="str">
        <f t="shared" si="27"/>
        <v>5-Ventes</v>
      </c>
      <c r="R355" s="149" t="str">
        <f t="shared" si="28"/>
        <v>451</v>
      </c>
      <c r="S355" s="150">
        <f t="shared" si="29"/>
        <v>0</v>
      </c>
      <c r="T355" s="152" t="str">
        <f>+VLOOKUP($L355,Data_Validation!$A:$D,1,0)</f>
        <v>451R</v>
      </c>
      <c r="U355" s="152" t="str">
        <f>+VLOOKUP($L355,Data_Validation!$A:$D,3,0)</f>
        <v>Véhicules usagés</v>
      </c>
      <c r="V355" s="152" t="str">
        <f>+VLOOKUP($L355,Data_Validation!$A:$D,4,0)</f>
        <v>Rev. Protections</v>
      </c>
      <c r="W355" s="152" t="str">
        <f>+VLOOKUP($L355,Data_Validation!$A:$E,5,0)</f>
        <v>$</v>
      </c>
      <c r="X355" s="152" t="str">
        <f>+VLOOKUP($L355,Data_Validation!$A:$F,6,0)</f>
        <v>Oui</v>
      </c>
    </row>
    <row r="356" spans="1:24" ht="15" customHeight="1">
      <c r="A356" s="718" t="s">
        <v>1391</v>
      </c>
      <c r="B356" s="718" t="s">
        <v>1392</v>
      </c>
      <c r="C356" s="720">
        <v>-1769.38</v>
      </c>
      <c r="D356" s="720">
        <v>0</v>
      </c>
      <c r="E356" s="720">
        <v>-1769.38</v>
      </c>
      <c r="F356" s="718" t="s">
        <v>2007</v>
      </c>
      <c r="G356" s="718" t="s">
        <v>625</v>
      </c>
      <c r="H356" s="673"/>
      <c r="I356" s="672"/>
      <c r="J356" s="672"/>
      <c r="K356" s="672"/>
      <c r="L356" s="149" t="str">
        <f t="shared" si="25"/>
        <v>430F</v>
      </c>
      <c r="M356" s="150" t="str">
        <f t="shared" si="26"/>
        <v>VTE - RIST FINANCE NEUF BMW AUTO</v>
      </c>
      <c r="N356" s="151">
        <f>+IF(OR($Q356=Parametres!$G$2,$Q356=Parametres!$G$3),I356,C356)</f>
        <v>-1769.38</v>
      </c>
      <c r="O356" s="151">
        <f>+IF(OR($Q356=Parametres!$G$2,$Q356=Parametres!$G$3),J356,D356)</f>
        <v>0</v>
      </c>
      <c r="P356" s="151">
        <f>+IF(OR($Q356=Parametres!$G$2,$Q356=Parametres!$G$3),K356,E356)</f>
        <v>-1769.38</v>
      </c>
      <c r="Q356" s="150" t="str">
        <f t="shared" si="27"/>
        <v>5-Ventes</v>
      </c>
      <c r="R356" s="149" t="str">
        <f t="shared" si="28"/>
        <v>430</v>
      </c>
      <c r="S356" s="150">
        <f t="shared" si="29"/>
        <v>0</v>
      </c>
      <c r="T356" s="152" t="str">
        <f>+VLOOKUP($L356,Data_Validation!$A:$D,1,0)</f>
        <v>430F</v>
      </c>
      <c r="U356" s="152" t="str">
        <f>+VLOOKUP($L356,Data_Validation!$A:$D,3,0)</f>
        <v>Véhicules neufs</v>
      </c>
      <c r="V356" s="152" t="str">
        <f>+VLOOKUP($L356,Data_Validation!$A:$D,4,0)</f>
        <v>Rev. Finances</v>
      </c>
      <c r="W356" s="152" t="str">
        <f>+VLOOKUP($L356,Data_Validation!$A:$E,5,0)</f>
        <v>$</v>
      </c>
      <c r="X356" s="152" t="str">
        <f>+VLOOKUP($L356,Data_Validation!$A:$F,6,0)</f>
        <v>Oui</v>
      </c>
    </row>
    <row r="357" spans="1:24" ht="15" customHeight="1">
      <c r="A357" s="718" t="s">
        <v>2013</v>
      </c>
      <c r="B357" s="718" t="s">
        <v>2014</v>
      </c>
      <c r="C357" s="719">
        <v>-1526</v>
      </c>
      <c r="D357" s="719">
        <v>0</v>
      </c>
      <c r="E357" s="719">
        <v>-1526</v>
      </c>
      <c r="F357" s="718" t="s">
        <v>2007</v>
      </c>
      <c r="G357" s="718" t="s">
        <v>1012</v>
      </c>
      <c r="H357" s="719"/>
      <c r="I357" s="720"/>
      <c r="J357" s="720"/>
      <c r="K357" s="720"/>
      <c r="L357" s="149" t="str">
        <f t="shared" si="25"/>
        <v>450R</v>
      </c>
      <c r="M357" s="150" t="str">
        <f t="shared" si="26"/>
        <v>VTES -ASS. REMP. USAGE BMW CERT</v>
      </c>
      <c r="N357" s="151">
        <f>+IF(OR($Q357=Parametres!$G$2,$Q357=Parametres!$G$3),I357,C357)</f>
        <v>-1526</v>
      </c>
      <c r="O357" s="151">
        <f>+IF(OR($Q357=Parametres!$G$2,$Q357=Parametres!$G$3),J357,D357)</f>
        <v>0</v>
      </c>
      <c r="P357" s="151">
        <f>+IF(OR($Q357=Parametres!$G$2,$Q357=Parametres!$G$3),K357,E357)</f>
        <v>-1526</v>
      </c>
      <c r="Q357" s="150" t="str">
        <f t="shared" si="27"/>
        <v>5-Ventes</v>
      </c>
      <c r="R357" s="149" t="str">
        <f t="shared" si="28"/>
        <v>450</v>
      </c>
      <c r="S357" s="150">
        <f t="shared" si="29"/>
        <v>0</v>
      </c>
      <c r="T357" s="152" t="str">
        <f>+VLOOKUP($L357,Data_Validation!$A:$D,1,0)</f>
        <v>450R</v>
      </c>
      <c r="U357" s="152" t="str">
        <f>+VLOOKUP($L357,Data_Validation!$A:$D,3,0)</f>
        <v>Véhicules usagés</v>
      </c>
      <c r="V357" s="152" t="str">
        <f>+VLOOKUP($L357,Data_Validation!$A:$D,4,0)</f>
        <v>Rev. Protections</v>
      </c>
      <c r="W357" s="152" t="str">
        <f>+VLOOKUP($L357,Data_Validation!$A:$E,5,0)</f>
        <v>$</v>
      </c>
      <c r="X357" s="152" t="str">
        <f>+VLOOKUP($L357,Data_Validation!$A:$F,6,0)</f>
        <v>Oui</v>
      </c>
    </row>
    <row r="358" spans="1:24" ht="15.75" customHeight="1">
      <c r="A358" s="671" t="s">
        <v>2204</v>
      </c>
      <c r="B358" s="671" t="s">
        <v>2205</v>
      </c>
      <c r="C358" s="672">
        <v>-1495</v>
      </c>
      <c r="D358" s="672">
        <v>0</v>
      </c>
      <c r="E358" s="672">
        <v>-1495</v>
      </c>
      <c r="F358" s="671" t="s">
        <v>2007</v>
      </c>
      <c r="G358" s="671" t="s">
        <v>374</v>
      </c>
      <c r="H358" s="666"/>
      <c r="I358" s="665"/>
      <c r="J358" s="665"/>
      <c r="K358" s="665"/>
      <c r="L358" s="149" t="str">
        <f t="shared" si="25"/>
        <v>451V</v>
      </c>
      <c r="M358" s="150" t="str">
        <f t="shared" si="26"/>
        <v>VTE - ASS VIE/INV USAGE AUTRE</v>
      </c>
      <c r="N358" s="151">
        <f>+IF(OR($Q358=Parametres!$G$2,$Q358=Parametres!$G$3),I358,C358)</f>
        <v>-1495</v>
      </c>
      <c r="O358" s="151">
        <f>+IF(OR($Q358=Parametres!$G$2,$Q358=Parametres!$G$3),J358,D358)</f>
        <v>0</v>
      </c>
      <c r="P358" s="151">
        <f>+IF(OR($Q358=Parametres!$G$2,$Q358=Parametres!$G$3),K358,E358)</f>
        <v>-1495</v>
      </c>
      <c r="Q358" s="150" t="str">
        <f t="shared" si="27"/>
        <v>5-Ventes</v>
      </c>
      <c r="R358" s="149" t="str">
        <f t="shared" si="28"/>
        <v>451</v>
      </c>
      <c r="S358" s="150">
        <f t="shared" si="29"/>
        <v>0</v>
      </c>
      <c r="T358" s="152" t="str">
        <f>+VLOOKUP($L358,Data_Validation!$A:$D,1,0)</f>
        <v>451V</v>
      </c>
      <c r="U358" s="152" t="str">
        <f>+VLOOKUP($L358,Data_Validation!$A:$D,3,0)</f>
        <v>Véhicules usagés</v>
      </c>
      <c r="V358" s="152" t="str">
        <f>+VLOOKUP($L358,Data_Validation!$A:$D,4,0)</f>
        <v>Rev. Protections</v>
      </c>
      <c r="W358" s="152" t="str">
        <f>+VLOOKUP($L358,Data_Validation!$A:$E,5,0)</f>
        <v>$</v>
      </c>
      <c r="X358" s="152" t="str">
        <f>+VLOOKUP($L358,Data_Validation!$A:$F,6,0)</f>
        <v>oui</v>
      </c>
    </row>
    <row r="359" spans="1:24" ht="15" customHeight="1">
      <c r="A359" s="718" t="s">
        <v>2129</v>
      </c>
      <c r="B359" s="718" t="s">
        <v>2130</v>
      </c>
      <c r="C359" s="720">
        <v>-1199</v>
      </c>
      <c r="D359" s="720">
        <v>0</v>
      </c>
      <c r="E359" s="720">
        <v>-1199</v>
      </c>
      <c r="F359" s="718" t="s">
        <v>2007</v>
      </c>
      <c r="G359" s="718" t="s">
        <v>1012</v>
      </c>
      <c r="H359" s="673"/>
      <c r="I359" s="672"/>
      <c r="J359" s="672"/>
      <c r="K359" s="672"/>
      <c r="L359" s="149" t="str">
        <f t="shared" si="25"/>
        <v>454C</v>
      </c>
      <c r="M359" s="150" t="str">
        <f t="shared" si="26"/>
        <v>VTES -ACCESSOIRES USAGE BMW NON-CERT</v>
      </c>
      <c r="N359" s="151">
        <f>+IF(OR($Q359=Parametres!$G$2,$Q359=Parametres!$G$3),I359,C359)</f>
        <v>-1199</v>
      </c>
      <c r="O359" s="151">
        <f>+IF(OR($Q359=Parametres!$G$2,$Q359=Parametres!$G$3),J359,D359)</f>
        <v>0</v>
      </c>
      <c r="P359" s="151">
        <f>+IF(OR($Q359=Parametres!$G$2,$Q359=Parametres!$G$3),K359,E359)</f>
        <v>-1199</v>
      </c>
      <c r="Q359" s="150" t="str">
        <f t="shared" si="27"/>
        <v>5-Ventes</v>
      </c>
      <c r="R359" s="149" t="str">
        <f t="shared" si="28"/>
        <v>450</v>
      </c>
      <c r="S359" s="150">
        <f t="shared" si="29"/>
        <v>0</v>
      </c>
      <c r="T359" s="152" t="str">
        <f>+VLOOKUP($L359,Data_Validation!$A:$D,1,0)</f>
        <v>454C</v>
      </c>
      <c r="U359" s="152" t="str">
        <f>+VLOOKUP($L359,Data_Validation!$A:$D,3,0)</f>
        <v>Véhicules usagés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 t="str">
        <f>+VLOOKUP($L359,Data_Validation!$A:$F,6,0)</f>
        <v>Oui</v>
      </c>
    </row>
    <row r="360" spans="1:24" ht="15" customHeight="1">
      <c r="A360" s="718" t="s">
        <v>1401</v>
      </c>
      <c r="B360" s="718" t="s">
        <v>1402</v>
      </c>
      <c r="C360" s="719">
        <v>-965</v>
      </c>
      <c r="D360" s="719">
        <v>0</v>
      </c>
      <c r="E360" s="719">
        <v>-965</v>
      </c>
      <c r="F360" s="718" t="s">
        <v>2007</v>
      </c>
      <c r="G360" s="718" t="s">
        <v>1012</v>
      </c>
      <c r="H360" s="719"/>
      <c r="I360" s="720"/>
      <c r="J360" s="720"/>
      <c r="K360" s="720"/>
      <c r="L360" s="149" t="str">
        <f t="shared" si="25"/>
        <v>450T</v>
      </c>
      <c r="M360" s="150" t="str">
        <f t="shared" si="26"/>
        <v>VTES -TRAITEMENT OTOPROTEC USAGE BMW CERT</v>
      </c>
      <c r="N360" s="151">
        <f>+IF(OR($Q360=Parametres!$G$2,$Q360=Parametres!$G$3),I360,C360)</f>
        <v>-965</v>
      </c>
      <c r="O360" s="151">
        <f>+IF(OR($Q360=Parametres!$G$2,$Q360=Parametres!$G$3),J360,D360)</f>
        <v>0</v>
      </c>
      <c r="P360" s="151">
        <f>+IF(OR($Q360=Parametres!$G$2,$Q360=Parametres!$G$3),K360,E360)</f>
        <v>-965</v>
      </c>
      <c r="Q360" s="150" t="str">
        <f t="shared" si="27"/>
        <v>5-Ventes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450T</v>
      </c>
      <c r="U360" s="152" t="str">
        <f>+VLOOKUP($L360,Data_Validation!$A:$D,3,0)</f>
        <v>Véhicules usagés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 t="str">
        <f>+VLOOKUP($L360,Data_Validation!$A:$F,6,0)</f>
        <v>Oui</v>
      </c>
    </row>
    <row r="361" spans="1:24" ht="15" customHeight="1">
      <c r="A361" s="718" t="s">
        <v>2853</v>
      </c>
      <c r="B361" s="718" t="s">
        <v>2854</v>
      </c>
      <c r="C361" s="720">
        <v>-795</v>
      </c>
      <c r="D361" s="720">
        <v>0</v>
      </c>
      <c r="E361" s="720">
        <v>-795</v>
      </c>
      <c r="F361" s="718" t="s">
        <v>2007</v>
      </c>
      <c r="G361" s="718" t="s">
        <v>1012</v>
      </c>
      <c r="H361" s="673"/>
      <c r="I361" s="672"/>
      <c r="J361" s="672"/>
      <c r="K361" s="672"/>
      <c r="L361" s="149" t="str">
        <f t="shared" si="25"/>
        <v>454T</v>
      </c>
      <c r="M361" s="150" t="str">
        <f t="shared" si="26"/>
        <v>VTES -TRAITEMENT OTOPROTEC USAGE BMW NON-CERT</v>
      </c>
      <c r="N361" s="151">
        <f>+IF(OR($Q361=Parametres!$G$2,$Q361=Parametres!$G$3),I361,C361)</f>
        <v>-795</v>
      </c>
      <c r="O361" s="151">
        <f>+IF(OR($Q361=Parametres!$G$2,$Q361=Parametres!$G$3),J361,D361)</f>
        <v>0</v>
      </c>
      <c r="P361" s="151">
        <f>+IF(OR($Q361=Parametres!$G$2,$Q361=Parametres!$G$3),K361,E361)</f>
        <v>-795</v>
      </c>
      <c r="Q361" s="150" t="str">
        <f t="shared" si="27"/>
        <v>5-Ventes</v>
      </c>
      <c r="R361" s="149" t="str">
        <f t="shared" si="28"/>
        <v>450</v>
      </c>
      <c r="S361" s="150">
        <f t="shared" si="29"/>
        <v>0</v>
      </c>
      <c r="T361" s="152" t="str">
        <f>+VLOOKUP($L361,Data_Validation!$A:$D,1,0)</f>
        <v>454T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 t="str">
        <f>+VLOOKUP($L361,Data_Validation!$A:$F,6,0)</f>
        <v>Oui</v>
      </c>
    </row>
    <row r="362" spans="1:24" ht="15.75" customHeight="1">
      <c r="A362" s="718" t="s">
        <v>1399</v>
      </c>
      <c r="B362" s="718" t="s">
        <v>1400</v>
      </c>
      <c r="C362" s="719">
        <v>-675</v>
      </c>
      <c r="D362" s="719">
        <v>0</v>
      </c>
      <c r="E362" s="719">
        <v>-675</v>
      </c>
      <c r="F362" s="718" t="s">
        <v>2007</v>
      </c>
      <c r="G362" s="718" t="s">
        <v>1012</v>
      </c>
      <c r="H362" s="719"/>
      <c r="I362" s="720"/>
      <c r="J362" s="720"/>
      <c r="K362" s="720"/>
      <c r="L362" s="149" t="str">
        <f t="shared" si="25"/>
        <v>450P</v>
      </c>
      <c r="M362" s="150" t="str">
        <f t="shared" si="26"/>
        <v>VTES -PROTEC PNEUS/JANTES USAGE BMW CERT</v>
      </c>
      <c r="N362" s="151">
        <f>+IF(OR($Q362=Parametres!$G$2,$Q362=Parametres!$G$3),I362,C362)</f>
        <v>-675</v>
      </c>
      <c r="O362" s="151">
        <f>+IF(OR($Q362=Parametres!$G$2,$Q362=Parametres!$G$3),J362,D362)</f>
        <v>0</v>
      </c>
      <c r="P362" s="151">
        <f>+IF(OR($Q362=Parametres!$G$2,$Q362=Parametres!$G$3),K362,E362)</f>
        <v>-675</v>
      </c>
      <c r="Q362" s="150" t="str">
        <f t="shared" si="27"/>
        <v>5-Ventes</v>
      </c>
      <c r="R362" s="149" t="str">
        <f t="shared" si="28"/>
        <v>450</v>
      </c>
      <c r="S362" s="150">
        <f t="shared" si="29"/>
        <v>0</v>
      </c>
      <c r="T362" s="152" t="str">
        <f>+VLOOKUP($L362,Data_Validation!$A:$D,1,0)</f>
        <v>450P</v>
      </c>
      <c r="U362" s="152" t="str">
        <f>+VLOOKUP($L362,Data_Validation!$A:$D,3,0)</f>
        <v>Véhicules usagés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 t="str">
        <f>+VLOOKUP($L362,Data_Validation!$A:$F,6,0)</f>
        <v>Oui</v>
      </c>
    </row>
    <row r="363" spans="1:24" ht="15.75" customHeight="1">
      <c r="A363" s="671" t="s">
        <v>2474</v>
      </c>
      <c r="B363" s="671" t="s">
        <v>2475</v>
      </c>
      <c r="C363" s="672">
        <v>-206.7</v>
      </c>
      <c r="D363" s="672">
        <v>0</v>
      </c>
      <c r="E363" s="672">
        <v>-206.7</v>
      </c>
      <c r="F363" s="671" t="s">
        <v>2007</v>
      </c>
      <c r="G363" s="671" t="s">
        <v>2083</v>
      </c>
      <c r="H363" s="666"/>
      <c r="I363" s="665"/>
      <c r="J363" s="665"/>
      <c r="K363" s="665"/>
      <c r="L363" s="149" t="str">
        <f t="shared" si="25"/>
        <v>471D</v>
      </c>
      <c r="M363" s="150" t="str">
        <f t="shared" si="26"/>
        <v>VTE - PIECES BT CARROSS. BMW I</v>
      </c>
      <c r="N363" s="151">
        <f>+IF(OR($Q363=Parametres!$G$2,$Q363=Parametres!$G$3),I363,C363)</f>
        <v>-206.7</v>
      </c>
      <c r="O363" s="151">
        <f>+IF(OR($Q363=Parametres!$G$2,$Q363=Parametres!$G$3),J363,D363)</f>
        <v>0</v>
      </c>
      <c r="P363" s="151">
        <f>+IF(OR($Q363=Parametres!$G$2,$Q363=Parametres!$G$3),K363,E363)</f>
        <v>-206.7</v>
      </c>
      <c r="Q363" s="150" t="str">
        <f t="shared" si="27"/>
        <v>5-Ventes</v>
      </c>
      <c r="R363" s="149" t="str">
        <f t="shared" si="28"/>
        <v>471A</v>
      </c>
      <c r="S363" s="150">
        <f t="shared" si="29"/>
        <v>0</v>
      </c>
      <c r="T363" s="152" t="str">
        <f>+VLOOKUP($L363,Data_Validation!$A:$D,1,0)</f>
        <v>471D</v>
      </c>
      <c r="U363" s="152" t="str">
        <f>+VLOOKUP($L363,Data_Validation!$A:$D,3,0)</f>
        <v>Pièces</v>
      </c>
      <c r="V363" s="152" t="str">
        <f>+VLOOKUP($L363,Data_Validation!$A:$D,4,0)</f>
        <v>Pièces Ro Carrosserie</v>
      </c>
      <c r="W363" s="152" t="str">
        <f>+VLOOKUP($L363,Data_Validation!$A:$E,5,0)</f>
        <v>$</v>
      </c>
      <c r="X363" s="152" t="str">
        <f>+VLOOKUP($L363,Data_Validation!$A:$F,6,0)</f>
        <v>OUI</v>
      </c>
    </row>
    <row r="364" spans="1:24" ht="15" customHeight="1">
      <c r="A364" s="718" t="s">
        <v>2389</v>
      </c>
      <c r="B364" s="718" t="s">
        <v>2390</v>
      </c>
      <c r="C364" s="720">
        <v>0</v>
      </c>
      <c r="D364" s="720">
        <v>-89503.25</v>
      </c>
      <c r="E364" s="720">
        <v>-89503.25</v>
      </c>
      <c r="F364" s="718" t="s">
        <v>2007</v>
      </c>
      <c r="G364" s="718" t="s">
        <v>2390</v>
      </c>
      <c r="H364" s="673"/>
      <c r="I364" s="672"/>
      <c r="J364" s="672"/>
      <c r="K364" s="672"/>
      <c r="L364" s="149" t="str">
        <f t="shared" si="25"/>
        <v>422B</v>
      </c>
      <c r="M364" s="150" t="str">
        <f t="shared" si="26"/>
        <v>VTE - X6 XDRIVE 50I</v>
      </c>
      <c r="N364" s="151">
        <f>+IF(OR($Q364=Parametres!$G$2,$Q364=Parametres!$G$3),I364,C364)</f>
        <v>0</v>
      </c>
      <c r="O364" s="151">
        <f>+IF(OR($Q364=Parametres!$G$2,$Q364=Parametres!$G$3),J364,D364)</f>
        <v>-89503.25</v>
      </c>
      <c r="P364" s="151">
        <f>+IF(OR($Q364=Parametres!$G$2,$Q364=Parametres!$G$3),K364,E364)</f>
        <v>-89503.25</v>
      </c>
      <c r="Q364" s="150" t="str">
        <f t="shared" si="27"/>
        <v>5-Ventes</v>
      </c>
      <c r="R364" s="149" t="str">
        <f t="shared" si="28"/>
        <v>422B</v>
      </c>
      <c r="S364" s="150">
        <f t="shared" si="29"/>
        <v>0</v>
      </c>
      <c r="T364" s="152" t="str">
        <f>+VLOOKUP($L364,Data_Validation!$A:$D,1,0)</f>
        <v>422B</v>
      </c>
      <c r="U364" s="152" t="str">
        <f>+VLOOKUP($L364,Data_Validation!$A:$D,3,0)</f>
        <v>Véhicules neufs</v>
      </c>
      <c r="V364" s="152" t="str">
        <f>+VLOOKUP($L364,Data_Validation!$A:$D,4,0)</f>
        <v>Camions détail</v>
      </c>
      <c r="W364" s="152" t="str">
        <f>+VLOOKUP($L364,Data_Validation!$A:$E,5,0)</f>
        <v>$</v>
      </c>
      <c r="X364" s="152" t="str">
        <f>+VLOOKUP($L364,Data_Validation!$A:$F,6,0)</f>
        <v>Oui</v>
      </c>
    </row>
    <row r="365" spans="1:24" ht="15" customHeight="1">
      <c r="A365" s="718" t="s">
        <v>1388</v>
      </c>
      <c r="B365" s="718" t="s">
        <v>623</v>
      </c>
      <c r="C365" s="720">
        <v>0</v>
      </c>
      <c r="D365" s="720">
        <v>-149364.5</v>
      </c>
      <c r="E365" s="720">
        <v>-149364.5</v>
      </c>
      <c r="F365" s="718" t="s">
        <v>2007</v>
      </c>
      <c r="G365" s="718" t="s">
        <v>623</v>
      </c>
      <c r="H365" s="673"/>
      <c r="I365" s="672"/>
      <c r="J365" s="672"/>
      <c r="K365" s="672"/>
      <c r="L365" s="149" t="str">
        <f t="shared" si="25"/>
        <v>428</v>
      </c>
      <c r="M365" s="150" t="str">
        <f t="shared" si="26"/>
        <v>VTE - X6 M</v>
      </c>
      <c r="N365" s="151">
        <f>+IF(OR($Q365=Parametres!$G$2,$Q365=Parametres!$G$3),I365,C365)</f>
        <v>0</v>
      </c>
      <c r="O365" s="151">
        <f>+IF(OR($Q365=Parametres!$G$2,$Q365=Parametres!$G$3),J365,D365)</f>
        <v>-149364.5</v>
      </c>
      <c r="P365" s="151">
        <f>+IF(OR($Q365=Parametres!$G$2,$Q365=Parametres!$G$3),K365,E365)</f>
        <v>-149364.5</v>
      </c>
      <c r="Q365" s="150" t="str">
        <f t="shared" si="27"/>
        <v>5-Ventes</v>
      </c>
      <c r="R365" s="149" t="str">
        <f t="shared" si="28"/>
        <v>428</v>
      </c>
      <c r="S365" s="150">
        <f t="shared" si="29"/>
        <v>0</v>
      </c>
      <c r="T365" s="152" t="str">
        <f>+VLOOKUP($L365,Data_Validation!$A:$D,1,0)</f>
        <v>428</v>
      </c>
      <c r="U365" s="152" t="str">
        <f>+VLOOKUP($L365,Data_Validation!$A:$D,3,0)</f>
        <v>Véhicules neufs</v>
      </c>
      <c r="V365" s="152" t="str">
        <f>+VLOOKUP($L365,Data_Validation!$A:$D,4,0)</f>
        <v>Camions détail</v>
      </c>
      <c r="W365" s="152" t="str">
        <f>+VLOOKUP($L365,Data_Validation!$A:$E,5,0)</f>
        <v>$</v>
      </c>
      <c r="X365" s="152" t="str">
        <f>+VLOOKUP($L365,Data_Validation!$A:$F,6,0)</f>
        <v>Oui</v>
      </c>
    </row>
    <row r="366" spans="1:24" ht="15" customHeight="1">
      <c r="A366" s="718" t="s">
        <v>1104</v>
      </c>
      <c r="B366" s="718" t="s">
        <v>426</v>
      </c>
      <c r="C366" s="720">
        <v>-360384.6</v>
      </c>
      <c r="D366" s="720">
        <v>-76456</v>
      </c>
      <c r="E366" s="720">
        <v>-436840.6</v>
      </c>
      <c r="F366" s="718" t="s">
        <v>2015</v>
      </c>
      <c r="G366" s="718" t="s">
        <v>2253</v>
      </c>
      <c r="H366" s="673"/>
      <c r="I366" s="672"/>
      <c r="J366" s="672"/>
      <c r="K366" s="672"/>
      <c r="L366" s="149" t="str">
        <f t="shared" si="25"/>
        <v>617A</v>
      </c>
      <c r="M366" s="150" t="str">
        <f t="shared" si="26"/>
        <v>RESERVE DETAILLANT</v>
      </c>
      <c r="N366" s="151">
        <f>+IF(OR($Q366=Parametres!$G$2,$Q366=Parametres!$G$3),I366,C366)</f>
        <v>-360384.6</v>
      </c>
      <c r="O366" s="151">
        <f>+IF(OR($Q366=Parametres!$G$2,$Q366=Parametres!$G$3),J366,D366)</f>
        <v>-76456</v>
      </c>
      <c r="P366" s="151">
        <f>+IF(OR($Q366=Parametres!$G$2,$Q366=Parametres!$G$3),K366,E366)</f>
        <v>-436840.6</v>
      </c>
      <c r="Q366" s="150" t="str">
        <f t="shared" si="27"/>
        <v>6-Coût des ventes</v>
      </c>
      <c r="R366" s="149" t="str">
        <f t="shared" si="28"/>
        <v>617</v>
      </c>
      <c r="S366" s="150">
        <f t="shared" si="29"/>
        <v>0</v>
      </c>
      <c r="T366" s="152" t="str">
        <f>+VLOOKUP($L366,Data_Validation!$A:$D,1,0)</f>
        <v>617A</v>
      </c>
      <c r="U366" s="152" t="str">
        <f>+VLOOKUP($L366,Data_Validation!$A:$D,3,0)</f>
        <v>Véhicules neufs</v>
      </c>
      <c r="V366" s="152" t="str">
        <f>+VLOOKUP($L366,Data_Validation!$A:$D,4,0)</f>
        <v>holdbacks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1204</v>
      </c>
      <c r="B367" s="671" t="s">
        <v>1205</v>
      </c>
      <c r="C367" s="672">
        <v>-50837.52</v>
      </c>
      <c r="D367" s="672">
        <v>-2545.65</v>
      </c>
      <c r="E367" s="672">
        <v>-53383.17</v>
      </c>
      <c r="F367" s="671" t="s">
        <v>2015</v>
      </c>
      <c r="G367" s="671" t="s">
        <v>2254</v>
      </c>
      <c r="H367" s="666"/>
      <c r="I367" s="665"/>
      <c r="J367" s="665"/>
      <c r="K367" s="665"/>
      <c r="L367" s="149" t="str">
        <f t="shared" si="25"/>
        <v>677A</v>
      </c>
      <c r="M367" s="150" t="str">
        <f t="shared" si="26"/>
        <v>C/V - RABAIS ACHAT VOLUME BMW AUTO</v>
      </c>
      <c r="N367" s="151">
        <f>+IF(OR($Q367=Parametres!$G$2,$Q367=Parametres!$G$3),I367,C367)</f>
        <v>-50837.52</v>
      </c>
      <c r="O367" s="151">
        <f>+IF(OR($Q367=Parametres!$G$2,$Q367=Parametres!$G$3),J367,D367)</f>
        <v>-2545.65</v>
      </c>
      <c r="P367" s="151">
        <f>+IF(OR($Q367=Parametres!$G$2,$Q367=Parametres!$G$3),K367,E367)</f>
        <v>-53383.17</v>
      </c>
      <c r="Q367" s="150" t="str">
        <f t="shared" si="27"/>
        <v>6-Coût des ventes</v>
      </c>
      <c r="R367" s="149" t="str">
        <f t="shared" si="28"/>
        <v>477</v>
      </c>
      <c r="S367" s="150">
        <f t="shared" si="29"/>
        <v>0</v>
      </c>
      <c r="T367" s="152" t="str">
        <f>+VLOOKUP($L367,Data_Validation!$A:$D,1,0)</f>
        <v>677A</v>
      </c>
      <c r="U367" s="152" t="str">
        <f>+VLOOKUP($L367,Data_Validation!$A:$D,3,0)</f>
        <v>pièces</v>
      </c>
      <c r="V367" s="152" t="str">
        <f>+VLOOKUP($L367,Data_Validation!$A:$D,4,0)</f>
        <v>Escomptes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2393</v>
      </c>
      <c r="B368" s="718" t="s">
        <v>2394</v>
      </c>
      <c r="C368" s="720">
        <v>0</v>
      </c>
      <c r="D368" s="720">
        <v>84691.08</v>
      </c>
      <c r="E368" s="720">
        <v>84691.08</v>
      </c>
      <c r="F368" s="718" t="s">
        <v>2015</v>
      </c>
      <c r="G368" s="718" t="s">
        <v>2390</v>
      </c>
      <c r="H368" s="673"/>
      <c r="I368" s="672"/>
      <c r="J368" s="672"/>
      <c r="K368" s="672"/>
      <c r="L368" s="149" t="str">
        <f t="shared" si="25"/>
        <v>622B</v>
      </c>
      <c r="M368" s="150" t="str">
        <f t="shared" si="26"/>
        <v>C/V - X6 XDRIVE 50I</v>
      </c>
      <c r="N368" s="151">
        <f>+IF(OR($Q368=Parametres!$G$2,$Q368=Parametres!$G$3),I368,C368)</f>
        <v>0</v>
      </c>
      <c r="O368" s="151">
        <f>+IF(OR($Q368=Parametres!$G$2,$Q368=Parametres!$G$3),J368,D368)</f>
        <v>84691.08</v>
      </c>
      <c r="P368" s="151">
        <f>+IF(OR($Q368=Parametres!$G$2,$Q368=Parametres!$G$3),K368,E368)</f>
        <v>84691.08</v>
      </c>
      <c r="Q368" s="150" t="str">
        <f t="shared" si="27"/>
        <v>6-Coût des ventes</v>
      </c>
      <c r="R368" s="149" t="str">
        <f t="shared" si="28"/>
        <v>422B</v>
      </c>
      <c r="S368" s="150">
        <f t="shared" si="29"/>
        <v>0</v>
      </c>
      <c r="T368" s="152" t="str">
        <f>+VLOOKUP($L368,Data_Validation!$A:$D,1,0)</f>
        <v>622B</v>
      </c>
      <c r="U368" s="152" t="str">
        <f>+VLOOKUP($L368,Data_Validation!$A:$D,3,0)</f>
        <v>Véhicules neufs</v>
      </c>
      <c r="V368" s="152" t="str">
        <f>+VLOOKUP($L368,Data_Validation!$A:$D,4,0)</f>
        <v>Camions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660</v>
      </c>
      <c r="B369" s="671" t="s">
        <v>661</v>
      </c>
      <c r="C369" s="672">
        <v>0</v>
      </c>
      <c r="D369" s="672">
        <v>143195.94</v>
      </c>
      <c r="E369" s="672">
        <v>143195.94</v>
      </c>
      <c r="F369" s="671" t="s">
        <v>2015</v>
      </c>
      <c r="G369" s="671" t="s">
        <v>623</v>
      </c>
      <c r="H369" s="666"/>
      <c r="I369" s="665"/>
      <c r="J369" s="665"/>
      <c r="K369" s="665"/>
      <c r="L369" s="149" t="str">
        <f t="shared" si="25"/>
        <v>628</v>
      </c>
      <c r="M369" s="150" t="str">
        <f t="shared" si="26"/>
        <v>C/V - X6 M</v>
      </c>
      <c r="N369" s="151">
        <f>+IF(OR($Q369=Parametres!$G$2,$Q369=Parametres!$G$3),I369,C369)</f>
        <v>0</v>
      </c>
      <c r="O369" s="151">
        <f>+IF(OR($Q369=Parametres!$G$2,$Q369=Parametres!$G$3),J369,D369)</f>
        <v>143195.94</v>
      </c>
      <c r="P369" s="151">
        <f>+IF(OR($Q369=Parametres!$G$2,$Q369=Parametres!$G$3),K369,E369)</f>
        <v>143195.94</v>
      </c>
      <c r="Q369" s="150" t="str">
        <f t="shared" si="27"/>
        <v>6-Coût des ventes</v>
      </c>
      <c r="R369" s="149" t="str">
        <f t="shared" si="28"/>
        <v>428</v>
      </c>
      <c r="S369" s="150">
        <f t="shared" si="29"/>
        <v>0</v>
      </c>
      <c r="T369" s="152" t="str">
        <f>+VLOOKUP($L369,Data_Validation!$A:$D,1,0)</f>
        <v>628</v>
      </c>
      <c r="U369" s="152" t="str">
        <f>+VLOOKUP($L369,Data_Validation!$A:$D,3,0)</f>
        <v>Véhicules neufs</v>
      </c>
      <c r="V369" s="152" t="str">
        <f>+VLOOKUP($L369,Data_Validation!$A:$D,4,0)</f>
        <v>Camions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1696</v>
      </c>
      <c r="B370" s="718" t="s">
        <v>844</v>
      </c>
      <c r="C370" s="720">
        <v>7.07</v>
      </c>
      <c r="D370" s="720">
        <v>11.13</v>
      </c>
      <c r="E370" s="720">
        <v>18.2</v>
      </c>
      <c r="F370" s="718" t="s">
        <v>2015</v>
      </c>
      <c r="G370" s="718" t="s">
        <v>450</v>
      </c>
      <c r="H370" s="673"/>
      <c r="I370" s="672"/>
      <c r="J370" s="672"/>
      <c r="K370" s="672"/>
      <c r="L370" s="149" t="str">
        <f t="shared" si="25"/>
        <v>659A</v>
      </c>
      <c r="M370" s="150" t="str">
        <f t="shared" si="26"/>
        <v>C/V - BMW SPA PROGRAMME</v>
      </c>
      <c r="N370" s="151">
        <f>+IF(OR($Q370=Parametres!$G$2,$Q370=Parametres!$G$3),I370,C370)</f>
        <v>7.07</v>
      </c>
      <c r="O370" s="151">
        <f>+IF(OR($Q370=Parametres!$G$2,$Q370=Parametres!$G$3),J370,D370)</f>
        <v>11.13</v>
      </c>
      <c r="P370" s="151">
        <f>+IF(OR($Q370=Parametres!$G$2,$Q370=Parametres!$G$3),K370,E370)</f>
        <v>18.2</v>
      </c>
      <c r="Q370" s="150" t="str">
        <f t="shared" si="27"/>
        <v>6-Coût des ventes</v>
      </c>
      <c r="R370" s="149" t="str">
        <f t="shared" si="28"/>
        <v>459A</v>
      </c>
      <c r="S370" s="150">
        <f t="shared" si="29"/>
        <v>0</v>
      </c>
      <c r="T370" s="152" t="str">
        <f>+VLOOKUP($L370,Data_Validation!$A:$D,1,0)</f>
        <v>659A</v>
      </c>
      <c r="U370" s="152" t="str">
        <f>+VLOOKUP($L370,Data_Validation!$A:$D,3,0)</f>
        <v>service</v>
      </c>
      <c r="V370" s="152" t="str">
        <f>+VLOOKUP($L370,Data_Validation!$A:$D,4,0)</f>
        <v>M/O Esthétique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2857</v>
      </c>
      <c r="B371" s="718" t="s">
        <v>2858</v>
      </c>
      <c r="C371" s="720">
        <v>115.05</v>
      </c>
      <c r="D371" s="720">
        <v>0</v>
      </c>
      <c r="E371" s="720">
        <v>115.05</v>
      </c>
      <c r="F371" s="718" t="s">
        <v>2015</v>
      </c>
      <c r="G371" s="718" t="s">
        <v>1012</v>
      </c>
      <c r="H371" s="673"/>
      <c r="I371" s="672"/>
      <c r="J371" s="672"/>
      <c r="K371" s="672"/>
      <c r="L371" s="149" t="str">
        <f t="shared" si="25"/>
        <v>654T</v>
      </c>
      <c r="M371" s="150" t="str">
        <f t="shared" si="26"/>
        <v>C/V - TRAITEMENT OTOPROTEC USAGE BMW NON-CERT</v>
      </c>
      <c r="N371" s="151">
        <f>+IF(OR($Q371=Parametres!$G$2,$Q371=Parametres!$G$3),I371,C371)</f>
        <v>115.05</v>
      </c>
      <c r="O371" s="151">
        <f>+IF(OR($Q371=Parametres!$G$2,$Q371=Parametres!$G$3),J371,D371)</f>
        <v>0</v>
      </c>
      <c r="P371" s="151">
        <f>+IF(OR($Q371=Parametres!$G$2,$Q371=Parametres!$G$3),K371,E371)</f>
        <v>115.05</v>
      </c>
      <c r="Q371" s="150" t="str">
        <f t="shared" si="27"/>
        <v>6-Coût des ventes</v>
      </c>
      <c r="R371" s="149" t="str">
        <f t="shared" si="28"/>
        <v>450</v>
      </c>
      <c r="S371" s="150">
        <f t="shared" si="29"/>
        <v>0</v>
      </c>
      <c r="T371" s="152" t="str">
        <f>+VLOOKUP($L371,Data_Validation!$A:$D,1,0)</f>
        <v>654T</v>
      </c>
      <c r="U371" s="152" t="str">
        <f>+VLOOKUP($L371,Data_Validation!$A:$D,3,0)</f>
        <v>Véhicules usagés</v>
      </c>
      <c r="V371" s="152" t="str">
        <f>+VLOOKUP($L371,Data_Validation!$A:$D,4,0)</f>
        <v>Rev. Autres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2478</v>
      </c>
      <c r="B372" s="718" t="s">
        <v>2479</v>
      </c>
      <c r="C372" s="720">
        <v>136.69999999999999</v>
      </c>
      <c r="D372" s="720">
        <v>0</v>
      </c>
      <c r="E372" s="720">
        <v>136.69999999999999</v>
      </c>
      <c r="F372" s="718" t="s">
        <v>2015</v>
      </c>
      <c r="G372" s="718" t="s">
        <v>2083</v>
      </c>
      <c r="H372" s="673"/>
      <c r="I372" s="673"/>
      <c r="J372" s="673"/>
      <c r="K372" s="673"/>
      <c r="L372" s="149" t="str">
        <f t="shared" si="25"/>
        <v>671D</v>
      </c>
      <c r="M372" s="150" t="str">
        <f t="shared" si="26"/>
        <v>C/V - PIECES BT CARROSS BMW I</v>
      </c>
      <c r="N372" s="151">
        <f>+IF(OR($Q372=Parametres!$G$2,$Q372=Parametres!$G$3),I372,C372)</f>
        <v>136.69999999999999</v>
      </c>
      <c r="O372" s="151">
        <f>+IF(OR($Q372=Parametres!$G$2,$Q372=Parametres!$G$3),J372,D372)</f>
        <v>0</v>
      </c>
      <c r="P372" s="151">
        <f>+IF(OR($Q372=Parametres!$G$2,$Q372=Parametres!$G$3),K372,E372)</f>
        <v>136.69999999999999</v>
      </c>
      <c r="Q372" s="150" t="str">
        <f t="shared" si="27"/>
        <v>6-Coût des ventes</v>
      </c>
      <c r="R372" s="149" t="str">
        <f t="shared" si="28"/>
        <v>471A</v>
      </c>
      <c r="S372" s="150">
        <f t="shared" si="29"/>
        <v>0</v>
      </c>
      <c r="T372" s="152" t="str">
        <f>+VLOOKUP($L372,Data_Validation!$A:$D,1,0)</f>
        <v>671D</v>
      </c>
      <c r="U372" s="152" t="str">
        <f>+VLOOKUP($L372,Data_Validation!$A:$D,3,0)</f>
        <v>Pièces</v>
      </c>
      <c r="V372" s="152" t="str">
        <f>+VLOOKUP($L372,Data_Validation!$A:$D,4,0)</f>
        <v>Pièces Ro Carrosserie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2133</v>
      </c>
      <c r="B373" s="671" t="s">
        <v>2134</v>
      </c>
      <c r="C373" s="672">
        <v>670</v>
      </c>
      <c r="D373" s="672">
        <v>0</v>
      </c>
      <c r="E373" s="672">
        <v>670</v>
      </c>
      <c r="F373" s="671" t="s">
        <v>2015</v>
      </c>
      <c r="G373" s="671" t="s">
        <v>1012</v>
      </c>
      <c r="H373" s="666"/>
      <c r="I373" s="665"/>
      <c r="J373" s="665"/>
      <c r="K373" s="665"/>
      <c r="L373" s="149" t="str">
        <f t="shared" si="25"/>
        <v>654C</v>
      </c>
      <c r="M373" s="150" t="str">
        <f t="shared" si="26"/>
        <v>C/V - ACCESSOIRES USAGE BMW NON-CERT</v>
      </c>
      <c r="N373" s="151">
        <f>+IF(OR($Q373=Parametres!$G$2,$Q373=Parametres!$G$3),I373,C373)</f>
        <v>670</v>
      </c>
      <c r="O373" s="151">
        <f>+IF(OR($Q373=Parametres!$G$2,$Q373=Parametres!$G$3),J373,D373)</f>
        <v>0</v>
      </c>
      <c r="P373" s="151">
        <f>+IF(OR($Q373=Parametres!$G$2,$Q373=Parametres!$G$3),K373,E373)</f>
        <v>670</v>
      </c>
      <c r="Q373" s="150" t="str">
        <f t="shared" si="27"/>
        <v>6-Coût des ventes</v>
      </c>
      <c r="R373" s="149" t="str">
        <f t="shared" si="28"/>
        <v>450</v>
      </c>
      <c r="S373" s="150">
        <f t="shared" si="29"/>
        <v>0</v>
      </c>
      <c r="T373" s="152" t="str">
        <f>+VLOOKUP($L373,Data_Validation!$A:$D,1,0)</f>
        <v>654C</v>
      </c>
      <c r="U373" s="152" t="str">
        <f>+VLOOKUP($L373,Data_Validation!$A:$D,3,0)</f>
        <v>Véhicules usagés</v>
      </c>
      <c r="V373" s="152" t="str">
        <f>+VLOOKUP($L373,Data_Validation!$A:$D,4,0)</f>
        <v>Rev. Autres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2208</v>
      </c>
      <c r="B374" s="718" t="s">
        <v>2209</v>
      </c>
      <c r="C374" s="719">
        <v>747.5</v>
      </c>
      <c r="D374" s="719">
        <v>0</v>
      </c>
      <c r="E374" s="719">
        <v>747.5</v>
      </c>
      <c r="F374" s="718" t="s">
        <v>2015</v>
      </c>
      <c r="G374" s="718" t="s">
        <v>374</v>
      </c>
      <c r="H374" s="719"/>
      <c r="I374" s="720"/>
      <c r="J374" s="720"/>
      <c r="K374" s="720"/>
      <c r="L374" s="149" t="str">
        <f t="shared" si="25"/>
        <v>651V</v>
      </c>
      <c r="M374" s="150" t="str">
        <f t="shared" si="26"/>
        <v>C/V - ASS VIE/INV USAGE AUTRE</v>
      </c>
      <c r="N374" s="151">
        <f>+IF(OR($Q374=Parametres!$G$2,$Q374=Parametres!$G$3),I374,C374)</f>
        <v>747.5</v>
      </c>
      <c r="O374" s="151">
        <f>+IF(OR($Q374=Parametres!$G$2,$Q374=Parametres!$G$3),J374,D374)</f>
        <v>0</v>
      </c>
      <c r="P374" s="151">
        <f>+IF(OR($Q374=Parametres!$G$2,$Q374=Parametres!$G$3),K374,E374)</f>
        <v>747.5</v>
      </c>
      <c r="Q374" s="150" t="str">
        <f t="shared" si="27"/>
        <v>6-Coût des ventes</v>
      </c>
      <c r="R374" s="149" t="str">
        <f t="shared" si="28"/>
        <v>451</v>
      </c>
      <c r="S374" s="150">
        <f t="shared" si="29"/>
        <v>0</v>
      </c>
      <c r="T374" s="152" t="str">
        <f>+VLOOKUP($L374,Data_Validation!$A:$D,1,0)</f>
        <v>651V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1440</v>
      </c>
      <c r="B375" s="718" t="s">
        <v>1441</v>
      </c>
      <c r="C375" s="720">
        <v>840</v>
      </c>
      <c r="D375" s="720">
        <v>0</v>
      </c>
      <c r="E375" s="720">
        <v>840</v>
      </c>
      <c r="F375" s="718" t="s">
        <v>2015</v>
      </c>
      <c r="G375" s="718" t="s">
        <v>1012</v>
      </c>
      <c r="H375" s="666"/>
      <c r="I375" s="665"/>
      <c r="J375" s="665"/>
      <c r="K375" s="665"/>
      <c r="L375" s="149" t="str">
        <f t="shared" si="25"/>
        <v>650P</v>
      </c>
      <c r="M375" s="150" t="str">
        <f t="shared" si="26"/>
        <v>C/V - PROTEC PNEUS/JANTES USAGE BMW CERT</v>
      </c>
      <c r="N375" s="151">
        <f>+IF(OR($Q375=Parametres!$G$2,$Q375=Parametres!$G$3),I375,C375)</f>
        <v>840</v>
      </c>
      <c r="O375" s="151">
        <f>+IF(OR($Q375=Parametres!$G$2,$Q375=Parametres!$G$3),J375,D375)</f>
        <v>0</v>
      </c>
      <c r="P375" s="151">
        <f>+IF(OR($Q375=Parametres!$G$2,$Q375=Parametres!$G$3),K375,E375)</f>
        <v>840</v>
      </c>
      <c r="Q375" s="150" t="str">
        <f t="shared" si="27"/>
        <v>6-Coût des ventes</v>
      </c>
      <c r="R375" s="149" t="str">
        <f t="shared" si="28"/>
        <v>450</v>
      </c>
      <c r="S375" s="150">
        <f t="shared" si="29"/>
        <v>0</v>
      </c>
      <c r="T375" s="152" t="str">
        <f>+VLOOKUP($L375,Data_Validation!$A:$D,1,0)</f>
        <v>650P</v>
      </c>
      <c r="U375" s="152" t="str">
        <f>+VLOOKUP($L375,Data_Validation!$A:$D,3,0)</f>
        <v>Véhicules usagés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2020</v>
      </c>
      <c r="B376" s="671" t="s">
        <v>2021</v>
      </c>
      <c r="C376" s="672">
        <v>1068.2</v>
      </c>
      <c r="D376" s="672">
        <v>0</v>
      </c>
      <c r="E376" s="672">
        <v>1068.2</v>
      </c>
      <c r="F376" s="671" t="s">
        <v>2015</v>
      </c>
      <c r="G376" s="671" t="s">
        <v>1012</v>
      </c>
      <c r="H376" s="666"/>
      <c r="I376" s="665"/>
      <c r="J376" s="665"/>
      <c r="K376" s="665"/>
      <c r="L376" s="149" t="str">
        <f t="shared" si="25"/>
        <v>650R</v>
      </c>
      <c r="M376" s="150" t="str">
        <f t="shared" si="26"/>
        <v>C/V - ASS. REMP. USAGE BMW CERT</v>
      </c>
      <c r="N376" s="151">
        <f>+IF(OR($Q376=Parametres!$G$2,$Q376=Parametres!$G$3),I376,C376)</f>
        <v>1068.2</v>
      </c>
      <c r="O376" s="151">
        <f>+IF(OR($Q376=Parametres!$G$2,$Q376=Parametres!$G$3),J376,D376)</f>
        <v>0</v>
      </c>
      <c r="P376" s="151">
        <f>+IF(OR($Q376=Parametres!$G$2,$Q376=Parametres!$G$3),K376,E376)</f>
        <v>1068.2</v>
      </c>
      <c r="Q376" s="150" t="str">
        <f t="shared" si="27"/>
        <v>6-Coût des ventes</v>
      </c>
      <c r="R376" s="149" t="str">
        <f t="shared" si="28"/>
        <v>450</v>
      </c>
      <c r="S376" s="150">
        <f t="shared" si="29"/>
        <v>0</v>
      </c>
      <c r="T376" s="152" t="str">
        <f>+VLOOKUP($L376,Data_Validation!$A:$D,1,0)</f>
        <v>650R</v>
      </c>
      <c r="U376" s="152" t="str">
        <f>+VLOOKUP($L376,Data_Validation!$A:$D,3,0)</f>
        <v>Véhicules usagés</v>
      </c>
      <c r="V376" s="152" t="str">
        <f>+VLOOKUP($L376,Data_Validation!$A:$D,4,0)</f>
        <v>Rev. Protections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2071</v>
      </c>
      <c r="B377" s="718" t="s">
        <v>2072</v>
      </c>
      <c r="C377" s="720">
        <v>1160</v>
      </c>
      <c r="D377" s="720">
        <v>0</v>
      </c>
      <c r="E377" s="720">
        <v>1160</v>
      </c>
      <c r="F377" s="718" t="s">
        <v>2015</v>
      </c>
      <c r="G377" s="718" t="s">
        <v>1012</v>
      </c>
      <c r="H377" s="673"/>
      <c r="I377" s="672"/>
      <c r="J377" s="672"/>
      <c r="K377" s="672"/>
      <c r="L377" s="149" t="str">
        <f t="shared" si="25"/>
        <v>654E</v>
      </c>
      <c r="M377" s="150" t="str">
        <f t="shared" si="26"/>
        <v>C/V - PROTEC ESTHETIQUE USAGE BMW NON-CERT</v>
      </c>
      <c r="N377" s="151">
        <f>+IF(OR($Q377=Parametres!$G$2,$Q377=Parametres!$G$3),I377,C377)</f>
        <v>1160</v>
      </c>
      <c r="O377" s="151">
        <f>+IF(OR($Q377=Parametres!$G$2,$Q377=Parametres!$G$3),J377,D377)</f>
        <v>0</v>
      </c>
      <c r="P377" s="151">
        <f>+IF(OR($Q377=Parametres!$G$2,$Q377=Parametres!$G$3),K377,E377)</f>
        <v>1160</v>
      </c>
      <c r="Q377" s="150" t="str">
        <f t="shared" si="27"/>
        <v>6-Coût des ventes</v>
      </c>
      <c r="R377" s="149" t="str">
        <f t="shared" si="28"/>
        <v>450</v>
      </c>
      <c r="S377" s="150">
        <f t="shared" si="29"/>
        <v>0</v>
      </c>
      <c r="T377" s="152" t="str">
        <f>+VLOOKUP($L377,Data_Validation!$A:$D,1,0)</f>
        <v>654E</v>
      </c>
      <c r="U377" s="152" t="str">
        <f>+VLOOKUP($L377,Data_Validation!$A:$D,3,0)</f>
        <v>Véhicules usagés</v>
      </c>
      <c r="V377" s="152" t="str">
        <f>+VLOOKUP($L377,Data_Validation!$A:$D,4,0)</f>
        <v>Rev. Protections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2900</v>
      </c>
      <c r="B378" s="718" t="s">
        <v>2901</v>
      </c>
      <c r="C378" s="720">
        <v>1165</v>
      </c>
      <c r="D378" s="720">
        <v>0</v>
      </c>
      <c r="E378" s="720">
        <v>1165</v>
      </c>
      <c r="F378" s="718" t="s">
        <v>2015</v>
      </c>
      <c r="G378" s="718" t="s">
        <v>1012</v>
      </c>
      <c r="H378" s="609"/>
      <c r="I378" s="608"/>
      <c r="J378" s="608"/>
      <c r="K378" s="608"/>
      <c r="L378" s="149" t="str">
        <f t="shared" si="25"/>
        <v>654P</v>
      </c>
      <c r="M378" s="150" t="str">
        <f t="shared" si="26"/>
        <v>C/V - PROTEC PNEUS/JANTES USAGE BMW NON-CERT</v>
      </c>
      <c r="N378" s="151">
        <f>+IF(OR($Q378=Parametres!$G$2,$Q378=Parametres!$G$3),I378,C378)</f>
        <v>1165</v>
      </c>
      <c r="O378" s="151">
        <f>+IF(OR($Q378=Parametres!$G$2,$Q378=Parametres!$G$3),J378,D378)</f>
        <v>0</v>
      </c>
      <c r="P378" s="151">
        <f>+IF(OR($Q378=Parametres!$G$2,$Q378=Parametres!$G$3),K378,E378)</f>
        <v>1165</v>
      </c>
      <c r="Q378" s="150" t="str">
        <f t="shared" si="27"/>
        <v>6-Coût des ventes</v>
      </c>
      <c r="R378" s="149" t="str">
        <f t="shared" si="28"/>
        <v>450</v>
      </c>
      <c r="S378" s="150">
        <f t="shared" si="29"/>
        <v>0</v>
      </c>
      <c r="T378" s="152" t="str">
        <f>+VLOOKUP($L378,Data_Validation!$A:$D,1,0)</f>
        <v>654P</v>
      </c>
      <c r="U378" s="152" t="str">
        <f>+VLOOKUP($L378,Data_Validation!$A:$D,3,0)</f>
        <v>Véhicules usagés</v>
      </c>
      <c r="V378" s="152" t="str">
        <f>+VLOOKUP($L378,Data_Validation!$A:$D,4,0)</f>
        <v>Rev. Autres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2944</v>
      </c>
      <c r="B379" s="718" t="s">
        <v>2945</v>
      </c>
      <c r="C379" s="719">
        <v>1315.3</v>
      </c>
      <c r="D379" s="719">
        <v>0</v>
      </c>
      <c r="E379" s="719">
        <v>1315.3</v>
      </c>
      <c r="F379" s="718" t="s">
        <v>2015</v>
      </c>
      <c r="G379" s="718" t="s">
        <v>374</v>
      </c>
      <c r="H379" s="719"/>
      <c r="I379" s="720"/>
      <c r="J379" s="720"/>
      <c r="K379" s="720"/>
      <c r="L379" s="149" t="str">
        <f t="shared" si="25"/>
        <v>651R</v>
      </c>
      <c r="M379" s="150" t="str">
        <f t="shared" si="26"/>
        <v>C/V - ASS. REMP. USAGE AUTRE</v>
      </c>
      <c r="N379" s="151">
        <f>+IF(OR($Q379=Parametres!$G$2,$Q379=Parametres!$G$3),I379,C379)</f>
        <v>1315.3</v>
      </c>
      <c r="O379" s="151">
        <f>+IF(OR($Q379=Parametres!$G$2,$Q379=Parametres!$G$3),J379,D379)</f>
        <v>0</v>
      </c>
      <c r="P379" s="151">
        <f>+IF(OR($Q379=Parametres!$G$2,$Q379=Parametres!$G$3),K379,E379)</f>
        <v>1315.3</v>
      </c>
      <c r="Q379" s="150" t="str">
        <f t="shared" si="27"/>
        <v>6-Coût des ventes</v>
      </c>
      <c r="R379" s="149" t="str">
        <f t="shared" si="28"/>
        <v>451</v>
      </c>
      <c r="S379" s="150">
        <f t="shared" si="29"/>
        <v>0</v>
      </c>
      <c r="T379" s="152" t="str">
        <f>+VLOOKUP($L379,Data_Validation!$A:$D,1,0)</f>
        <v>651R</v>
      </c>
      <c r="U379" s="152" t="str">
        <f>+VLOOKUP($L379,Data_Validation!$A:$D,3,0)</f>
        <v>Véhicules usagés</v>
      </c>
      <c r="V379" s="152" t="str">
        <f>+VLOOKUP($L379,Data_Validation!$A:$D,4,0)</f>
        <v>Rev. Protections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1620</v>
      </c>
      <c r="B380" s="718" t="s">
        <v>822</v>
      </c>
      <c r="C380" s="720">
        <v>1481.18</v>
      </c>
      <c r="D380" s="720">
        <v>606.71</v>
      </c>
      <c r="E380" s="720">
        <v>2087.89</v>
      </c>
      <c r="F380" s="718" t="s">
        <v>2015</v>
      </c>
      <c r="G380" s="718" t="s">
        <v>441</v>
      </c>
      <c r="H380" s="673"/>
      <c r="I380" s="672"/>
      <c r="J380" s="672"/>
      <c r="K380" s="672"/>
      <c r="L380" s="149" t="str">
        <f t="shared" si="25"/>
        <v>661G</v>
      </c>
      <c r="M380" s="150" t="str">
        <f t="shared" si="26"/>
        <v>C/V - M/O ENTRETIEN BMW I</v>
      </c>
      <c r="N380" s="151">
        <f>+IF(OR($Q380=Parametres!$G$2,$Q380=Parametres!$G$3),I380,C380)</f>
        <v>1481.18</v>
      </c>
      <c r="O380" s="151">
        <f>+IF(OR($Q380=Parametres!$G$2,$Q380=Parametres!$G$3),J380,D380)</f>
        <v>606.71</v>
      </c>
      <c r="P380" s="151">
        <f>+IF(OR($Q380=Parametres!$G$2,$Q380=Parametres!$G$3),K380,E380)</f>
        <v>2087.89</v>
      </c>
      <c r="Q380" s="150" t="str">
        <f t="shared" si="27"/>
        <v>6-Coût des ventes</v>
      </c>
      <c r="R380" s="149" t="str">
        <f t="shared" si="28"/>
        <v>461D</v>
      </c>
      <c r="S380" s="150">
        <f t="shared" si="29"/>
        <v>0</v>
      </c>
      <c r="T380" s="152" t="str">
        <f>+VLOOKUP($L380,Data_Validation!$A:$D,1,0)</f>
        <v>661G</v>
      </c>
      <c r="U380" s="152" t="str">
        <f>+VLOOKUP($L380,Data_Validation!$A:$D,3,0)</f>
        <v>service</v>
      </c>
      <c r="V380" s="152" t="str">
        <f>+VLOOKUP($L380,Data_Validation!$A:$D,4,0)</f>
        <v>M/O Garantie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1439</v>
      </c>
      <c r="B381" s="718" t="s">
        <v>669</v>
      </c>
      <c r="C381" s="720">
        <v>1770</v>
      </c>
      <c r="D381" s="720">
        <v>0</v>
      </c>
      <c r="E381" s="720">
        <v>1770</v>
      </c>
      <c r="F381" s="718" t="s">
        <v>2015</v>
      </c>
      <c r="G381" s="718" t="s">
        <v>1012</v>
      </c>
      <c r="H381" s="666"/>
      <c r="I381" s="665"/>
      <c r="J381" s="665"/>
      <c r="K381" s="665"/>
      <c r="L381" s="149" t="str">
        <f t="shared" si="25"/>
        <v>650C</v>
      </c>
      <c r="M381" s="150" t="str">
        <f t="shared" si="26"/>
        <v>C/V - ACCESSOIRES USAGE BMW CERT</v>
      </c>
      <c r="N381" s="151">
        <f>+IF(OR($Q381=Parametres!$G$2,$Q381=Parametres!$G$3),I381,C381)</f>
        <v>1770</v>
      </c>
      <c r="O381" s="151">
        <f>+IF(OR($Q381=Parametres!$G$2,$Q381=Parametres!$G$3),J381,D381)</f>
        <v>0</v>
      </c>
      <c r="P381" s="151">
        <f>+IF(OR($Q381=Parametres!$G$2,$Q381=Parametres!$G$3),K381,E381)</f>
        <v>1770</v>
      </c>
      <c r="Q381" s="150" t="str">
        <f t="shared" si="27"/>
        <v>6-Coût des ventes</v>
      </c>
      <c r="R381" s="149" t="str">
        <f t="shared" si="28"/>
        <v>450</v>
      </c>
      <c r="S381" s="150">
        <f t="shared" si="29"/>
        <v>0</v>
      </c>
      <c r="T381" s="152" t="str">
        <f>+VLOOKUP($L381,Data_Validation!$A:$D,1,0)</f>
        <v>650C</v>
      </c>
      <c r="U381" s="152" t="str">
        <f>+VLOOKUP($L381,Data_Validation!$A:$D,3,0)</f>
        <v>Véhicules usagés</v>
      </c>
      <c r="V381" s="152" t="str">
        <f>+VLOOKUP($L381,Data_Validation!$A:$D,4,0)</f>
        <v>Rev. Autres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2086</v>
      </c>
      <c r="B382" s="718" t="s">
        <v>2087</v>
      </c>
      <c r="C382" s="719">
        <v>1788.78</v>
      </c>
      <c r="D382" s="719">
        <v>155.91999999999999</v>
      </c>
      <c r="E382" s="719">
        <v>1944.7</v>
      </c>
      <c r="F382" s="718" t="s">
        <v>2015</v>
      </c>
      <c r="G382" s="718" t="s">
        <v>2083</v>
      </c>
      <c r="H382" s="719"/>
      <c r="I382" s="720"/>
      <c r="J382" s="720"/>
      <c r="K382" s="720"/>
      <c r="L382" s="149" t="str">
        <f t="shared" si="25"/>
        <v>671A</v>
      </c>
      <c r="M382" s="150" t="str">
        <f t="shared" si="26"/>
        <v>C/V - PIECES BT CARROSS. BMW AUTO</v>
      </c>
      <c r="N382" s="151">
        <f>+IF(OR($Q382=Parametres!$G$2,$Q382=Parametres!$G$3),I382,C382)</f>
        <v>1788.78</v>
      </c>
      <c r="O382" s="151">
        <f>+IF(OR($Q382=Parametres!$G$2,$Q382=Parametres!$G$3),J382,D382)</f>
        <v>155.91999999999999</v>
      </c>
      <c r="P382" s="151">
        <f>+IF(OR($Q382=Parametres!$G$2,$Q382=Parametres!$G$3),K382,E382)</f>
        <v>1944.7</v>
      </c>
      <c r="Q382" s="150" t="str">
        <f t="shared" si="27"/>
        <v>6-Coût des ventes</v>
      </c>
      <c r="R382" s="149" t="str">
        <f t="shared" si="28"/>
        <v>471A</v>
      </c>
      <c r="S382" s="150">
        <f t="shared" si="29"/>
        <v>0</v>
      </c>
      <c r="T382" s="152" t="str">
        <f>+VLOOKUP($L382,Data_Validation!$A:$D,1,0)</f>
        <v>671A</v>
      </c>
      <c r="U382" s="152" t="str">
        <f>+VLOOKUP($L382,Data_Validation!$A:$D,3,0)</f>
        <v>Pièces</v>
      </c>
      <c r="V382" s="152" t="str">
        <f>+VLOOKUP($L382,Data_Validation!$A:$D,4,0)</f>
        <v>Pièces Ro Carrosserie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1614</v>
      </c>
      <c r="B383" s="718" t="s">
        <v>785</v>
      </c>
      <c r="C383" s="719">
        <v>1962.87</v>
      </c>
      <c r="D383" s="719">
        <v>815.82</v>
      </c>
      <c r="E383" s="719">
        <v>2778.69</v>
      </c>
      <c r="F383" s="718" t="s">
        <v>2015</v>
      </c>
      <c r="G383" s="718" t="s">
        <v>434</v>
      </c>
      <c r="H383" s="719"/>
      <c r="I383" s="720"/>
      <c r="J383" s="720"/>
      <c r="K383" s="720"/>
      <c r="L383" s="149" t="str">
        <f t="shared" si="25"/>
        <v>672G</v>
      </c>
      <c r="M383" s="150" t="str">
        <f t="shared" si="26"/>
        <v>C/V - PIECES ENTRETIEN BMW I</v>
      </c>
      <c r="N383" s="151">
        <f>+IF(OR($Q383=Parametres!$G$2,$Q383=Parametres!$G$3),I383,C383)</f>
        <v>1962.87</v>
      </c>
      <c r="O383" s="151">
        <f>+IF(OR($Q383=Parametres!$G$2,$Q383=Parametres!$G$3),J383,D383)</f>
        <v>815.82</v>
      </c>
      <c r="P383" s="151">
        <f>+IF(OR($Q383=Parametres!$G$2,$Q383=Parametres!$G$3),K383,E383)</f>
        <v>2778.69</v>
      </c>
      <c r="Q383" s="150" t="str">
        <f t="shared" si="27"/>
        <v>6-Coût des ventes</v>
      </c>
      <c r="R383" s="149" t="str">
        <f t="shared" si="28"/>
        <v>472D</v>
      </c>
      <c r="S383" s="150">
        <f t="shared" si="29"/>
        <v>0</v>
      </c>
      <c r="T383" s="152" t="str">
        <f>+VLOOKUP($L383,Data_Validation!$A:$D,1,0)</f>
        <v>672G</v>
      </c>
      <c r="U383" s="152" t="str">
        <f>+VLOOKUP($L383,Data_Validation!$A:$D,3,0)</f>
        <v>pièces</v>
      </c>
      <c r="V383" s="152" t="str">
        <f>+VLOOKUP($L383,Data_Validation!$A:$D,4,0)</f>
        <v>P/A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1642</v>
      </c>
      <c r="B384" s="718" t="s">
        <v>1643</v>
      </c>
      <c r="C384" s="720">
        <v>2355.4</v>
      </c>
      <c r="D384" s="720">
        <v>0</v>
      </c>
      <c r="E384" s="720">
        <v>2355.4</v>
      </c>
      <c r="F384" s="718" t="s">
        <v>2015</v>
      </c>
      <c r="G384" s="718" t="s">
        <v>625</v>
      </c>
      <c r="H384" s="607"/>
      <c r="I384" s="153"/>
      <c r="J384" s="153"/>
      <c r="K384" s="153"/>
      <c r="L384" s="149" t="str">
        <f t="shared" si="25"/>
        <v>630T</v>
      </c>
      <c r="M384" s="150" t="str">
        <f t="shared" si="26"/>
        <v>C/V - TRAITEMENT OTOPROTEC NEUF BMW AUTO</v>
      </c>
      <c r="N384" s="151">
        <f>+IF(OR($Q384=Parametres!$G$2,$Q384=Parametres!$G$3),I384,C384)</f>
        <v>2355.4</v>
      </c>
      <c r="O384" s="151">
        <f>+IF(OR($Q384=Parametres!$G$2,$Q384=Parametres!$G$3),J384,D384)</f>
        <v>0</v>
      </c>
      <c r="P384" s="151">
        <f>+IF(OR($Q384=Parametres!$G$2,$Q384=Parametres!$G$3),K384,E384)</f>
        <v>2355.4</v>
      </c>
      <c r="Q384" s="150" t="str">
        <f t="shared" si="27"/>
        <v>6-Coût des ventes</v>
      </c>
      <c r="R384" s="149" t="str">
        <f t="shared" si="28"/>
        <v>430</v>
      </c>
      <c r="S384" s="150">
        <f t="shared" si="29"/>
        <v>0</v>
      </c>
      <c r="T384" s="152" t="str">
        <f>+VLOOKUP($L384,Data_Validation!$A:$D,1,0)</f>
        <v>630T</v>
      </c>
      <c r="U384" s="152" t="str">
        <f>+VLOOKUP($L384,Data_Validation!$A:$D,3,0)</f>
        <v>Véhicules neufs</v>
      </c>
      <c r="V384" s="152" t="str">
        <f>+VLOOKUP($L384,Data_Validation!$A:$D,4,0)</f>
        <v>Rev. Autres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2425</v>
      </c>
      <c r="B385" s="671" t="s">
        <v>2426</v>
      </c>
      <c r="C385" s="672">
        <v>2948.1</v>
      </c>
      <c r="D385" s="672">
        <v>0</v>
      </c>
      <c r="E385" s="672">
        <v>2948.1</v>
      </c>
      <c r="F385" s="671" t="s">
        <v>2015</v>
      </c>
      <c r="G385" s="671" t="s">
        <v>2083</v>
      </c>
      <c r="H385" s="666"/>
      <c r="I385" s="665"/>
      <c r="J385" s="665"/>
      <c r="K385" s="665"/>
      <c r="L385" s="149" t="str">
        <f t="shared" si="25"/>
        <v>671B</v>
      </c>
      <c r="M385" s="150" t="str">
        <f t="shared" si="26"/>
        <v>C/V - PIECES BT CARROSS. BMW CAMION</v>
      </c>
      <c r="N385" s="151">
        <f>+IF(OR($Q385=Parametres!$G$2,$Q385=Parametres!$G$3),I385,C385)</f>
        <v>2948.1</v>
      </c>
      <c r="O385" s="151">
        <f>+IF(OR($Q385=Parametres!$G$2,$Q385=Parametres!$G$3),J385,D385)</f>
        <v>0</v>
      </c>
      <c r="P385" s="151">
        <f>+IF(OR($Q385=Parametres!$G$2,$Q385=Parametres!$G$3),K385,E385)</f>
        <v>2948.1</v>
      </c>
      <c r="Q385" s="150" t="str">
        <f t="shared" si="27"/>
        <v>6-Coût des ventes</v>
      </c>
      <c r="R385" s="149" t="str">
        <f t="shared" si="28"/>
        <v>471A</v>
      </c>
      <c r="S385" s="150">
        <f t="shared" si="29"/>
        <v>0</v>
      </c>
      <c r="T385" s="152" t="str">
        <f>+VLOOKUP($L385,Data_Validation!$A:$D,1,0)</f>
        <v>671B</v>
      </c>
      <c r="U385" s="152" t="str">
        <f>+VLOOKUP($L385,Data_Validation!$A:$D,3,0)</f>
        <v>Pièces</v>
      </c>
      <c r="V385" s="152" t="str">
        <f>+VLOOKUP($L385,Data_Validation!$A:$D,4,0)</f>
        <v>Pièces Ro Carrosserie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1646</v>
      </c>
      <c r="B386" s="718" t="s">
        <v>1647</v>
      </c>
      <c r="C386" s="720">
        <v>3010</v>
      </c>
      <c r="D386" s="720">
        <v>140</v>
      </c>
      <c r="E386" s="720">
        <v>3150</v>
      </c>
      <c r="F386" s="718" t="s">
        <v>2015</v>
      </c>
      <c r="G386" s="718" t="s">
        <v>1012</v>
      </c>
      <c r="H386" s="666"/>
      <c r="I386" s="665"/>
      <c r="J386" s="665"/>
      <c r="K386" s="665"/>
      <c r="L386" s="149" t="str">
        <f t="shared" ref="L386:L449" si="30">+B386</f>
        <v>650</v>
      </c>
      <c r="M386" s="150" t="str">
        <f t="shared" ref="M386:M449" si="31">+A386</f>
        <v>C/V - MARQUAGE OTOPROTEC USAGE BMW CERT</v>
      </c>
      <c r="N386" s="151">
        <f>+IF(OR($Q386=Parametres!$G$2,$Q386=Parametres!$G$3),I386,C386)</f>
        <v>3010</v>
      </c>
      <c r="O386" s="504">
        <f>+IF(OR($Q386=Parametres!$G$2,$Q386=Parametres!$G$3),J386,D386)</f>
        <v>140</v>
      </c>
      <c r="P386" s="151">
        <f>+IF(OR($Q386=Parametres!$G$2,$Q386=Parametres!$G$3),K386,E386)</f>
        <v>3150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>
        <f t="shared" ref="S386:S449" si="34">+H386</f>
        <v>0</v>
      </c>
      <c r="T386" s="152" t="str">
        <f>+VLOOKUP($L386,Data_Validation!$A:$D,1,0)</f>
        <v>650</v>
      </c>
      <c r="U386" s="152" t="str">
        <f>+VLOOKUP($L386,Data_Validation!$A:$D,3,0)</f>
        <v>Véhicules usagés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1446</v>
      </c>
      <c r="B387" s="718" t="s">
        <v>1447</v>
      </c>
      <c r="C387" s="720">
        <v>3124.9</v>
      </c>
      <c r="D387" s="720">
        <v>210</v>
      </c>
      <c r="E387" s="720">
        <v>3334.9</v>
      </c>
      <c r="F387" s="718" t="s">
        <v>2015</v>
      </c>
      <c r="G387" s="718" t="s">
        <v>374</v>
      </c>
      <c r="H387" s="673"/>
      <c r="I387" s="672"/>
      <c r="J387" s="672"/>
      <c r="K387" s="672"/>
      <c r="L387" s="149" t="str">
        <f t="shared" si="30"/>
        <v>651</v>
      </c>
      <c r="M387" s="150" t="str">
        <f t="shared" si="31"/>
        <v>C/V - MARQUAGE OTOPROTEC USAGE AUTRE</v>
      </c>
      <c r="N387" s="151">
        <f>+IF(OR($Q387=Parametres!$G$2,$Q387=Parametres!$G$3),I387,C387)</f>
        <v>3124.9</v>
      </c>
      <c r="O387" s="151">
        <f>+IF(OR($Q387=Parametres!$G$2,$Q387=Parametres!$G$3),J387,D387)</f>
        <v>210</v>
      </c>
      <c r="P387" s="151">
        <f>+IF(OR($Q387=Parametres!$G$2,$Q387=Parametres!$G$3),K387,E387)</f>
        <v>3334.9</v>
      </c>
      <c r="Q387" s="150" t="str">
        <f t="shared" si="32"/>
        <v>6-Coût des ventes</v>
      </c>
      <c r="R387" s="149" t="str">
        <f t="shared" si="33"/>
        <v>451</v>
      </c>
      <c r="S387" s="150">
        <f t="shared" si="34"/>
        <v>0</v>
      </c>
      <c r="T387" s="152" t="str">
        <f>+VLOOKUP($L387,Data_Validation!$A:$D,1,0)</f>
        <v>651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1956</v>
      </c>
      <c r="B388" s="718" t="s">
        <v>1957</v>
      </c>
      <c r="C388" s="720">
        <v>3990</v>
      </c>
      <c r="D388" s="720">
        <v>140</v>
      </c>
      <c r="E388" s="720">
        <v>4130</v>
      </c>
      <c r="F388" s="718" t="s">
        <v>2015</v>
      </c>
      <c r="G388" s="718" t="s">
        <v>1012</v>
      </c>
      <c r="H388" s="673"/>
      <c r="I388" s="672"/>
      <c r="J388" s="672"/>
      <c r="K388" s="672"/>
      <c r="L388" s="149" t="str">
        <f t="shared" si="30"/>
        <v>654M</v>
      </c>
      <c r="M388" s="150" t="str">
        <f t="shared" si="31"/>
        <v>C/V - MARQUAGE OTOPROTEC USAGE BMW NON-CERT</v>
      </c>
      <c r="N388" s="151">
        <f>+IF(OR($Q388=Parametres!$G$2,$Q388=Parametres!$G$3),I388,C388)</f>
        <v>3990</v>
      </c>
      <c r="O388" s="151">
        <f>+IF(OR($Q388=Parametres!$G$2,$Q388=Parametres!$G$3),J388,D388)</f>
        <v>140</v>
      </c>
      <c r="P388" s="151">
        <f>+IF(OR($Q388=Parametres!$G$2,$Q388=Parametres!$G$3),K388,E388)</f>
        <v>4130</v>
      </c>
      <c r="Q388" s="150" t="str">
        <f t="shared" si="32"/>
        <v>6-Coût des ventes</v>
      </c>
      <c r="R388" s="149" t="str">
        <f t="shared" si="33"/>
        <v>450</v>
      </c>
      <c r="S388" s="150">
        <f t="shared" si="34"/>
        <v>0</v>
      </c>
      <c r="T388" s="152" t="str">
        <f>+VLOOKUP($L388,Data_Validation!$A:$D,1,0)</f>
        <v>654M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674</v>
      </c>
      <c r="B389" s="718" t="s">
        <v>675</v>
      </c>
      <c r="C389" s="720">
        <v>4609</v>
      </c>
      <c r="D389" s="720">
        <v>0</v>
      </c>
      <c r="E389" s="720">
        <v>4609</v>
      </c>
      <c r="F389" s="718" t="s">
        <v>2015</v>
      </c>
      <c r="G389" s="718" t="s">
        <v>1143</v>
      </c>
      <c r="H389" s="673"/>
      <c r="I389" s="673"/>
      <c r="J389" s="673"/>
      <c r="K389" s="673"/>
      <c r="L389" s="149" t="str">
        <f t="shared" si="30"/>
        <v>663D</v>
      </c>
      <c r="M389" s="150" t="str">
        <f t="shared" si="31"/>
        <v>C/V - SOUS-TRAITANCE BMW I</v>
      </c>
      <c r="N389" s="151">
        <f>+IF(OR($Q389=Parametres!$G$2,$Q389=Parametres!$G$3),I389,C389)</f>
        <v>4609</v>
      </c>
      <c r="O389" s="151">
        <f>+IF(OR($Q389=Parametres!$G$2,$Q389=Parametres!$G$3),J389,D389)</f>
        <v>0</v>
      </c>
      <c r="P389" s="151">
        <f>+IF(OR($Q389=Parametres!$G$2,$Q389=Parametres!$G$3),K389,E389)</f>
        <v>4609</v>
      </c>
      <c r="Q389" s="150" t="str">
        <f t="shared" si="32"/>
        <v>6-Coût des ventes</v>
      </c>
      <c r="R389" s="149" t="str">
        <f t="shared" si="33"/>
        <v>463A</v>
      </c>
      <c r="S389" s="150">
        <f t="shared" si="34"/>
        <v>0</v>
      </c>
      <c r="T389" s="152" t="str">
        <f>+VLOOKUP($L389,Data_Validation!$A:$D,1,0)</f>
        <v>663D</v>
      </c>
      <c r="U389" s="152" t="str">
        <f>+VLOOKUP($L389,Data_Validation!$A:$D,3,0)</f>
        <v>service</v>
      </c>
      <c r="V389" s="152" t="str">
        <f>+VLOOKUP($L389,Data_Validation!$A:$D,4,0)</f>
        <v>Sous-traitement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1433</v>
      </c>
      <c r="B390" s="718" t="s">
        <v>1064</v>
      </c>
      <c r="C390" s="720">
        <v>5210</v>
      </c>
      <c r="D390" s="720">
        <v>1935</v>
      </c>
      <c r="E390" s="720">
        <v>7145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30"/>
        <v>630P</v>
      </c>
      <c r="M390" s="150" t="str">
        <f t="shared" si="31"/>
        <v>C/V - PROTEC PNEUS/JANTES NEUF BMW AUTO</v>
      </c>
      <c r="N390" s="151">
        <f>+IF(OR($Q390=Parametres!$G$2,$Q390=Parametres!$G$3),I390,C390)</f>
        <v>5210</v>
      </c>
      <c r="O390" s="151">
        <f>+IF(OR($Q390=Parametres!$G$2,$Q390=Parametres!$G$3),J390,D390)</f>
        <v>1935</v>
      </c>
      <c r="P390" s="151">
        <f>+IF(OR($Q390=Parametres!$G$2,$Q390=Parametres!$G$3),K390,E390)</f>
        <v>7145</v>
      </c>
      <c r="Q390" s="150" t="str">
        <f t="shared" si="32"/>
        <v>6-Coût des ventes</v>
      </c>
      <c r="R390" s="149" t="str">
        <f t="shared" si="33"/>
        <v>430</v>
      </c>
      <c r="S390" s="150">
        <f t="shared" si="34"/>
        <v>0</v>
      </c>
      <c r="T390" s="152" t="str">
        <f>+VLOOKUP($L390,Data_Validation!$A:$D,1,0)</f>
        <v>630P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1057</v>
      </c>
      <c r="B391" s="718" t="s">
        <v>780</v>
      </c>
      <c r="C391" s="720">
        <v>5946.72</v>
      </c>
      <c r="D391" s="720">
        <v>1009.64</v>
      </c>
      <c r="E391" s="720">
        <v>6956.36</v>
      </c>
      <c r="F391" s="718" t="s">
        <v>2015</v>
      </c>
      <c r="G391" s="718" t="s">
        <v>1139</v>
      </c>
      <c r="H391" s="673"/>
      <c r="I391" s="672"/>
      <c r="J391" s="672"/>
      <c r="K391" s="672"/>
      <c r="L391" s="149" t="str">
        <f t="shared" si="30"/>
        <v>662D</v>
      </c>
      <c r="M391" s="150" t="str">
        <f t="shared" si="31"/>
        <v>C/V - M/O INTERNE BMW I</v>
      </c>
      <c r="N391" s="151">
        <f>+IF(OR($Q391=Parametres!$G$2,$Q391=Parametres!$G$3),I391,C391)</f>
        <v>5946.72</v>
      </c>
      <c r="O391" s="151">
        <f>+IF(OR($Q391=Parametres!$G$2,$Q391=Parametres!$G$3),J391,D391)</f>
        <v>1009.64</v>
      </c>
      <c r="P391" s="151">
        <f>+IF(OR($Q391=Parametres!$G$2,$Q391=Parametres!$G$3),K391,E391)</f>
        <v>6956.36</v>
      </c>
      <c r="Q391" s="150" t="str">
        <f t="shared" si="32"/>
        <v>6-Coût des ventes</v>
      </c>
      <c r="R391" s="149" t="str">
        <f t="shared" si="33"/>
        <v>462A</v>
      </c>
      <c r="S391" s="150">
        <f t="shared" si="34"/>
        <v>0</v>
      </c>
      <c r="T391" s="152" t="str">
        <f>+VLOOKUP($L391,Data_Validation!$A:$D,1,0)</f>
        <v>662D</v>
      </c>
      <c r="U391" s="152" t="str">
        <f>+VLOOKUP($L391,Data_Validation!$A:$D,3,0)</f>
        <v>service</v>
      </c>
      <c r="V391" s="152" t="str">
        <f>+VLOOKUP($L391,Data_Validation!$A:$D,4,0)</f>
        <v>M/O Interne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1058</v>
      </c>
      <c r="B392" s="718" t="s">
        <v>837</v>
      </c>
      <c r="C392" s="720">
        <v>6351.07</v>
      </c>
      <c r="D392" s="720">
        <v>1585.1</v>
      </c>
      <c r="E392" s="720">
        <v>7936.17</v>
      </c>
      <c r="F392" s="718" t="s">
        <v>2015</v>
      </c>
      <c r="G392" s="718" t="s">
        <v>1116</v>
      </c>
      <c r="H392" s="673"/>
      <c r="I392" s="672"/>
      <c r="J392" s="672"/>
      <c r="K392" s="672"/>
      <c r="L392" s="149" t="str">
        <f t="shared" si="30"/>
        <v>660D</v>
      </c>
      <c r="M392" s="150" t="str">
        <f t="shared" si="31"/>
        <v>C/V - M/O CLIENT BMW I</v>
      </c>
      <c r="N392" s="151">
        <f>+IF(OR($Q392=Parametres!$G$2,$Q392=Parametres!$G$3),I392,C392)</f>
        <v>6351.07</v>
      </c>
      <c r="O392" s="151">
        <f>+IF(OR($Q392=Parametres!$G$2,$Q392=Parametres!$G$3),J392,D392)</f>
        <v>1585.1</v>
      </c>
      <c r="P392" s="151">
        <f>+IF(OR($Q392=Parametres!$G$2,$Q392=Parametres!$G$3),K392,E392)</f>
        <v>7936.17</v>
      </c>
      <c r="Q392" s="150" t="str">
        <f t="shared" si="32"/>
        <v>6-Coût des ventes</v>
      </c>
      <c r="R392" s="149" t="str">
        <f t="shared" si="33"/>
        <v>460A</v>
      </c>
      <c r="S392" s="150">
        <f t="shared" si="34"/>
        <v>0</v>
      </c>
      <c r="T392" s="152" t="str">
        <f>+VLOOKUP($L392,Data_Validation!$A:$D,1,0)</f>
        <v>660D</v>
      </c>
      <c r="U392" s="152" t="str">
        <f>+VLOOKUP($L392,Data_Validation!$A:$D,3,0)</f>
        <v>service</v>
      </c>
      <c r="V392" s="152" t="str">
        <f>+VLOOKUP($L392,Data_Validation!$A:$D,4,0)</f>
        <v>M/O Client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1687</v>
      </c>
      <c r="B393" s="718" t="s">
        <v>1032</v>
      </c>
      <c r="C393" s="720">
        <v>6925</v>
      </c>
      <c r="D393" s="720">
        <v>0</v>
      </c>
      <c r="E393" s="720">
        <v>6925</v>
      </c>
      <c r="F393" s="718" t="s">
        <v>2015</v>
      </c>
      <c r="G393" s="718" t="s">
        <v>1012</v>
      </c>
      <c r="H393" s="673"/>
      <c r="I393" s="673"/>
      <c r="J393" s="673"/>
      <c r="K393" s="673"/>
      <c r="L393" s="149" t="str">
        <f t="shared" si="30"/>
        <v>650E</v>
      </c>
      <c r="M393" s="150" t="str">
        <f t="shared" si="31"/>
        <v>C/V - PROTEC ESTHETIQUE USAGE BMW CERT</v>
      </c>
      <c r="N393" s="151">
        <f>+IF(OR($Q393=Parametres!$G$2,$Q393=Parametres!$G$3),I393,C393)</f>
        <v>6925</v>
      </c>
      <c r="O393" s="151">
        <f>+IF(OR($Q393=Parametres!$G$2,$Q393=Parametres!$G$3),J393,D393)</f>
        <v>0</v>
      </c>
      <c r="P393" s="151">
        <f>+IF(OR($Q393=Parametres!$G$2,$Q393=Parametres!$G$3),K393,E393)</f>
        <v>6925</v>
      </c>
      <c r="Q393" s="150" t="str">
        <f t="shared" si="32"/>
        <v>6-Coût des ventes</v>
      </c>
      <c r="R393" s="149" t="str">
        <f t="shared" si="33"/>
        <v>450</v>
      </c>
      <c r="S393" s="150">
        <f t="shared" si="34"/>
        <v>0</v>
      </c>
      <c r="T393" s="152" t="str">
        <f>+VLOOKUP($L393,Data_Validation!$A:$D,1,0)</f>
        <v>650E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1033</v>
      </c>
      <c r="B394" s="718" t="s">
        <v>777</v>
      </c>
      <c r="C394" s="720">
        <v>6999.1</v>
      </c>
      <c r="D394" s="720">
        <v>1253.98</v>
      </c>
      <c r="E394" s="720">
        <v>8253.08</v>
      </c>
      <c r="F394" s="718" t="s">
        <v>2015</v>
      </c>
      <c r="G394" s="718" t="s">
        <v>1110</v>
      </c>
      <c r="H394" s="673"/>
      <c r="I394" s="672"/>
      <c r="J394" s="672"/>
      <c r="K394" s="672"/>
      <c r="L394" s="149" t="str">
        <f t="shared" si="30"/>
        <v>661H</v>
      </c>
      <c r="M394" s="150" t="str">
        <f t="shared" si="31"/>
        <v>C/V - M/O GARANTIE BMW I</v>
      </c>
      <c r="N394" s="151">
        <f>+IF(OR($Q394=Parametres!$G$2,$Q394=Parametres!$G$3),I394,C394)</f>
        <v>6999.1</v>
      </c>
      <c r="O394" s="151">
        <f>+IF(OR($Q394=Parametres!$G$2,$Q394=Parametres!$G$3),J394,D394)</f>
        <v>1253.98</v>
      </c>
      <c r="P394" s="151">
        <f>+IF(OR($Q394=Parametres!$G$2,$Q394=Parametres!$G$3),K394,E394)</f>
        <v>8253.08</v>
      </c>
      <c r="Q394" s="150" t="str">
        <f t="shared" si="32"/>
        <v>6-Coût des ventes</v>
      </c>
      <c r="R394" s="149" t="str">
        <f t="shared" si="33"/>
        <v>461A</v>
      </c>
      <c r="S394" s="150">
        <f t="shared" si="34"/>
        <v>0</v>
      </c>
      <c r="T394" s="152" t="str">
        <f>+VLOOKUP($L394,Data_Validation!$A:$D,1,0)</f>
        <v>661H</v>
      </c>
      <c r="U394" s="152" t="str">
        <f>+VLOOKUP($L394,Data_Validation!$A:$D,3,0)</f>
        <v>service</v>
      </c>
      <c r="V394" s="152" t="str">
        <f>+VLOOKUP($L394,Data_Validation!$A:$D,4,0)</f>
        <v>M/O Garantie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1948</v>
      </c>
      <c r="B395" s="671" t="s">
        <v>1949</v>
      </c>
      <c r="C395" s="672">
        <v>7084</v>
      </c>
      <c r="D395" s="672">
        <v>0</v>
      </c>
      <c r="E395" s="672">
        <v>7084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30"/>
        <v>630R</v>
      </c>
      <c r="M395" s="150" t="str">
        <f t="shared" si="31"/>
        <v>C/V - ASS. REMP. NEUF BMW AUTO</v>
      </c>
      <c r="N395" s="151">
        <f>+IF(OR($Q395=Parametres!$G$2,$Q395=Parametres!$G$3),I395,C395)</f>
        <v>7084</v>
      </c>
      <c r="O395" s="151">
        <f>+IF(OR($Q395=Parametres!$G$2,$Q395=Parametres!$G$3),J395,D395)</f>
        <v>0</v>
      </c>
      <c r="P395" s="151">
        <f>+IF(OR($Q395=Parametres!$G$2,$Q395=Parametres!$G$3),K395,E395)</f>
        <v>7084</v>
      </c>
      <c r="Q395" s="150" t="str">
        <f t="shared" si="32"/>
        <v>6-Coût des ventes</v>
      </c>
      <c r="R395" s="149" t="str">
        <f t="shared" si="33"/>
        <v>430</v>
      </c>
      <c r="S395" s="150">
        <f t="shared" si="34"/>
        <v>0</v>
      </c>
      <c r="T395" s="152" t="str">
        <f>+VLOOKUP($L395,Data_Validation!$A:$D,1,0)</f>
        <v>630R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677</v>
      </c>
      <c r="B396" s="718" t="s">
        <v>678</v>
      </c>
      <c r="C396" s="719">
        <v>7769.41</v>
      </c>
      <c r="D396" s="719">
        <v>2870.88</v>
      </c>
      <c r="E396" s="719">
        <v>10640.29</v>
      </c>
      <c r="F396" s="718" t="s">
        <v>2015</v>
      </c>
      <c r="G396" s="718" t="s">
        <v>1132</v>
      </c>
      <c r="H396" s="719"/>
      <c r="I396" s="720"/>
      <c r="J396" s="720"/>
      <c r="K396" s="720"/>
      <c r="L396" s="149" t="str">
        <f t="shared" si="30"/>
        <v>673D</v>
      </c>
      <c r="M396" s="150" t="str">
        <f t="shared" si="31"/>
        <v>C/V - PIECES INTERNE BMW I</v>
      </c>
      <c r="N396" s="151">
        <f>+IF(OR($Q396=Parametres!$G$2,$Q396=Parametres!$G$3),I396,C396)</f>
        <v>7769.41</v>
      </c>
      <c r="O396" s="151">
        <f>+IF(OR($Q396=Parametres!$G$2,$Q396=Parametres!$G$3),J396,D396)</f>
        <v>2870.88</v>
      </c>
      <c r="P396" s="151">
        <f>+IF(OR($Q396=Parametres!$G$2,$Q396=Parametres!$G$3),K396,E396)</f>
        <v>10640.29</v>
      </c>
      <c r="Q396" s="150" t="str">
        <f t="shared" si="32"/>
        <v>6-Coût des ventes</v>
      </c>
      <c r="R396" s="149" t="str">
        <f t="shared" si="33"/>
        <v>473A</v>
      </c>
      <c r="S396" s="150">
        <f t="shared" si="34"/>
        <v>0</v>
      </c>
      <c r="T396" s="152" t="str">
        <f>+VLOOKUP($L396,Data_Validation!$A:$D,1,0)</f>
        <v>673D</v>
      </c>
      <c r="U396" s="152" t="str">
        <f>+VLOOKUP($L396,Data_Validation!$A:$D,3,0)</f>
        <v>pièces</v>
      </c>
      <c r="V396" s="152" t="str">
        <f>+VLOOKUP($L396,Data_Validation!$A:$D,4,0)</f>
        <v>Ventes Internes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1683</v>
      </c>
      <c r="B397" s="671" t="s">
        <v>886</v>
      </c>
      <c r="C397" s="672">
        <v>9683.42</v>
      </c>
      <c r="D397" s="672">
        <v>1105.92</v>
      </c>
      <c r="E397" s="672">
        <v>10789.34</v>
      </c>
      <c r="F397" s="671" t="s">
        <v>2015</v>
      </c>
      <c r="G397" s="671" t="s">
        <v>441</v>
      </c>
      <c r="H397" s="666"/>
      <c r="I397" s="665"/>
      <c r="J397" s="665"/>
      <c r="K397" s="665"/>
      <c r="L397" s="149" t="str">
        <f t="shared" si="30"/>
        <v>661D</v>
      </c>
      <c r="M397" s="150" t="str">
        <f t="shared" si="31"/>
        <v>C/V - M/O ENTRETIEN BMW AUTO</v>
      </c>
      <c r="N397" s="151">
        <f>+IF(OR($Q397=Parametres!$G$2,$Q397=Parametres!$G$3),I397,C397)</f>
        <v>9683.42</v>
      </c>
      <c r="O397" s="151">
        <f>+IF(OR($Q397=Parametres!$G$2,$Q397=Parametres!$G$3),J397,D397)</f>
        <v>1105.92</v>
      </c>
      <c r="P397" s="151">
        <f>+IF(OR($Q397=Parametres!$G$2,$Q397=Parametres!$G$3),K397,E397)</f>
        <v>10789.34</v>
      </c>
      <c r="Q397" s="150" t="str">
        <f t="shared" si="32"/>
        <v>6-Coût des ventes</v>
      </c>
      <c r="R397" s="149" t="str">
        <f t="shared" si="33"/>
        <v>461D</v>
      </c>
      <c r="S397" s="150">
        <f t="shared" si="34"/>
        <v>0</v>
      </c>
      <c r="T397" s="152" t="str">
        <f>+VLOOKUP($L397,Data_Validation!$A:$D,1,0)</f>
        <v>661D</v>
      </c>
      <c r="U397" s="152" t="str">
        <f>+VLOOKUP($L397,Data_Validation!$A:$D,3,0)</f>
        <v>service</v>
      </c>
      <c r="V397" s="152" t="str">
        <f>+VLOOKUP($L397,Data_Validation!$A:$D,4,0)</f>
        <v>M/O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1635</v>
      </c>
      <c r="B398" s="718" t="s">
        <v>1636</v>
      </c>
      <c r="C398" s="720">
        <v>10790.93</v>
      </c>
      <c r="D398" s="720">
        <v>554.77</v>
      </c>
      <c r="E398" s="720">
        <v>11345.7</v>
      </c>
      <c r="F398" s="718" t="s">
        <v>2015</v>
      </c>
      <c r="G398" s="718" t="s">
        <v>2255</v>
      </c>
      <c r="H398" s="673"/>
      <c r="I398" s="672"/>
      <c r="J398" s="672"/>
      <c r="K398" s="672"/>
      <c r="L398" s="149" t="str">
        <f t="shared" si="30"/>
        <v>664B</v>
      </c>
      <c r="M398" s="150" t="str">
        <f t="shared" si="31"/>
        <v>C/V - AJUST. M/O BMW CAMION</v>
      </c>
      <c r="N398" s="151">
        <f>+IF(OR($Q398=Parametres!$G$2,$Q398=Parametres!$G$3),I398,C398)</f>
        <v>10790.93</v>
      </c>
      <c r="O398" s="151">
        <f>+IF(OR($Q398=Parametres!$G$2,$Q398=Parametres!$G$3),J398,D398)</f>
        <v>554.77</v>
      </c>
      <c r="P398" s="151">
        <f>+IF(OR($Q398=Parametres!$G$2,$Q398=Parametres!$G$3),K398,E398)</f>
        <v>11345.7</v>
      </c>
      <c r="Q398" s="150" t="str">
        <f t="shared" si="32"/>
        <v>6-Coût des ventes</v>
      </c>
      <c r="R398" s="149" t="str">
        <f t="shared" si="33"/>
        <v>464</v>
      </c>
      <c r="S398" s="150">
        <f t="shared" si="34"/>
        <v>0</v>
      </c>
      <c r="T398" s="152" t="str">
        <f>+VLOOKUP($L398,Data_Validation!$A:$D,1,0)</f>
        <v>664B</v>
      </c>
      <c r="U398" s="152" t="str">
        <f>+VLOOKUP($L398,Data_Validation!$A:$D,3,0)</f>
        <v>service</v>
      </c>
      <c r="V398" s="152" t="str">
        <f>+VLOOKUP($L398,Data_Validation!$A:$D,4,0)</f>
        <v>Ajustement M/O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2242</v>
      </c>
      <c r="B399" s="718" t="s">
        <v>2241</v>
      </c>
      <c r="C399" s="720">
        <v>11204.73</v>
      </c>
      <c r="D399" s="720">
        <v>730</v>
      </c>
      <c r="E399" s="720">
        <v>11934.73</v>
      </c>
      <c r="F399" s="718" t="s">
        <v>2015</v>
      </c>
      <c r="G399" s="718" t="s">
        <v>1139</v>
      </c>
      <c r="H399" s="673"/>
      <c r="I399" s="672"/>
      <c r="J399" s="672"/>
      <c r="K399" s="672"/>
      <c r="L399" s="149" t="str">
        <f t="shared" si="30"/>
        <v>662N</v>
      </c>
      <c r="M399" s="150" t="str">
        <f t="shared" si="31"/>
        <v>C/V - SUBLET INTERNE ELECTRIQUE</v>
      </c>
      <c r="N399" s="151">
        <f>+IF(OR($Q399=Parametres!$G$2,$Q399=Parametres!$G$3),I399,C399)</f>
        <v>11204.73</v>
      </c>
      <c r="O399" s="151">
        <f>+IF(OR($Q399=Parametres!$G$2,$Q399=Parametres!$G$3),J399,D399)</f>
        <v>730</v>
      </c>
      <c r="P399" s="151">
        <f>+IF(OR($Q399=Parametres!$G$2,$Q399=Parametres!$G$3),K399,E399)</f>
        <v>11934.73</v>
      </c>
      <c r="Q399" s="150" t="str">
        <f t="shared" si="32"/>
        <v>6-Coût des ventes</v>
      </c>
      <c r="R399" s="149" t="str">
        <f t="shared" si="33"/>
        <v>462A</v>
      </c>
      <c r="S399" s="150">
        <f t="shared" si="34"/>
        <v>0</v>
      </c>
      <c r="T399" s="152" t="str">
        <f>+VLOOKUP($L399,Data_Validation!$A:$D,1,0)</f>
        <v>662N</v>
      </c>
      <c r="U399" s="152" t="str">
        <f>+VLOOKUP($L399,Data_Validation!$A:$D,3,0)</f>
        <v>Service</v>
      </c>
      <c r="V399" s="152" t="str">
        <f>+VLOOKUP($L399,Data_Validation!$A:$D,4,0)</f>
        <v>M/O Interne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1764</v>
      </c>
      <c r="B400" s="718" t="s">
        <v>1765</v>
      </c>
      <c r="C400" s="720">
        <v>12989.93</v>
      </c>
      <c r="D400" s="720">
        <v>57.8</v>
      </c>
      <c r="E400" s="720">
        <v>13047.73</v>
      </c>
      <c r="F400" s="718" t="s">
        <v>2015</v>
      </c>
      <c r="G400" s="718" t="s">
        <v>1143</v>
      </c>
      <c r="H400" s="673"/>
      <c r="I400" s="672"/>
      <c r="J400" s="672"/>
      <c r="K400" s="672"/>
      <c r="L400" s="149" t="str">
        <f t="shared" si="30"/>
        <v>663A</v>
      </c>
      <c r="M400" s="150" t="str">
        <f t="shared" si="31"/>
        <v>C/V - SOUS-TRAITANCE BMW AUTO</v>
      </c>
      <c r="N400" s="151">
        <f>+IF(OR($Q400=Parametres!$G$2,$Q400=Parametres!$G$3),I400,C400)</f>
        <v>12989.93</v>
      </c>
      <c r="O400" s="151">
        <f>+IF(OR($Q400=Parametres!$G$2,$Q400=Parametres!$G$3),J400,D400)</f>
        <v>57.8</v>
      </c>
      <c r="P400" s="151">
        <f>+IF(OR($Q400=Parametres!$G$2,$Q400=Parametres!$G$3),K400,E400)</f>
        <v>13047.73</v>
      </c>
      <c r="Q400" s="150" t="str">
        <f t="shared" si="32"/>
        <v>6-Coût des ventes</v>
      </c>
      <c r="R400" s="149" t="str">
        <f t="shared" si="33"/>
        <v>463A</v>
      </c>
      <c r="S400" s="150">
        <f t="shared" si="34"/>
        <v>0</v>
      </c>
      <c r="T400" s="152" t="str">
        <f>+VLOOKUP($L400,Data_Validation!$A:$D,1,0)</f>
        <v>663A</v>
      </c>
      <c r="U400" s="152" t="str">
        <f>+VLOOKUP($L400,Data_Validation!$A:$D,3,0)</f>
        <v>service</v>
      </c>
      <c r="V400" s="152" t="str">
        <f>+VLOOKUP($L400,Data_Validation!$A:$D,4,0)</f>
        <v>Sous-traitement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1699</v>
      </c>
      <c r="B401" s="718" t="s">
        <v>874</v>
      </c>
      <c r="C401" s="720">
        <v>14109.37</v>
      </c>
      <c r="D401" s="720">
        <v>1269.74</v>
      </c>
      <c r="E401" s="720">
        <v>15379.11</v>
      </c>
      <c r="F401" s="718" t="s">
        <v>2015</v>
      </c>
      <c r="G401" s="718" t="s">
        <v>1118</v>
      </c>
      <c r="H401" s="673"/>
      <c r="I401" s="672"/>
      <c r="J401" s="672"/>
      <c r="K401" s="672"/>
      <c r="L401" s="149" t="str">
        <f t="shared" si="30"/>
        <v>674D</v>
      </c>
      <c r="M401" s="150" t="str">
        <f t="shared" si="31"/>
        <v>C/V - PIECES COMP. BMW LIFESTYLE</v>
      </c>
      <c r="N401" s="151">
        <f>+IF(OR($Q401=Parametres!$G$2,$Q401=Parametres!$G$3),I401,C401)</f>
        <v>14109.37</v>
      </c>
      <c r="O401" s="151">
        <f>+IF(OR($Q401=Parametres!$G$2,$Q401=Parametres!$G$3),J401,D401)</f>
        <v>1269.74</v>
      </c>
      <c r="P401" s="151">
        <f>+IF(OR($Q401=Parametres!$G$2,$Q401=Parametres!$G$3),K401,E401)</f>
        <v>15379.11</v>
      </c>
      <c r="Q401" s="150" t="str">
        <f t="shared" si="32"/>
        <v>6-Coût des ventes</v>
      </c>
      <c r="R401" s="149" t="str">
        <f t="shared" si="33"/>
        <v>474A</v>
      </c>
      <c r="S401" s="150">
        <f t="shared" si="34"/>
        <v>0</v>
      </c>
      <c r="T401" s="152" t="str">
        <f>+VLOOKUP($L401,Data_Validation!$A:$D,1,0)</f>
        <v>674D</v>
      </c>
      <c r="U401" s="152" t="str">
        <f>+VLOOKUP($L401,Data_Validation!$A:$D,3,0)</f>
        <v>pièces</v>
      </c>
      <c r="V401" s="152" t="str">
        <f>+VLOOKUP($L401,Data_Validation!$A:$D,4,0)</f>
        <v>Ventes Détails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1606</v>
      </c>
      <c r="B402" s="671" t="s">
        <v>880</v>
      </c>
      <c r="C402" s="672">
        <v>14563.37</v>
      </c>
      <c r="D402" s="672">
        <v>1248.53</v>
      </c>
      <c r="E402" s="672">
        <v>15811.9</v>
      </c>
      <c r="F402" s="671" t="s">
        <v>2015</v>
      </c>
      <c r="G402" s="671" t="s">
        <v>1120</v>
      </c>
      <c r="H402" s="666"/>
      <c r="I402" s="665"/>
      <c r="J402" s="665"/>
      <c r="K402" s="665"/>
      <c r="L402" s="149" t="str">
        <f t="shared" si="30"/>
        <v>670D</v>
      </c>
      <c r="M402" s="150" t="str">
        <f t="shared" si="31"/>
        <v>C/V - PIECES BT CLIENT BMW I</v>
      </c>
      <c r="N402" s="151">
        <f>+IF(OR($Q402=Parametres!$G$2,$Q402=Parametres!$G$3),I402,C402)</f>
        <v>14563.37</v>
      </c>
      <c r="O402" s="151">
        <f>+IF(OR($Q402=Parametres!$G$2,$Q402=Parametres!$G$3),J402,D402)</f>
        <v>1248.53</v>
      </c>
      <c r="P402" s="151">
        <f>+IF(OR($Q402=Parametres!$G$2,$Q402=Parametres!$G$3),K402,E402)</f>
        <v>15811.9</v>
      </c>
      <c r="Q402" s="150" t="str">
        <f t="shared" si="32"/>
        <v>6-Coût des ventes</v>
      </c>
      <c r="R402" s="149" t="str">
        <f t="shared" si="33"/>
        <v>470A</v>
      </c>
      <c r="S402" s="150">
        <f t="shared" si="34"/>
        <v>0</v>
      </c>
      <c r="T402" s="152" t="str">
        <f>+VLOOKUP($L402,Data_Validation!$A:$D,1,0)</f>
        <v>670D</v>
      </c>
      <c r="U402" s="152" t="str">
        <f>+VLOOKUP($L402,Data_Validation!$A:$D,3,0)</f>
        <v>Pièces</v>
      </c>
      <c r="V402" s="152" t="str">
        <f>+VLOOKUP($L402,Data_Validation!$A:$D,4,0)</f>
        <v>Pièces Ro Clients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1768</v>
      </c>
      <c r="B403" s="671" t="s">
        <v>1769</v>
      </c>
      <c r="C403" s="672">
        <v>15224.17</v>
      </c>
      <c r="D403" s="672">
        <v>1582.16</v>
      </c>
      <c r="E403" s="672">
        <v>16806.330000000002</v>
      </c>
      <c r="F403" s="671" t="s">
        <v>2015</v>
      </c>
      <c r="G403" s="671" t="s">
        <v>1110</v>
      </c>
      <c r="H403" s="666"/>
      <c r="I403" s="665"/>
      <c r="J403" s="665"/>
      <c r="K403" s="665"/>
      <c r="L403" s="149" t="str">
        <f t="shared" si="30"/>
        <v>661A</v>
      </c>
      <c r="M403" s="150" t="str">
        <f t="shared" si="31"/>
        <v>C/V - M/O GARANTIE BMW AUTO</v>
      </c>
      <c r="N403" s="151">
        <f>+IF(OR($Q403=Parametres!$G$2,$Q403=Parametres!$G$3),I403,C403)</f>
        <v>15224.17</v>
      </c>
      <c r="O403" s="151">
        <f>+IF(OR($Q403=Parametres!$G$2,$Q403=Parametres!$G$3),J403,D403)</f>
        <v>1582.16</v>
      </c>
      <c r="P403" s="151">
        <f>+IF(OR($Q403=Parametres!$G$2,$Q403=Parametres!$G$3),K403,E403)</f>
        <v>16806.330000000002</v>
      </c>
      <c r="Q403" s="150" t="str">
        <f t="shared" si="32"/>
        <v>6-Coût des ventes</v>
      </c>
      <c r="R403" s="149" t="str">
        <f t="shared" si="33"/>
        <v>461A</v>
      </c>
      <c r="S403" s="150">
        <f t="shared" si="34"/>
        <v>0</v>
      </c>
      <c r="T403" s="152" t="str">
        <f>+VLOOKUP($L403,Data_Validation!$A:$D,1,0)</f>
        <v>661A</v>
      </c>
      <c r="U403" s="152" t="str">
        <f>+VLOOKUP($L403,Data_Validation!$A:$D,3,0)</f>
        <v>service</v>
      </c>
      <c r="V403" s="152" t="str">
        <f>+VLOOKUP($L403,Data_Validation!$A:$D,4,0)</f>
        <v>M/O Garantie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2859</v>
      </c>
      <c r="B404" s="718" t="s">
        <v>2851</v>
      </c>
      <c r="C404" s="720">
        <v>15754.09</v>
      </c>
      <c r="D404" s="720">
        <v>956.16</v>
      </c>
      <c r="E404" s="720">
        <v>16710.25</v>
      </c>
      <c r="F404" s="718" t="s">
        <v>2015</v>
      </c>
      <c r="G404" s="718" t="s">
        <v>2946</v>
      </c>
      <c r="H404" s="673"/>
      <c r="I404" s="673"/>
      <c r="J404" s="673"/>
      <c r="K404" s="673"/>
      <c r="L404" s="149" t="str">
        <f t="shared" si="30"/>
        <v>675L</v>
      </c>
      <c r="M404" s="150" t="str">
        <f t="shared" si="31"/>
        <v>C/V - RISTOURNES VENTES WHOLESALES</v>
      </c>
      <c r="N404" s="151">
        <f>+IF(OR($Q404=Parametres!$G$2,$Q404=Parametres!$G$3),I404,C404)</f>
        <v>15754.09</v>
      </c>
      <c r="O404" s="504">
        <f>+IF(OR($Q404=Parametres!$G$2,$Q404=Parametres!$G$3),J404,D404)</f>
        <v>956.16</v>
      </c>
      <c r="P404" s="151">
        <f>+IF(OR($Q404=Parametres!$G$2,$Q404=Parametres!$G$3),K404,E404)</f>
        <v>16710.25</v>
      </c>
      <c r="Q404" s="150" t="str">
        <f t="shared" si="32"/>
        <v>6-Coût des ventes</v>
      </c>
      <c r="R404" s="149" t="str">
        <f t="shared" si="33"/>
        <v>675</v>
      </c>
      <c r="S404" s="150">
        <f t="shared" si="34"/>
        <v>0</v>
      </c>
      <c r="T404" s="152" t="str">
        <f>+VLOOKUP($L404,Data_Validation!$A:$D,1,0)</f>
        <v>675L</v>
      </c>
      <c r="U404" s="152" t="str">
        <f>+VLOOKUP($L404,Data_Validation!$A:$D,3,0)</f>
        <v>Pièces</v>
      </c>
      <c r="V404" s="152" t="str">
        <f>+VLOOKUP($L404,Data_Validation!$A:$D,4,0)</f>
        <v>Ventes de Gros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1710</v>
      </c>
      <c r="B405" s="718" t="s">
        <v>954</v>
      </c>
      <c r="C405" s="720">
        <v>16069.59</v>
      </c>
      <c r="D405" s="720">
        <v>2139.2800000000002</v>
      </c>
      <c r="E405" s="720">
        <v>18208.87</v>
      </c>
      <c r="F405" s="718" t="s">
        <v>2015</v>
      </c>
      <c r="G405" s="718" t="s">
        <v>434</v>
      </c>
      <c r="H405" s="609"/>
      <c r="I405" s="608"/>
      <c r="J405" s="608"/>
      <c r="K405" s="608"/>
      <c r="L405" s="149" t="str">
        <f t="shared" si="30"/>
        <v>672D</v>
      </c>
      <c r="M405" s="150" t="str">
        <f t="shared" si="31"/>
        <v>C/V - PIECES ENTRETIEN BMW AUTO</v>
      </c>
      <c r="N405" s="151">
        <f>+IF(OR($Q405=Parametres!$G$2,$Q405=Parametres!$G$3),I405,C405)</f>
        <v>16069.59</v>
      </c>
      <c r="O405" s="151">
        <f>+IF(OR($Q405=Parametres!$G$2,$Q405=Parametres!$G$3),J405,D405)</f>
        <v>2139.2800000000002</v>
      </c>
      <c r="P405" s="151">
        <f>+IF(OR($Q405=Parametres!$G$2,$Q405=Parametres!$G$3),K405,E405)</f>
        <v>18208.87</v>
      </c>
      <c r="Q405" s="150" t="str">
        <f t="shared" si="32"/>
        <v>6-Coût des ventes</v>
      </c>
      <c r="R405" s="149" t="str">
        <f t="shared" si="33"/>
        <v>472D</v>
      </c>
      <c r="S405" s="150">
        <f t="shared" si="34"/>
        <v>0</v>
      </c>
      <c r="T405" s="152" t="str">
        <f>+VLOOKUP($L405,Data_Validation!$A:$D,1,0)</f>
        <v>672D</v>
      </c>
      <c r="U405" s="152" t="str">
        <f>+VLOOKUP($L405,Data_Validation!$A:$D,3,0)</f>
        <v>pièces</v>
      </c>
      <c r="V405" s="152" t="str">
        <f>+VLOOKUP($L405,Data_Validation!$A:$D,4,0)</f>
        <v>P/A Garantie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1652</v>
      </c>
      <c r="B406" s="718" t="s">
        <v>1653</v>
      </c>
      <c r="C406" s="720">
        <v>16186.43</v>
      </c>
      <c r="D406" s="720">
        <v>832.15</v>
      </c>
      <c r="E406" s="720">
        <v>17018.580000000002</v>
      </c>
      <c r="F406" s="718" t="s">
        <v>2015</v>
      </c>
      <c r="G406" s="718" t="s">
        <v>2255</v>
      </c>
      <c r="H406" s="666"/>
      <c r="I406" s="665"/>
      <c r="J406" s="665"/>
      <c r="K406" s="665"/>
      <c r="L406" s="149" t="str">
        <f t="shared" si="30"/>
        <v>664A</v>
      </c>
      <c r="M406" s="150" t="str">
        <f t="shared" si="31"/>
        <v>C/V - AJUST. M/O BMW AUTO</v>
      </c>
      <c r="N406" s="151">
        <f>+IF(OR($Q406=Parametres!$G$2,$Q406=Parametres!$G$3),I406,C406)</f>
        <v>16186.43</v>
      </c>
      <c r="O406" s="151">
        <f>+IF(OR($Q406=Parametres!$G$2,$Q406=Parametres!$G$3),J406,D406)</f>
        <v>832.15</v>
      </c>
      <c r="P406" s="151">
        <f>+IF(OR($Q406=Parametres!$G$2,$Q406=Parametres!$G$3),K406,E406)</f>
        <v>17018.580000000002</v>
      </c>
      <c r="Q406" s="150" t="str">
        <f t="shared" si="32"/>
        <v>6-Coût des ventes</v>
      </c>
      <c r="R406" s="149" t="str">
        <f t="shared" si="33"/>
        <v>464</v>
      </c>
      <c r="S406" s="150">
        <f t="shared" si="34"/>
        <v>0</v>
      </c>
      <c r="T406" s="152" t="str">
        <f>+VLOOKUP($L406,Data_Validation!$A:$D,1,0)</f>
        <v>664A</v>
      </c>
      <c r="U406" s="152" t="str">
        <f>+VLOOKUP($L406,Data_Validation!$A:$D,3,0)</f>
        <v>service</v>
      </c>
      <c r="V406" s="152" t="str">
        <f>+VLOOKUP($L406,Data_Validation!$A:$D,4,0)</f>
        <v>Ajustement M/O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1452</v>
      </c>
      <c r="B407" s="718" t="s">
        <v>673</v>
      </c>
      <c r="C407" s="719">
        <v>16961</v>
      </c>
      <c r="D407" s="719">
        <v>3824</v>
      </c>
      <c r="E407" s="719">
        <v>20785</v>
      </c>
      <c r="F407" s="718" t="s">
        <v>2015</v>
      </c>
      <c r="G407" s="718" t="s">
        <v>366</v>
      </c>
      <c r="H407" s="719"/>
      <c r="I407" s="720"/>
      <c r="J407" s="720"/>
      <c r="K407" s="720"/>
      <c r="L407" s="149" t="str">
        <f t="shared" si="30"/>
        <v>655</v>
      </c>
      <c r="M407" s="150" t="str">
        <f t="shared" si="31"/>
        <v>C/V - GAR PROL USAGE AUTRE</v>
      </c>
      <c r="N407" s="151">
        <f>+IF(OR($Q407=Parametres!$G$2,$Q407=Parametres!$G$3),I407,C407)</f>
        <v>16961</v>
      </c>
      <c r="O407" s="151">
        <f>+IF(OR($Q407=Parametres!$G$2,$Q407=Parametres!$G$3),J407,D407)</f>
        <v>3824</v>
      </c>
      <c r="P407" s="151">
        <f>+IF(OR($Q407=Parametres!$G$2,$Q407=Parametres!$G$3),K407,E407)</f>
        <v>20785</v>
      </c>
      <c r="Q407" s="150" t="str">
        <f t="shared" si="32"/>
        <v>6-Coût des ventes</v>
      </c>
      <c r="R407" s="149" t="str">
        <f t="shared" si="33"/>
        <v>455</v>
      </c>
      <c r="S407" s="150">
        <f t="shared" si="34"/>
        <v>0</v>
      </c>
      <c r="T407" s="152" t="str">
        <f>+VLOOKUP($L407,Data_Validation!$A:$D,1,0)</f>
        <v>655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1713</v>
      </c>
      <c r="B408" s="718" t="s">
        <v>905</v>
      </c>
      <c r="C408" s="720">
        <v>17802.830000000002</v>
      </c>
      <c r="D408" s="720">
        <v>2267.4</v>
      </c>
      <c r="E408" s="720">
        <v>20070.23</v>
      </c>
      <c r="F408" s="718" t="s">
        <v>2015</v>
      </c>
      <c r="G408" s="718" t="s">
        <v>441</v>
      </c>
      <c r="H408" s="673"/>
      <c r="I408" s="672"/>
      <c r="J408" s="672"/>
      <c r="K408" s="672"/>
      <c r="L408" s="149" t="str">
        <f t="shared" si="30"/>
        <v>661E</v>
      </c>
      <c r="M408" s="150" t="str">
        <f t="shared" si="31"/>
        <v>C/V - M/O ENTRETIEN BMW CAMION</v>
      </c>
      <c r="N408" s="151">
        <f>+IF(OR($Q408=Parametres!$G$2,$Q408=Parametres!$G$3),I408,C408)</f>
        <v>17802.830000000002</v>
      </c>
      <c r="O408" s="151">
        <f>+IF(OR($Q408=Parametres!$G$2,$Q408=Parametres!$G$3),J408,D408)</f>
        <v>2267.4</v>
      </c>
      <c r="P408" s="151">
        <f>+IF(OR($Q408=Parametres!$G$2,$Q408=Parametres!$G$3),K408,E408)</f>
        <v>20070.23</v>
      </c>
      <c r="Q408" s="150" t="str">
        <f t="shared" si="32"/>
        <v>6-Coût des ventes</v>
      </c>
      <c r="R408" s="149" t="str">
        <f t="shared" si="33"/>
        <v>461D</v>
      </c>
      <c r="S408" s="150">
        <f t="shared" si="34"/>
        <v>0</v>
      </c>
      <c r="T408" s="152" t="str">
        <f>+VLOOKUP($L408,Data_Validation!$A:$D,1,0)</f>
        <v>661E</v>
      </c>
      <c r="U408" s="152" t="str">
        <f>+VLOOKUP($L408,Data_Validation!$A:$D,3,0)</f>
        <v>service</v>
      </c>
      <c r="V408" s="152" t="str">
        <f>+VLOOKUP($L408,Data_Validation!$A:$D,4,0)</f>
        <v>M/O Garantie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1775</v>
      </c>
      <c r="B409" s="718" t="s">
        <v>898</v>
      </c>
      <c r="C409" s="720">
        <v>18256.16</v>
      </c>
      <c r="D409" s="720">
        <v>349</v>
      </c>
      <c r="E409" s="720">
        <v>18605.16</v>
      </c>
      <c r="F409" s="718" t="s">
        <v>2015</v>
      </c>
      <c r="G409" s="718" t="s">
        <v>1143</v>
      </c>
      <c r="H409" s="673"/>
      <c r="I409" s="672"/>
      <c r="J409" s="672"/>
      <c r="K409" s="672"/>
      <c r="L409" s="149" t="str">
        <f t="shared" si="30"/>
        <v>663B</v>
      </c>
      <c r="M409" s="150" t="str">
        <f t="shared" si="31"/>
        <v>C/V - SOUS-TRAITANCE BMW CAMION</v>
      </c>
      <c r="N409" s="151">
        <f>+IF(OR($Q409=Parametres!$G$2,$Q409=Parametres!$G$3),I409,C409)</f>
        <v>18256.16</v>
      </c>
      <c r="O409" s="151">
        <f>+IF(OR($Q409=Parametres!$G$2,$Q409=Parametres!$G$3),J409,D409)</f>
        <v>349</v>
      </c>
      <c r="P409" s="151">
        <f>+IF(OR($Q409=Parametres!$G$2,$Q409=Parametres!$G$3),K409,E409)</f>
        <v>18605.16</v>
      </c>
      <c r="Q409" s="150" t="str">
        <f t="shared" si="32"/>
        <v>6-Coût des ventes</v>
      </c>
      <c r="R409" s="149" t="str">
        <f t="shared" si="33"/>
        <v>463A</v>
      </c>
      <c r="S409" s="150">
        <f t="shared" si="34"/>
        <v>0</v>
      </c>
      <c r="T409" s="152" t="str">
        <f>+VLOOKUP($L409,Data_Validation!$A:$D,1,0)</f>
        <v>663B</v>
      </c>
      <c r="U409" s="152" t="str">
        <f>+VLOOKUP($L409,Data_Validation!$A:$D,3,0)</f>
        <v>service</v>
      </c>
      <c r="V409" s="152" t="str">
        <f>+VLOOKUP($L409,Data_Validation!$A:$D,4,0)</f>
        <v>Sous-traitement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1721</v>
      </c>
      <c r="B410" s="718" t="s">
        <v>1722</v>
      </c>
      <c r="C410" s="719">
        <v>18969.439999999999</v>
      </c>
      <c r="D410" s="719">
        <v>2249.5700000000002</v>
      </c>
      <c r="E410" s="719">
        <v>21219.01</v>
      </c>
      <c r="F410" s="718" t="s">
        <v>2015</v>
      </c>
      <c r="G410" s="718" t="s">
        <v>1139</v>
      </c>
      <c r="H410" s="719"/>
      <c r="I410" s="720"/>
      <c r="J410" s="720"/>
      <c r="K410" s="720"/>
      <c r="L410" s="149" t="str">
        <f t="shared" si="30"/>
        <v>662A</v>
      </c>
      <c r="M410" s="150" t="str">
        <f t="shared" si="31"/>
        <v>C/V - M/O INTERNE BMW AUTO</v>
      </c>
      <c r="N410" s="151">
        <f>+IF(OR($Q410=Parametres!$G$2,$Q410=Parametres!$G$3),I410,C410)</f>
        <v>18969.439999999999</v>
      </c>
      <c r="O410" s="151">
        <f>+IF(OR($Q410=Parametres!$G$2,$Q410=Parametres!$G$3),J410,D410)</f>
        <v>2249.5700000000002</v>
      </c>
      <c r="P410" s="151">
        <f>+IF(OR($Q410=Parametres!$G$2,$Q410=Parametres!$G$3),K410,E410)</f>
        <v>21219.01</v>
      </c>
      <c r="Q410" s="150" t="str">
        <f t="shared" si="32"/>
        <v>6-Coût des ventes</v>
      </c>
      <c r="R410" s="149" t="str">
        <f t="shared" si="33"/>
        <v>462A</v>
      </c>
      <c r="S410" s="150">
        <f t="shared" si="34"/>
        <v>0</v>
      </c>
      <c r="T410" s="152" t="str">
        <f>+VLOOKUP($L410,Data_Validation!$A:$D,1,0)</f>
        <v>662A</v>
      </c>
      <c r="U410" s="152" t="str">
        <f>+VLOOKUP($L410,Data_Validation!$A:$D,3,0)</f>
        <v>service</v>
      </c>
      <c r="V410" s="152" t="str">
        <f>+VLOOKUP($L410,Data_Validation!$A:$D,4,0)</f>
        <v>M/O Interne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1707</v>
      </c>
      <c r="B411" s="718" t="s">
        <v>1708</v>
      </c>
      <c r="C411" s="719">
        <v>20718.25</v>
      </c>
      <c r="D411" s="719">
        <v>2310</v>
      </c>
      <c r="E411" s="719">
        <v>23028.25</v>
      </c>
      <c r="F411" s="718" t="s">
        <v>2015</v>
      </c>
      <c r="G411" s="718" t="s">
        <v>625</v>
      </c>
      <c r="H411" s="719"/>
      <c r="I411" s="720"/>
      <c r="J411" s="720"/>
      <c r="K411" s="720"/>
      <c r="L411" s="149" t="str">
        <f t="shared" si="30"/>
        <v>630A</v>
      </c>
      <c r="M411" s="150" t="str">
        <f t="shared" si="31"/>
        <v>C/V - MARQUAGE OTOPROTEC NEUF BMW AUTO</v>
      </c>
      <c r="N411" s="151">
        <f>+IF(OR($Q411=Parametres!$G$2,$Q411=Parametres!$G$3),I411,C411)</f>
        <v>20718.25</v>
      </c>
      <c r="O411" s="151">
        <f>+IF(OR($Q411=Parametres!$G$2,$Q411=Parametres!$G$3),J411,D411)</f>
        <v>2310</v>
      </c>
      <c r="P411" s="151">
        <f>+IF(OR($Q411=Parametres!$G$2,$Q411=Parametres!$G$3),K411,E411)</f>
        <v>23028.25</v>
      </c>
      <c r="Q411" s="150" t="str">
        <f t="shared" si="32"/>
        <v>6-Coût des ventes</v>
      </c>
      <c r="R411" s="149" t="str">
        <f t="shared" si="33"/>
        <v>430</v>
      </c>
      <c r="S411" s="150">
        <f t="shared" si="34"/>
        <v>0</v>
      </c>
      <c r="T411" s="152" t="str">
        <f>+VLOOKUP($L411,Data_Validation!$A:$D,1,0)</f>
        <v>630A</v>
      </c>
      <c r="U411" s="152" t="str">
        <f>+VLOOKUP($L411,Data_Validation!$A:$D,3,0)</f>
        <v>Véhicules neufs</v>
      </c>
      <c r="V411" s="152" t="str">
        <f>+VLOOKUP($L411,Data_Validation!$A:$D,4,0)</f>
        <v>Rev. Autres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1234</v>
      </c>
      <c r="B412" s="671" t="s">
        <v>383</v>
      </c>
      <c r="C412" s="672">
        <v>21283.99</v>
      </c>
      <c r="D412" s="672">
        <v>2820.54</v>
      </c>
      <c r="E412" s="672">
        <v>24104.53</v>
      </c>
      <c r="F412" s="671" t="s">
        <v>2015</v>
      </c>
      <c r="G412" s="671" t="s">
        <v>365</v>
      </c>
      <c r="H412" s="666"/>
      <c r="I412" s="665"/>
      <c r="J412" s="665"/>
      <c r="K412" s="665"/>
      <c r="L412" s="149" t="str">
        <f t="shared" si="30"/>
        <v>693</v>
      </c>
      <c r="M412" s="150" t="str">
        <f t="shared" si="31"/>
        <v>C/V - M/O CARROSSERIE BMW</v>
      </c>
      <c r="N412" s="151">
        <f>+IF(OR($Q412=Parametres!$G$2,$Q412=Parametres!$G$3),I412,C412)</f>
        <v>21283.99</v>
      </c>
      <c r="O412" s="151">
        <f>+IF(OR($Q412=Parametres!$G$2,$Q412=Parametres!$G$3),J412,D412)</f>
        <v>2820.54</v>
      </c>
      <c r="P412" s="151">
        <f>+IF(OR($Q412=Parametres!$G$2,$Q412=Parametres!$G$3),K412,E412)</f>
        <v>24104.53</v>
      </c>
      <c r="Q412" s="150" t="str">
        <f t="shared" si="32"/>
        <v>6-Coût des ventes</v>
      </c>
      <c r="R412" s="149" t="str">
        <f t="shared" si="33"/>
        <v>493</v>
      </c>
      <c r="S412" s="150">
        <f t="shared" si="34"/>
        <v>0</v>
      </c>
      <c r="T412" s="152" t="str">
        <f>+VLOOKUP($L412,Data_Validation!$A:$D,1,0)</f>
        <v>693</v>
      </c>
      <c r="U412" s="152" t="str">
        <f>+VLOOKUP($L412,Data_Validation!$A:$D,3,0)</f>
        <v>carrosserie</v>
      </c>
      <c r="V412" s="152" t="str">
        <f>+VLOOKUP($L412,Data_Validation!$A:$D,4,0)</f>
        <v>M/O Sous-traitement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1756</v>
      </c>
      <c r="B413" s="718" t="s">
        <v>946</v>
      </c>
      <c r="C413" s="720">
        <v>22048.48</v>
      </c>
      <c r="D413" s="720">
        <v>0</v>
      </c>
      <c r="E413" s="720">
        <v>22048.48</v>
      </c>
      <c r="F413" s="718" t="s">
        <v>2015</v>
      </c>
      <c r="G413" s="718" t="s">
        <v>420</v>
      </c>
      <c r="H413" s="673"/>
      <c r="I413" s="672"/>
      <c r="J413" s="672"/>
      <c r="K413" s="672"/>
      <c r="L413" s="149" t="str">
        <f t="shared" si="30"/>
        <v>641A</v>
      </c>
      <c r="M413" s="150" t="str">
        <f t="shared" si="31"/>
        <v>C/V - RECOND. BMW AUTO CERT</v>
      </c>
      <c r="N413" s="151">
        <f>+IF(OR($Q413=Parametres!$G$2,$Q413=Parametres!$G$3),I413,C413)</f>
        <v>22048.48</v>
      </c>
      <c r="O413" s="151">
        <f>+IF(OR($Q413=Parametres!$G$2,$Q413=Parametres!$G$3),J413,D413)</f>
        <v>0</v>
      </c>
      <c r="P413" s="151">
        <f>+IF(OR($Q413=Parametres!$G$2,$Q413=Parametres!$G$3),K413,E413)</f>
        <v>22048.48</v>
      </c>
      <c r="Q413" s="150" t="str">
        <f t="shared" si="32"/>
        <v>6-Coût des ventes</v>
      </c>
      <c r="R413" s="149" t="str">
        <f t="shared" si="33"/>
        <v>440A</v>
      </c>
      <c r="S413" s="150">
        <f t="shared" si="34"/>
        <v>0</v>
      </c>
      <c r="T413" s="152" t="str">
        <f>+VLOOKUP($L413,Data_Validation!$A:$D,1,0)</f>
        <v>641A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1672</v>
      </c>
      <c r="B414" s="718" t="s">
        <v>911</v>
      </c>
      <c r="C414" s="720">
        <v>22068.61</v>
      </c>
      <c r="D414" s="720">
        <v>2571.85</v>
      </c>
      <c r="E414" s="720">
        <v>24640.46</v>
      </c>
      <c r="F414" s="718" t="s">
        <v>2015</v>
      </c>
      <c r="G414" s="718" t="s">
        <v>418</v>
      </c>
      <c r="H414" s="609"/>
      <c r="I414" s="609"/>
      <c r="J414" s="609"/>
      <c r="K414" s="609"/>
      <c r="L414" s="149" t="str">
        <f t="shared" si="30"/>
        <v>648A</v>
      </c>
      <c r="M414" s="150" t="str">
        <f t="shared" si="31"/>
        <v>C/V - RECOND. BMW CAMION CERT</v>
      </c>
      <c r="N414" s="151">
        <f>+IF(OR($Q414=Parametres!$G$2,$Q414=Parametres!$G$3),I414,C414)</f>
        <v>22068.61</v>
      </c>
      <c r="O414" s="151">
        <f>+IF(OR($Q414=Parametres!$G$2,$Q414=Parametres!$G$3),J414,D414)</f>
        <v>2571.85</v>
      </c>
      <c r="P414" s="151">
        <f>+IF(OR($Q414=Parametres!$G$2,$Q414=Parametres!$G$3),K414,E414)</f>
        <v>24640.46</v>
      </c>
      <c r="Q414" s="150" t="str">
        <f t="shared" si="32"/>
        <v>6-Coût des ventes</v>
      </c>
      <c r="R414" s="149" t="str">
        <f t="shared" si="33"/>
        <v>446A</v>
      </c>
      <c r="S414" s="150">
        <f t="shared" si="34"/>
        <v>0</v>
      </c>
      <c r="T414" s="152" t="str">
        <f>+VLOOKUP($L414,Data_Validation!$A:$D,1,0)</f>
        <v>648A</v>
      </c>
      <c r="U414" s="152" t="str">
        <f>+VLOOKUP($L414,Data_Validation!$A:$D,3,0)</f>
        <v>Véhicules usagés</v>
      </c>
      <c r="V414" s="152" t="str">
        <f>+VLOOKUP($L414,Data_Validation!$A:$D,4,0)</f>
        <v>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2103</v>
      </c>
      <c r="B415" s="718" t="s">
        <v>2102</v>
      </c>
      <c r="C415" s="720">
        <v>24836.400000000001</v>
      </c>
      <c r="D415" s="720">
        <v>7023</v>
      </c>
      <c r="E415" s="720">
        <v>31859.4</v>
      </c>
      <c r="F415" s="718" t="s">
        <v>2015</v>
      </c>
      <c r="G415" s="718" t="s">
        <v>2361</v>
      </c>
      <c r="H415" s="666"/>
      <c r="I415" s="665"/>
      <c r="J415" s="665"/>
      <c r="K415" s="665"/>
      <c r="L415" s="149" t="str">
        <f t="shared" si="30"/>
        <v>634A</v>
      </c>
      <c r="M415" s="150" t="str">
        <f t="shared" si="31"/>
        <v>C/V - CONT ENTRET NEUF BMW AUTO</v>
      </c>
      <c r="N415" s="151">
        <f>+IF(OR($Q415=Parametres!$G$2,$Q415=Parametres!$G$3),I415,C415)</f>
        <v>24836.400000000001</v>
      </c>
      <c r="O415" s="151">
        <f>+IF(OR($Q415=Parametres!$G$2,$Q415=Parametres!$G$3),J415,D415)</f>
        <v>7023</v>
      </c>
      <c r="P415" s="151">
        <f>+IF(OR($Q415=Parametres!$G$2,$Q415=Parametres!$G$3),K415,E415)</f>
        <v>31859.4</v>
      </c>
      <c r="Q415" s="150" t="str">
        <f t="shared" si="32"/>
        <v>6-Coût des ventes</v>
      </c>
      <c r="R415" s="149" t="str">
        <f t="shared" si="33"/>
        <v>434</v>
      </c>
      <c r="S415" s="150">
        <f t="shared" si="34"/>
        <v>0</v>
      </c>
      <c r="T415" s="152" t="str">
        <f>+VLOOKUP($L415,Data_Validation!$A:$D,1,0)</f>
        <v>634A</v>
      </c>
      <c r="U415" s="152" t="str">
        <f>+VLOOKUP($L415,Data_Validation!$A:$D,3,0)</f>
        <v>Véhicules neufs</v>
      </c>
      <c r="V415" s="152" t="str">
        <f>+VLOOKUP($L415,Data_Validation!$A:$D,4,0)</f>
        <v>Rev. Protections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2150</v>
      </c>
      <c r="B416" s="718" t="s">
        <v>2151</v>
      </c>
      <c r="C416" s="720">
        <v>25423</v>
      </c>
      <c r="D416" s="720">
        <v>5191</v>
      </c>
      <c r="E416" s="720">
        <v>30614</v>
      </c>
      <c r="F416" s="718" t="s">
        <v>2015</v>
      </c>
      <c r="G416" s="718" t="s">
        <v>1012</v>
      </c>
      <c r="H416" s="673"/>
      <c r="I416" s="672"/>
      <c r="J416" s="672"/>
      <c r="K416" s="672"/>
      <c r="L416" s="149" t="str">
        <f t="shared" si="30"/>
        <v>654A</v>
      </c>
      <c r="M416" s="150" t="str">
        <f t="shared" si="31"/>
        <v>C/V - CONT ENTRET USAGE BMW NON-CERT</v>
      </c>
      <c r="N416" s="151">
        <f>+IF(OR($Q416=Parametres!$G$2,$Q416=Parametres!$G$3),I416,C416)</f>
        <v>25423</v>
      </c>
      <c r="O416" s="151">
        <f>+IF(OR($Q416=Parametres!$G$2,$Q416=Parametres!$G$3),J416,D416)</f>
        <v>5191</v>
      </c>
      <c r="P416" s="151">
        <f>+IF(OR($Q416=Parametres!$G$2,$Q416=Parametres!$G$3),K416,E416)</f>
        <v>30614</v>
      </c>
      <c r="Q416" s="150" t="str">
        <f t="shared" si="32"/>
        <v>6-Coût des ventes</v>
      </c>
      <c r="R416" s="149" t="str">
        <f t="shared" si="33"/>
        <v>450</v>
      </c>
      <c r="S416" s="150">
        <f t="shared" si="34"/>
        <v>0</v>
      </c>
      <c r="T416" s="152" t="str">
        <f>+VLOOKUP($L416,Data_Validation!$A:$D,1,0)</f>
        <v>654A</v>
      </c>
      <c r="U416" s="152" t="str">
        <f>+VLOOKUP($L416,Data_Validation!$A:$D,3,0)</f>
        <v>Véhicules usagés</v>
      </c>
      <c r="V416" s="152" t="str">
        <f>+VLOOKUP($L416,Data_Validation!$A:$D,4,0)</f>
        <v>Rev. Protections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1725</v>
      </c>
      <c r="B417" s="718" t="s">
        <v>923</v>
      </c>
      <c r="C417" s="719">
        <v>25907.65</v>
      </c>
      <c r="D417" s="719">
        <v>4062.71</v>
      </c>
      <c r="E417" s="719">
        <v>29970.36</v>
      </c>
      <c r="F417" s="718" t="s">
        <v>2015</v>
      </c>
      <c r="G417" s="718" t="s">
        <v>1139</v>
      </c>
      <c r="H417" s="719"/>
      <c r="I417" s="720"/>
      <c r="J417" s="720"/>
      <c r="K417" s="720"/>
      <c r="L417" s="149" t="str">
        <f t="shared" si="30"/>
        <v>662B</v>
      </c>
      <c r="M417" s="150" t="str">
        <f t="shared" si="31"/>
        <v>C/V - M/O INTERNE BMW CAMION</v>
      </c>
      <c r="N417" s="151">
        <f>+IF(OR($Q417=Parametres!$G$2,$Q417=Parametres!$G$3),I417,C417)</f>
        <v>25907.65</v>
      </c>
      <c r="O417" s="151">
        <f>+IF(OR($Q417=Parametres!$G$2,$Q417=Parametres!$G$3),J417,D417)</f>
        <v>4062.71</v>
      </c>
      <c r="P417" s="151">
        <f>+IF(OR($Q417=Parametres!$G$2,$Q417=Parametres!$G$3),K417,E417)</f>
        <v>29970.36</v>
      </c>
      <c r="Q417" s="150" t="str">
        <f t="shared" si="32"/>
        <v>6-Coût des ventes</v>
      </c>
      <c r="R417" s="149" t="str">
        <f t="shared" si="33"/>
        <v>462A</v>
      </c>
      <c r="S417" s="150">
        <f t="shared" si="34"/>
        <v>0</v>
      </c>
      <c r="T417" s="152" t="str">
        <f>+VLOOKUP($L417,Data_Validation!$A:$D,1,0)</f>
        <v>662B</v>
      </c>
      <c r="U417" s="152" t="str">
        <f>+VLOOKUP($L417,Data_Validation!$A:$D,3,0)</f>
        <v>service</v>
      </c>
      <c r="V417" s="152" t="str">
        <f>+VLOOKUP($L417,Data_Validation!$A:$D,4,0)</f>
        <v>M/O Interne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1431</v>
      </c>
      <c r="B418" s="718" t="s">
        <v>1432</v>
      </c>
      <c r="C418" s="719">
        <v>28872.95</v>
      </c>
      <c r="D418" s="719">
        <v>4129.95</v>
      </c>
      <c r="E418" s="719">
        <v>33002.9</v>
      </c>
      <c r="F418" s="718" t="s">
        <v>2015</v>
      </c>
      <c r="G418" s="718" t="s">
        <v>625</v>
      </c>
      <c r="H418" s="719"/>
      <c r="I418" s="720"/>
      <c r="J418" s="720"/>
      <c r="K418" s="720"/>
      <c r="L418" s="149" t="str">
        <f t="shared" si="30"/>
        <v>630C</v>
      </c>
      <c r="M418" s="150" t="str">
        <f t="shared" si="31"/>
        <v>C/V - ACCESSOIRES NEUF BMW AUTO</v>
      </c>
      <c r="N418" s="151">
        <f>+IF(OR($Q418=Parametres!$G$2,$Q418=Parametres!$G$3),I418,C418)</f>
        <v>28872.95</v>
      </c>
      <c r="O418" s="151">
        <f>+IF(OR($Q418=Parametres!$G$2,$Q418=Parametres!$G$3),J418,D418)</f>
        <v>4129.95</v>
      </c>
      <c r="P418" s="151">
        <f>+IF(OR($Q418=Parametres!$G$2,$Q418=Parametres!$G$3),K418,E418)</f>
        <v>33002.9</v>
      </c>
      <c r="Q418" s="150" t="str">
        <f t="shared" si="32"/>
        <v>6-Coût des ventes</v>
      </c>
      <c r="R418" s="149" t="str">
        <f t="shared" si="33"/>
        <v>430</v>
      </c>
      <c r="S418" s="150">
        <f t="shared" si="34"/>
        <v>0</v>
      </c>
      <c r="T418" s="152" t="str">
        <f>+VLOOKUP($L418,Data_Validation!$A:$D,1,0)</f>
        <v>630C</v>
      </c>
      <c r="U418" s="152" t="str">
        <f>+VLOOKUP($L418,Data_Validation!$A:$D,3,0)</f>
        <v>Véhicules neufs</v>
      </c>
      <c r="V418" s="152" t="str">
        <f>+VLOOKUP($L418,Data_Validation!$A:$D,4,0)</f>
        <v>Rev. Autres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1785</v>
      </c>
      <c r="B419" s="718" t="s">
        <v>912</v>
      </c>
      <c r="C419" s="720">
        <v>31508.87</v>
      </c>
      <c r="D419" s="720">
        <v>3178.4</v>
      </c>
      <c r="E419" s="720">
        <v>34687.269999999997</v>
      </c>
      <c r="F419" s="718" t="s">
        <v>2015</v>
      </c>
      <c r="G419" s="718" t="s">
        <v>1110</v>
      </c>
      <c r="H419" s="673"/>
      <c r="I419" s="672"/>
      <c r="J419" s="672"/>
      <c r="K419" s="672"/>
      <c r="L419" s="149" t="str">
        <f t="shared" si="30"/>
        <v>661B</v>
      </c>
      <c r="M419" s="150" t="str">
        <f t="shared" si="31"/>
        <v>C/V - M/O GARANTIE BMW CAMION</v>
      </c>
      <c r="N419" s="151">
        <f>+IF(OR($Q419=Parametres!$G$2,$Q419=Parametres!$G$3),I419,C419)</f>
        <v>31508.87</v>
      </c>
      <c r="O419" s="151">
        <f>+IF(OR($Q419=Parametres!$G$2,$Q419=Parametres!$G$3),J419,D419)</f>
        <v>3178.4</v>
      </c>
      <c r="P419" s="151">
        <f>+IF(OR($Q419=Parametres!$G$2,$Q419=Parametres!$G$3),K419,E419)</f>
        <v>34687.269999999997</v>
      </c>
      <c r="Q419" s="150" t="str">
        <f t="shared" si="32"/>
        <v>6-Coût des ventes</v>
      </c>
      <c r="R419" s="149" t="str">
        <f t="shared" si="33"/>
        <v>461A</v>
      </c>
      <c r="S419" s="150">
        <f t="shared" si="34"/>
        <v>0</v>
      </c>
      <c r="T419" s="152" t="str">
        <f>+VLOOKUP($L419,Data_Validation!$A:$D,1,0)</f>
        <v>661B</v>
      </c>
      <c r="U419" s="152" t="str">
        <f>+VLOOKUP($L419,Data_Validation!$A:$D,3,0)</f>
        <v>service</v>
      </c>
      <c r="V419" s="152" t="str">
        <f>+VLOOKUP($L419,Data_Validation!$A:$D,4,0)</f>
        <v>M/O Garantie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1763</v>
      </c>
      <c r="B420" s="718" t="s">
        <v>927</v>
      </c>
      <c r="C420" s="720">
        <v>32125.91</v>
      </c>
      <c r="D420" s="720">
        <v>3986.41</v>
      </c>
      <c r="E420" s="720">
        <v>36112.32</v>
      </c>
      <c r="F420" s="718" t="s">
        <v>2015</v>
      </c>
      <c r="G420" s="718" t="s">
        <v>445</v>
      </c>
      <c r="H420" s="673"/>
      <c r="I420" s="672"/>
      <c r="J420" s="672"/>
      <c r="K420" s="672"/>
      <c r="L420" s="149" t="str">
        <f t="shared" si="30"/>
        <v>689A</v>
      </c>
      <c r="M420" s="150" t="str">
        <f t="shared" si="31"/>
        <v>C/V - HUILES &amp; GRAISSES</v>
      </c>
      <c r="N420" s="151">
        <f>+IF(OR($Q420=Parametres!$G$2,$Q420=Parametres!$G$3),I420,C420)</f>
        <v>32125.91</v>
      </c>
      <c r="O420" s="151">
        <f>+IF(OR($Q420=Parametres!$G$2,$Q420=Parametres!$G$3),J420,D420)</f>
        <v>3986.41</v>
      </c>
      <c r="P420" s="151">
        <f>+IF(OR($Q420=Parametres!$G$2,$Q420=Parametres!$G$3),K420,E420)</f>
        <v>36112.32</v>
      </c>
      <c r="Q420" s="150" t="str">
        <f t="shared" si="32"/>
        <v>6-Coût des ventes</v>
      </c>
      <c r="R420" s="149" t="str">
        <f t="shared" si="33"/>
        <v>489A</v>
      </c>
      <c r="S420" s="150">
        <f t="shared" si="34"/>
        <v>0</v>
      </c>
      <c r="T420" s="152" t="str">
        <f>+VLOOKUP($L420,Data_Validation!$A:$D,1,0)</f>
        <v>689A</v>
      </c>
      <c r="U420" s="152" t="str">
        <f>+VLOOKUP($L420,Data_Validation!$A:$D,3,0)</f>
        <v>pièces</v>
      </c>
      <c r="V420" s="152" t="str">
        <f>+VLOOKUP($L420,Data_Validation!$A:$D,4,0)</f>
        <v>Huiles et Graisse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1759</v>
      </c>
      <c r="B421" s="718" t="s">
        <v>845</v>
      </c>
      <c r="C421" s="719">
        <v>36150.300000000003</v>
      </c>
      <c r="D421" s="719">
        <v>4674.5200000000004</v>
      </c>
      <c r="E421" s="719">
        <v>40824.82</v>
      </c>
      <c r="F421" s="718" t="s">
        <v>2015</v>
      </c>
      <c r="G421" s="718" t="s">
        <v>434</v>
      </c>
      <c r="H421" s="719"/>
      <c r="I421" s="720"/>
      <c r="J421" s="720"/>
      <c r="K421" s="720"/>
      <c r="L421" s="149" t="str">
        <f t="shared" si="30"/>
        <v>672E</v>
      </c>
      <c r="M421" s="150" t="str">
        <f t="shared" si="31"/>
        <v>C/V - PIECES ENTRETIEN BMW CAMION</v>
      </c>
      <c r="N421" s="151">
        <f>+IF(OR($Q421=Parametres!$G$2,$Q421=Parametres!$G$3),I421,C421)</f>
        <v>36150.300000000003</v>
      </c>
      <c r="O421" s="151">
        <f>+IF(OR($Q421=Parametres!$G$2,$Q421=Parametres!$G$3),J421,D421)</f>
        <v>4674.5200000000004</v>
      </c>
      <c r="P421" s="151">
        <f>+IF(OR($Q421=Parametres!$G$2,$Q421=Parametres!$G$3),K421,E421)</f>
        <v>40824.82</v>
      </c>
      <c r="Q421" s="150" t="str">
        <f t="shared" si="32"/>
        <v>6-Coût des ventes</v>
      </c>
      <c r="R421" s="149" t="str">
        <f t="shared" si="33"/>
        <v>472D</v>
      </c>
      <c r="S421" s="150">
        <f t="shared" si="34"/>
        <v>0</v>
      </c>
      <c r="T421" s="152" t="str">
        <f>+VLOOKUP($L421,Data_Validation!$A:$D,1,0)</f>
        <v>672E</v>
      </c>
      <c r="U421" s="152" t="str">
        <f>+VLOOKUP($L421,Data_Validation!$A:$D,3,0)</f>
        <v>pièces</v>
      </c>
      <c r="V421" s="152" t="str">
        <f>+VLOOKUP($L421,Data_Validation!$A:$D,4,0)</f>
        <v>P/A Garantie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1798</v>
      </c>
      <c r="B422" s="718" t="s">
        <v>909</v>
      </c>
      <c r="C422" s="720">
        <v>37040.699999999997</v>
      </c>
      <c r="D422" s="720">
        <v>9550.2199999999993</v>
      </c>
      <c r="E422" s="720">
        <v>46590.92</v>
      </c>
      <c r="F422" s="718" t="s">
        <v>2015</v>
      </c>
      <c r="G422" s="718" t="s">
        <v>1132</v>
      </c>
      <c r="H422" s="673"/>
      <c r="I422" s="672"/>
      <c r="J422" s="672"/>
      <c r="K422" s="672"/>
      <c r="L422" s="149" t="str">
        <f t="shared" si="30"/>
        <v>673B</v>
      </c>
      <c r="M422" s="150" t="str">
        <f t="shared" si="31"/>
        <v>C/V - PIECES INTERNE BMW CAMION</v>
      </c>
      <c r="N422" s="151">
        <f>+IF(OR($Q422=Parametres!$G$2,$Q422=Parametres!$G$3),I422,C422)</f>
        <v>37040.699999999997</v>
      </c>
      <c r="O422" s="504">
        <f>+IF(OR($Q422=Parametres!$G$2,$Q422=Parametres!$G$3),J422,D422)</f>
        <v>9550.2199999999993</v>
      </c>
      <c r="P422" s="151">
        <f>+IF(OR($Q422=Parametres!$G$2,$Q422=Parametres!$G$3),K422,E422)</f>
        <v>46590.92</v>
      </c>
      <c r="Q422" s="150" t="str">
        <f t="shared" si="32"/>
        <v>6-Coût des ventes</v>
      </c>
      <c r="R422" s="149" t="str">
        <f t="shared" si="33"/>
        <v>473A</v>
      </c>
      <c r="S422" s="150">
        <f t="shared" si="34"/>
        <v>0</v>
      </c>
      <c r="T422" s="152" t="str">
        <f>+VLOOKUP($L422,Data_Validation!$A:$D,1,0)</f>
        <v>673B</v>
      </c>
      <c r="U422" s="152" t="str">
        <f>+VLOOKUP($L422,Data_Validation!$A:$D,3,0)</f>
        <v>pièces</v>
      </c>
      <c r="V422" s="152" t="str">
        <f>+VLOOKUP($L422,Data_Validation!$A:$D,4,0)</f>
        <v>Ventes Internes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1751</v>
      </c>
      <c r="B423" s="718" t="s">
        <v>1752</v>
      </c>
      <c r="C423" s="720">
        <v>39275.99</v>
      </c>
      <c r="D423" s="720">
        <v>4911.83</v>
      </c>
      <c r="E423" s="720">
        <v>44187.82</v>
      </c>
      <c r="F423" s="718" t="s">
        <v>2015</v>
      </c>
      <c r="G423" s="718" t="s">
        <v>445</v>
      </c>
      <c r="H423" s="673"/>
      <c r="I423" s="672"/>
      <c r="J423" s="672"/>
      <c r="K423" s="672"/>
      <c r="L423" s="149" t="str">
        <f t="shared" si="30"/>
        <v>689B</v>
      </c>
      <c r="M423" s="150" t="str">
        <f t="shared" si="31"/>
        <v>C/V - HUILE &amp; GRAISSE</v>
      </c>
      <c r="N423" s="151">
        <f>+IF(OR($Q423=Parametres!$G$2,$Q423=Parametres!$G$3),I423,C423)</f>
        <v>39275.99</v>
      </c>
      <c r="O423" s="151">
        <f>+IF(OR($Q423=Parametres!$G$2,$Q423=Parametres!$G$3),J423,D423)</f>
        <v>4911.83</v>
      </c>
      <c r="P423" s="151">
        <f>+IF(OR($Q423=Parametres!$G$2,$Q423=Parametres!$G$3),K423,E423)</f>
        <v>44187.82</v>
      </c>
      <c r="Q423" s="150" t="str">
        <f t="shared" si="32"/>
        <v>6-Coût des ventes</v>
      </c>
      <c r="R423" s="149" t="str">
        <f t="shared" si="33"/>
        <v>489A</v>
      </c>
      <c r="S423" s="150">
        <f t="shared" si="34"/>
        <v>0</v>
      </c>
      <c r="T423" s="152" t="str">
        <f>+VLOOKUP($L423,Data_Validation!$A:$D,1,0)</f>
        <v>689B</v>
      </c>
      <c r="U423" s="152" t="str">
        <f>+VLOOKUP($L423,Data_Validation!$A:$D,3,0)</f>
        <v>pièces</v>
      </c>
      <c r="V423" s="152" t="str">
        <f>+VLOOKUP($L423,Data_Validation!$A:$D,4,0)</f>
        <v>Huiles et Graisse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2181</v>
      </c>
      <c r="B424" s="718" t="s">
        <v>2182</v>
      </c>
      <c r="C424" s="720">
        <v>42925.98</v>
      </c>
      <c r="D424" s="720">
        <v>5507</v>
      </c>
      <c r="E424" s="720">
        <v>48432.98</v>
      </c>
      <c r="F424" s="718" t="s">
        <v>2015</v>
      </c>
      <c r="G424" s="718" t="s">
        <v>1139</v>
      </c>
      <c r="H424" s="673"/>
      <c r="I424" s="672"/>
      <c r="J424" s="672"/>
      <c r="K424" s="672"/>
      <c r="L424" s="149" t="str">
        <f t="shared" si="30"/>
        <v>662M</v>
      </c>
      <c r="M424" s="150" t="str">
        <f t="shared" si="31"/>
        <v>C/V - SUBLET INTERNE CAMION</v>
      </c>
      <c r="N424" s="151">
        <f>+IF(OR($Q424=Parametres!$G$2,$Q424=Parametres!$G$3),I424,C424)</f>
        <v>42925.98</v>
      </c>
      <c r="O424" s="151">
        <f>+IF(OR($Q424=Parametres!$G$2,$Q424=Parametres!$G$3),J424,D424)</f>
        <v>5507</v>
      </c>
      <c r="P424" s="151">
        <f>+IF(OR($Q424=Parametres!$G$2,$Q424=Parametres!$G$3),K424,E424)</f>
        <v>48432.98</v>
      </c>
      <c r="Q424" s="150" t="str">
        <f t="shared" si="32"/>
        <v>6-Coût des ventes</v>
      </c>
      <c r="R424" s="149" t="str">
        <f t="shared" si="33"/>
        <v>462A</v>
      </c>
      <c r="S424" s="150">
        <f t="shared" si="34"/>
        <v>0</v>
      </c>
      <c r="T424" s="152" t="str">
        <f>+VLOOKUP($L424,Data_Validation!$A:$D,1,0)</f>
        <v>662M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1416</v>
      </c>
      <c r="B425" s="718" t="s">
        <v>645</v>
      </c>
      <c r="C425" s="719">
        <v>44968.42</v>
      </c>
      <c r="D425" s="719">
        <v>0</v>
      </c>
      <c r="E425" s="719">
        <v>44968.42</v>
      </c>
      <c r="F425" s="718" t="s">
        <v>2015</v>
      </c>
      <c r="G425" s="718" t="s">
        <v>608</v>
      </c>
      <c r="H425" s="719"/>
      <c r="I425" s="720"/>
      <c r="J425" s="720"/>
      <c r="K425" s="720"/>
      <c r="L425" s="149" t="str">
        <f t="shared" si="30"/>
        <v>606D</v>
      </c>
      <c r="M425" s="150" t="str">
        <f t="shared" si="31"/>
        <v>C/V - 230I XDR OCUPE</v>
      </c>
      <c r="N425" s="151">
        <f>+IF(OR($Q425=Parametres!$G$2,$Q425=Parametres!$G$3),I425,C425)</f>
        <v>44968.42</v>
      </c>
      <c r="O425" s="151">
        <f>+IF(OR($Q425=Parametres!$G$2,$Q425=Parametres!$G$3),J425,D425)</f>
        <v>0</v>
      </c>
      <c r="P425" s="151">
        <f>+IF(OR($Q425=Parametres!$G$2,$Q425=Parametres!$G$3),K425,E425)</f>
        <v>44968.42</v>
      </c>
      <c r="Q425" s="150" t="str">
        <f t="shared" si="32"/>
        <v>6-Coût des ventes</v>
      </c>
      <c r="R425" s="149" t="str">
        <f t="shared" si="33"/>
        <v>406D</v>
      </c>
      <c r="S425" s="150">
        <f t="shared" si="34"/>
        <v>0</v>
      </c>
      <c r="T425" s="152" t="str">
        <f>+VLOOKUP($L425,Data_Validation!$A:$D,1,0)</f>
        <v>606D</v>
      </c>
      <c r="U425" s="152" t="str">
        <f>+VLOOKUP($L425,Data_Validation!$A:$D,3,0)</f>
        <v>Véhicules neufs</v>
      </c>
      <c r="V425" s="152" t="str">
        <f>+VLOOKUP($L425,Data_Validation!$A:$D,4,0)</f>
        <v>Autos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1738</v>
      </c>
      <c r="B426" s="718" t="s">
        <v>666</v>
      </c>
      <c r="C426" s="720">
        <v>45054.07</v>
      </c>
      <c r="D426" s="720">
        <v>4087.35</v>
      </c>
      <c r="E426" s="720">
        <v>49141.42</v>
      </c>
      <c r="F426" s="718" t="s">
        <v>2015</v>
      </c>
      <c r="G426" s="718" t="s">
        <v>384</v>
      </c>
      <c r="H426" s="673"/>
      <c r="I426" s="673"/>
      <c r="J426" s="673"/>
      <c r="K426" s="673"/>
      <c r="L426" s="149" t="str">
        <f t="shared" si="30"/>
        <v>643</v>
      </c>
      <c r="M426" s="150" t="str">
        <f t="shared" si="31"/>
        <v>C/V - RECOND. AUTRES</v>
      </c>
      <c r="N426" s="151">
        <f>+IF(OR($Q426=Parametres!$G$2,$Q426=Parametres!$G$3),I426,C426)</f>
        <v>45054.07</v>
      </c>
      <c r="O426" s="151">
        <f>+IF(OR($Q426=Parametres!$G$2,$Q426=Parametres!$G$3),J426,D426)</f>
        <v>4087.35</v>
      </c>
      <c r="P426" s="151">
        <f>+IF(OR($Q426=Parametres!$G$2,$Q426=Parametres!$G$3),K426,E426)</f>
        <v>49141.42</v>
      </c>
      <c r="Q426" s="150" t="str">
        <f t="shared" si="32"/>
        <v>6-Coût des ventes</v>
      </c>
      <c r="R426" s="149" t="str">
        <f t="shared" si="33"/>
        <v>442</v>
      </c>
      <c r="S426" s="150">
        <f t="shared" si="34"/>
        <v>0</v>
      </c>
      <c r="T426" s="152" t="str">
        <f>+VLOOKUP($L426,Data_Validation!$A:$D,1,0)</f>
        <v>643</v>
      </c>
      <c r="U426" s="152" t="str">
        <f>+VLOOKUP($L426,Data_Validation!$A:$D,3,0)</f>
        <v>Véhicules usagés</v>
      </c>
      <c r="V426" s="152" t="str">
        <f>+VLOOKUP($L426,Data_Validation!$A:$D,4,0)</f>
        <v>Autres marques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2179</v>
      </c>
      <c r="B427" s="718" t="s">
        <v>2180</v>
      </c>
      <c r="C427" s="720">
        <v>46791.77</v>
      </c>
      <c r="D427" s="720">
        <v>3683.01</v>
      </c>
      <c r="E427" s="720">
        <v>50474.78</v>
      </c>
      <c r="F427" s="718" t="s">
        <v>2015</v>
      </c>
      <c r="G427" s="718" t="s">
        <v>1139</v>
      </c>
      <c r="H427" s="673"/>
      <c r="I427" s="672"/>
      <c r="J427" s="672"/>
      <c r="K427" s="672"/>
      <c r="L427" s="149" t="str">
        <f t="shared" si="30"/>
        <v>662L</v>
      </c>
      <c r="M427" s="150" t="str">
        <f t="shared" si="31"/>
        <v>C/V - SUBLET INTERNE AUTO</v>
      </c>
      <c r="N427" s="151">
        <f>+IF(OR($Q427=Parametres!$G$2,$Q427=Parametres!$G$3),I427,C427)</f>
        <v>46791.77</v>
      </c>
      <c r="O427" s="151">
        <f>+IF(OR($Q427=Parametres!$G$2,$Q427=Parametres!$G$3),J427,D427)</f>
        <v>3683.01</v>
      </c>
      <c r="P427" s="151">
        <f>+IF(OR($Q427=Parametres!$G$2,$Q427=Parametres!$G$3),K427,E427)</f>
        <v>50474.78</v>
      </c>
      <c r="Q427" s="150" t="str">
        <f t="shared" si="32"/>
        <v>6-Coût des ventes</v>
      </c>
      <c r="R427" s="149" t="str">
        <f t="shared" si="33"/>
        <v>462A</v>
      </c>
      <c r="S427" s="150">
        <f t="shared" si="34"/>
        <v>0</v>
      </c>
      <c r="T427" s="152" t="str">
        <f>+VLOOKUP($L427,Data_Validation!$A:$D,1,0)</f>
        <v>662L</v>
      </c>
      <c r="U427" s="152" t="str">
        <f>+VLOOKUP($L427,Data_Validation!$A:$D,3,0)</f>
        <v>Service</v>
      </c>
      <c r="V427" s="152" t="str">
        <f>+VLOOKUP($L427,Data_Validation!$A:$D,4,0)</f>
        <v>M/O Interne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1436</v>
      </c>
      <c r="B428" s="718" t="s">
        <v>935</v>
      </c>
      <c r="C428" s="719">
        <v>52062.6</v>
      </c>
      <c r="D428" s="719">
        <v>2386.08</v>
      </c>
      <c r="E428" s="719">
        <v>54448.68</v>
      </c>
      <c r="F428" s="718" t="s">
        <v>2015</v>
      </c>
      <c r="G428" s="718" t="s">
        <v>416</v>
      </c>
      <c r="H428" s="719"/>
      <c r="I428" s="720"/>
      <c r="J428" s="720"/>
      <c r="K428" s="720"/>
      <c r="L428" s="149" t="str">
        <f t="shared" si="30"/>
        <v>641B</v>
      </c>
      <c r="M428" s="150" t="str">
        <f t="shared" si="31"/>
        <v>C/V - RECOND. BMW AUTO NON-CERT</v>
      </c>
      <c r="N428" s="151">
        <f>+IF(OR($Q428=Parametres!$G$2,$Q428=Parametres!$G$3),I428,C428)</f>
        <v>52062.6</v>
      </c>
      <c r="O428" s="151">
        <f>+IF(OR($Q428=Parametres!$G$2,$Q428=Parametres!$G$3),J428,D428)</f>
        <v>2386.08</v>
      </c>
      <c r="P428" s="151">
        <f>+IF(OR($Q428=Parametres!$G$2,$Q428=Parametres!$G$3),K428,E428)</f>
        <v>54448.68</v>
      </c>
      <c r="Q428" s="150" t="str">
        <f t="shared" si="32"/>
        <v>6-Coût des ventes</v>
      </c>
      <c r="R428" s="149" t="str">
        <f t="shared" si="33"/>
        <v>440B</v>
      </c>
      <c r="S428" s="150">
        <f t="shared" si="34"/>
        <v>0</v>
      </c>
      <c r="T428" s="152" t="str">
        <f>+VLOOKUP($L428,Data_Validation!$A:$D,1,0)</f>
        <v>641B</v>
      </c>
      <c r="U428" s="152" t="str">
        <f>+VLOOKUP($L428,Data_Validation!$A:$D,3,0)</f>
        <v>Véhicules usagés</v>
      </c>
      <c r="V428" s="152" t="str">
        <f>+VLOOKUP($L428,Data_Validation!$A:$D,4,0)</f>
        <v>Non Certifié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1746</v>
      </c>
      <c r="B429" s="718" t="s">
        <v>1747</v>
      </c>
      <c r="C429" s="720">
        <v>54660.71</v>
      </c>
      <c r="D429" s="720">
        <v>8776.69</v>
      </c>
      <c r="E429" s="720">
        <v>63437.4</v>
      </c>
      <c r="F429" s="718" t="s">
        <v>2015</v>
      </c>
      <c r="G429" s="718" t="s">
        <v>1116</v>
      </c>
      <c r="H429" s="673"/>
      <c r="I429" s="672"/>
      <c r="J429" s="672"/>
      <c r="K429" s="672"/>
      <c r="L429" s="149" t="str">
        <f t="shared" si="30"/>
        <v>660A</v>
      </c>
      <c r="M429" s="150" t="str">
        <f t="shared" si="31"/>
        <v>C/V - M/O CLIENT BMW AUTO</v>
      </c>
      <c r="N429" s="151">
        <f>+IF(OR($Q429=Parametres!$G$2,$Q429=Parametres!$G$3),I429,C429)</f>
        <v>54660.71</v>
      </c>
      <c r="O429" s="151">
        <f>+IF(OR($Q429=Parametres!$G$2,$Q429=Parametres!$G$3),J429,D429)</f>
        <v>8776.69</v>
      </c>
      <c r="P429" s="151">
        <f>+IF(OR($Q429=Parametres!$G$2,$Q429=Parametres!$G$3),K429,E429)</f>
        <v>63437.4</v>
      </c>
      <c r="Q429" s="150" t="str">
        <f t="shared" si="32"/>
        <v>6-Coût des ventes</v>
      </c>
      <c r="R429" s="149" t="str">
        <f t="shared" si="33"/>
        <v>460A</v>
      </c>
      <c r="S429" s="150">
        <f t="shared" si="34"/>
        <v>0</v>
      </c>
      <c r="T429" s="152" t="str">
        <f>+VLOOKUP($L429,Data_Validation!$A:$D,1,0)</f>
        <v>660A</v>
      </c>
      <c r="U429" s="152" t="str">
        <f>+VLOOKUP($L429,Data_Validation!$A:$D,3,0)</f>
        <v>service</v>
      </c>
      <c r="V429" s="152" t="str">
        <f>+VLOOKUP($L429,Data_Validation!$A:$D,4,0)</f>
        <v>M/O Client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1733</v>
      </c>
      <c r="B430" s="718" t="s">
        <v>917</v>
      </c>
      <c r="C430" s="719">
        <v>59855.07</v>
      </c>
      <c r="D430" s="719">
        <v>479.95</v>
      </c>
      <c r="E430" s="719">
        <v>60335.02</v>
      </c>
      <c r="F430" s="718" t="s">
        <v>2015</v>
      </c>
      <c r="G430" s="718" t="s">
        <v>404</v>
      </c>
      <c r="H430" s="719"/>
      <c r="I430" s="720"/>
      <c r="J430" s="720"/>
      <c r="K430" s="720"/>
      <c r="L430" s="149" t="str">
        <f t="shared" si="30"/>
        <v>648B</v>
      </c>
      <c r="M430" s="150" t="str">
        <f t="shared" si="31"/>
        <v>C/V - RECOND. BMW CAMION NON-CERT</v>
      </c>
      <c r="N430" s="151">
        <f>+IF(OR($Q430=Parametres!$G$2,$Q430=Parametres!$G$3),I430,C430)</f>
        <v>59855.07</v>
      </c>
      <c r="O430" s="151">
        <f>+IF(OR($Q430=Parametres!$G$2,$Q430=Parametres!$G$3),J430,D430)</f>
        <v>479.95</v>
      </c>
      <c r="P430" s="151">
        <f>+IF(OR($Q430=Parametres!$G$2,$Q430=Parametres!$G$3),K430,E430)</f>
        <v>60335.02</v>
      </c>
      <c r="Q430" s="150" t="str">
        <f t="shared" si="32"/>
        <v>6-Coût des ventes</v>
      </c>
      <c r="R430" s="149" t="str">
        <f t="shared" si="33"/>
        <v>446B</v>
      </c>
      <c r="S430" s="150">
        <f t="shared" si="34"/>
        <v>0</v>
      </c>
      <c r="T430" s="152" t="str">
        <f>+VLOOKUP($L430,Data_Validation!$A:$D,1,0)</f>
        <v>648B</v>
      </c>
      <c r="U430" s="152" t="str">
        <f>+VLOOKUP($L430,Data_Validation!$A:$D,3,0)</f>
        <v>Véhicules usagés</v>
      </c>
      <c r="V430" s="152" t="str">
        <f>+VLOOKUP($L430,Data_Validation!$A:$D,4,0)</f>
        <v>Non Certifié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1735</v>
      </c>
      <c r="B431" s="718" t="s">
        <v>967</v>
      </c>
      <c r="C431" s="720">
        <v>61017.120000000003</v>
      </c>
      <c r="D431" s="720">
        <v>11132.85</v>
      </c>
      <c r="E431" s="720">
        <v>72149.97</v>
      </c>
      <c r="F431" s="718" t="s">
        <v>2015</v>
      </c>
      <c r="G431" s="718" t="s">
        <v>1116</v>
      </c>
      <c r="H431" s="719"/>
      <c r="I431" s="719"/>
      <c r="J431" s="719"/>
      <c r="K431" s="719"/>
      <c r="L431" s="149" t="str">
        <f t="shared" si="30"/>
        <v>660B</v>
      </c>
      <c r="M431" s="150" t="str">
        <f t="shared" si="31"/>
        <v>C/V - M/O CLIENT BMW CAMION</v>
      </c>
      <c r="N431" s="151">
        <f>+IF(OR($Q431=Parametres!$G$2,$Q431=Parametres!$G$3),I431,C431)</f>
        <v>61017.120000000003</v>
      </c>
      <c r="O431" s="151">
        <f>+IF(OR($Q431=Parametres!$G$2,$Q431=Parametres!$G$3),J431,D431)</f>
        <v>11132.85</v>
      </c>
      <c r="P431" s="151">
        <f>+IF(OR($Q431=Parametres!$G$2,$Q431=Parametres!$G$3),K431,E431)</f>
        <v>72149.97</v>
      </c>
      <c r="Q431" s="150" t="str">
        <f t="shared" si="32"/>
        <v>6-Coût des ventes</v>
      </c>
      <c r="R431" s="149" t="str">
        <f t="shared" si="33"/>
        <v>460A</v>
      </c>
      <c r="S431" s="150">
        <f t="shared" si="34"/>
        <v>0</v>
      </c>
      <c r="T431" s="152" t="str">
        <f>+VLOOKUP($L431,Data_Validation!$A:$D,1,0)</f>
        <v>660B</v>
      </c>
      <c r="U431" s="152" t="str">
        <f>+VLOOKUP($L431,Data_Validation!$A:$D,3,0)</f>
        <v>service</v>
      </c>
      <c r="V431" s="152" t="str">
        <f>+VLOOKUP($L431,Data_Validation!$A:$D,4,0)</f>
        <v>M/O Client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1019</v>
      </c>
      <c r="B432" s="718" t="s">
        <v>649</v>
      </c>
      <c r="C432" s="720">
        <v>62923.61</v>
      </c>
      <c r="D432" s="720">
        <v>0</v>
      </c>
      <c r="E432" s="720">
        <v>62923.61</v>
      </c>
      <c r="F432" s="718" t="s">
        <v>2015</v>
      </c>
      <c r="G432" s="718" t="s">
        <v>612</v>
      </c>
      <c r="H432" s="673"/>
      <c r="I432" s="672"/>
      <c r="J432" s="672"/>
      <c r="K432" s="672"/>
      <c r="L432" s="149" t="str">
        <f t="shared" si="30"/>
        <v>611C</v>
      </c>
      <c r="M432" s="150" t="str">
        <f t="shared" si="31"/>
        <v>C/V - 330I XDRIVE SEDAN</v>
      </c>
      <c r="N432" s="151">
        <f>+IF(OR($Q432=Parametres!$G$2,$Q432=Parametres!$G$3),I432,C432)</f>
        <v>62923.61</v>
      </c>
      <c r="O432" s="151">
        <f>+IF(OR($Q432=Parametres!$G$2,$Q432=Parametres!$G$3),J432,D432)</f>
        <v>0</v>
      </c>
      <c r="P432" s="151">
        <f>+IF(OR($Q432=Parametres!$G$2,$Q432=Parametres!$G$3),K432,E432)</f>
        <v>62923.61</v>
      </c>
      <c r="Q432" s="150" t="str">
        <f t="shared" si="32"/>
        <v>6-Coût des ventes</v>
      </c>
      <c r="R432" s="149" t="str">
        <f t="shared" si="33"/>
        <v>411C</v>
      </c>
      <c r="S432" s="150">
        <f t="shared" si="34"/>
        <v>0</v>
      </c>
      <c r="T432" s="152" t="str">
        <f>+VLOOKUP($L432,Data_Validation!$A:$D,1,0)</f>
        <v>611C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1754</v>
      </c>
      <c r="B433" s="718" t="s">
        <v>1755</v>
      </c>
      <c r="C433" s="720">
        <v>63324.43</v>
      </c>
      <c r="D433" s="720">
        <v>8070.34</v>
      </c>
      <c r="E433" s="720">
        <v>71394.77</v>
      </c>
      <c r="F433" s="718" t="s">
        <v>2015</v>
      </c>
      <c r="G433" s="718" t="s">
        <v>1132</v>
      </c>
      <c r="H433" s="673"/>
      <c r="I433" s="672"/>
      <c r="J433" s="672"/>
      <c r="K433" s="672"/>
      <c r="L433" s="149" t="str">
        <f t="shared" si="30"/>
        <v>673A</v>
      </c>
      <c r="M433" s="150" t="str">
        <f t="shared" si="31"/>
        <v>C/V - PIECES INTERNE BMW AUTO</v>
      </c>
      <c r="N433" s="151">
        <f>+IF(OR($Q433=Parametres!$G$2,$Q433=Parametres!$G$3),I433,C433)</f>
        <v>63324.43</v>
      </c>
      <c r="O433" s="151">
        <f>+IF(OR($Q433=Parametres!$G$2,$Q433=Parametres!$G$3),J433,D433)</f>
        <v>8070.34</v>
      </c>
      <c r="P433" s="151">
        <f>+IF(OR($Q433=Parametres!$G$2,$Q433=Parametres!$G$3),K433,E433)</f>
        <v>71394.77</v>
      </c>
      <c r="Q433" s="150" t="str">
        <f t="shared" si="32"/>
        <v>6-Coût des ventes</v>
      </c>
      <c r="R433" s="149" t="str">
        <f t="shared" si="33"/>
        <v>473A</v>
      </c>
      <c r="S433" s="150">
        <f t="shared" si="34"/>
        <v>0</v>
      </c>
      <c r="T433" s="152" t="str">
        <f>+VLOOKUP($L433,Data_Validation!$A:$D,1,0)</f>
        <v>673A</v>
      </c>
      <c r="U433" s="152" t="str">
        <f>+VLOOKUP($L433,Data_Validation!$A:$D,3,0)</f>
        <v>pièces</v>
      </c>
      <c r="V433" s="152" t="str">
        <f>+VLOOKUP($L433,Data_Validation!$A:$D,4,0)</f>
        <v>Ventes Internes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1417</v>
      </c>
      <c r="B434" s="718" t="s">
        <v>647</v>
      </c>
      <c r="C434" s="719">
        <v>64976.959999999999</v>
      </c>
      <c r="D434" s="719">
        <v>0</v>
      </c>
      <c r="E434" s="719">
        <v>64976.959999999999</v>
      </c>
      <c r="F434" s="718" t="s">
        <v>2015</v>
      </c>
      <c r="G434" s="718" t="s">
        <v>610</v>
      </c>
      <c r="H434" s="719"/>
      <c r="I434" s="720"/>
      <c r="J434" s="720"/>
      <c r="K434" s="720"/>
      <c r="L434" s="149" t="str">
        <f t="shared" si="30"/>
        <v>606G</v>
      </c>
      <c r="M434" s="150" t="str">
        <f t="shared" si="31"/>
        <v>C/V - M240I XDRIVE COUPE</v>
      </c>
      <c r="N434" s="151">
        <f>+IF(OR($Q434=Parametres!$G$2,$Q434=Parametres!$G$3),I434,C434)</f>
        <v>64976.959999999999</v>
      </c>
      <c r="O434" s="151">
        <f>+IF(OR($Q434=Parametres!$G$2,$Q434=Parametres!$G$3),J434,D434)</f>
        <v>0</v>
      </c>
      <c r="P434" s="151">
        <f>+IF(OR($Q434=Parametres!$G$2,$Q434=Parametres!$G$3),K434,E434)</f>
        <v>64976.959999999999</v>
      </c>
      <c r="Q434" s="150" t="str">
        <f t="shared" si="32"/>
        <v>6-Coût des ventes</v>
      </c>
      <c r="R434" s="149" t="str">
        <f t="shared" si="33"/>
        <v>406G</v>
      </c>
      <c r="S434" s="150">
        <f t="shared" si="34"/>
        <v>0</v>
      </c>
      <c r="T434" s="152" t="str">
        <f>+VLOOKUP($L434,Data_Validation!$A:$D,1,0)</f>
        <v>606G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1866</v>
      </c>
      <c r="B435" s="718" t="s">
        <v>644</v>
      </c>
      <c r="C435" s="720">
        <v>65199.61</v>
      </c>
      <c r="D435" s="720">
        <v>77995.17</v>
      </c>
      <c r="E435" s="720">
        <v>143194.78</v>
      </c>
      <c r="F435" s="718" t="s">
        <v>2015</v>
      </c>
      <c r="G435" s="718" t="s">
        <v>607</v>
      </c>
      <c r="H435" s="673"/>
      <c r="I435" s="672"/>
      <c r="J435" s="672"/>
      <c r="K435" s="672"/>
      <c r="L435" s="149" t="str">
        <f t="shared" si="30"/>
        <v>605F</v>
      </c>
      <c r="M435" s="150" t="str">
        <f t="shared" si="31"/>
        <v>C/V - 440I XDRIVE GRAN COUPE</v>
      </c>
      <c r="N435" s="151">
        <f>+IF(OR($Q435=Parametres!$G$2,$Q435=Parametres!$G$3),I435,C435)</f>
        <v>65199.61</v>
      </c>
      <c r="O435" s="151">
        <f>+IF(OR($Q435=Parametres!$G$2,$Q435=Parametres!$G$3),J435,D435)</f>
        <v>77995.17</v>
      </c>
      <c r="P435" s="151">
        <f>+IF(OR($Q435=Parametres!$G$2,$Q435=Parametres!$G$3),K435,E435)</f>
        <v>143194.78</v>
      </c>
      <c r="Q435" s="150" t="str">
        <f t="shared" si="32"/>
        <v>6-Coût des ventes</v>
      </c>
      <c r="R435" s="149" t="str">
        <f t="shared" si="33"/>
        <v>405F</v>
      </c>
      <c r="S435" s="150">
        <f t="shared" si="34"/>
        <v>0</v>
      </c>
      <c r="T435" s="152" t="str">
        <f>+VLOOKUP($L435,Data_Validation!$A:$D,1,0)</f>
        <v>605F</v>
      </c>
      <c r="U435" s="152" t="str">
        <f>+VLOOKUP($L435,Data_Validation!$A:$D,3,0)</f>
        <v>Véhicules neufs</v>
      </c>
      <c r="V435" s="152" t="str">
        <f>+VLOOKUP($L435,Data_Validation!$A:$D,4,0)</f>
        <v>Autos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1034</v>
      </c>
      <c r="B436" s="718" t="s">
        <v>676</v>
      </c>
      <c r="C436" s="719">
        <v>68464.259999999995</v>
      </c>
      <c r="D436" s="719">
        <v>22512.32</v>
      </c>
      <c r="E436" s="719">
        <v>90976.58</v>
      </c>
      <c r="F436" s="718" t="s">
        <v>2015</v>
      </c>
      <c r="G436" s="718" t="s">
        <v>1096</v>
      </c>
      <c r="H436" s="719"/>
      <c r="I436" s="720"/>
      <c r="J436" s="720"/>
      <c r="K436" s="720"/>
      <c r="L436" s="149" t="str">
        <f t="shared" si="30"/>
        <v>672H</v>
      </c>
      <c r="M436" s="150" t="str">
        <f t="shared" si="31"/>
        <v>C/V - PIECES GARANTIE BMW I</v>
      </c>
      <c r="N436" s="151">
        <f>+IF(OR($Q436=Parametres!$G$2,$Q436=Parametres!$G$3),I436,C436)</f>
        <v>68464.259999999995</v>
      </c>
      <c r="O436" s="151">
        <f>+IF(OR($Q436=Parametres!$G$2,$Q436=Parametres!$G$3),J436,D436)</f>
        <v>22512.32</v>
      </c>
      <c r="P436" s="151">
        <f>+IF(OR($Q436=Parametres!$G$2,$Q436=Parametres!$G$3),K436,E436)</f>
        <v>90976.58</v>
      </c>
      <c r="Q436" s="150" t="str">
        <f t="shared" si="32"/>
        <v>6-Coût des ventes</v>
      </c>
      <c r="R436" s="149" t="str">
        <f t="shared" si="33"/>
        <v>472A</v>
      </c>
      <c r="S436" s="150">
        <f t="shared" si="34"/>
        <v>0</v>
      </c>
      <c r="T436" s="152" t="str">
        <f>+VLOOKUP($L436,Data_Validation!$A:$D,1,0)</f>
        <v>672H</v>
      </c>
      <c r="U436" s="152" t="str">
        <f>+VLOOKUP($L436,Data_Validation!$A:$D,3,0)</f>
        <v>pièces</v>
      </c>
      <c r="V436" s="152" t="str">
        <f>+VLOOKUP($L436,Data_Validation!$A:$D,4,0)</f>
        <v>P/A Garantie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1800</v>
      </c>
      <c r="B437" s="718" t="s">
        <v>969</v>
      </c>
      <c r="C437" s="720">
        <v>69036.789999999994</v>
      </c>
      <c r="D437" s="720">
        <v>8321.44</v>
      </c>
      <c r="E437" s="720">
        <v>77358.23</v>
      </c>
      <c r="F437" s="718" t="s">
        <v>2015</v>
      </c>
      <c r="G437" s="718" t="s">
        <v>1118</v>
      </c>
      <c r="H437" s="673"/>
      <c r="I437" s="672"/>
      <c r="J437" s="672"/>
      <c r="K437" s="672"/>
      <c r="L437" s="149" t="str">
        <f t="shared" si="30"/>
        <v>674E</v>
      </c>
      <c r="M437" s="150" t="str">
        <f t="shared" si="31"/>
        <v>C/V - PIECES COMP. BMW ACCESSOIRE</v>
      </c>
      <c r="N437" s="151">
        <f>+IF(OR($Q437=Parametres!$G$2,$Q437=Parametres!$G$3),I437,C437)</f>
        <v>69036.789999999994</v>
      </c>
      <c r="O437" s="151">
        <f>+IF(OR($Q437=Parametres!$G$2,$Q437=Parametres!$G$3),J437,D437)</f>
        <v>8321.44</v>
      </c>
      <c r="P437" s="151">
        <f>+IF(OR($Q437=Parametres!$G$2,$Q437=Parametres!$G$3),K437,E437)</f>
        <v>77358.23</v>
      </c>
      <c r="Q437" s="150" t="str">
        <f t="shared" si="32"/>
        <v>6-Coût des ventes</v>
      </c>
      <c r="R437" s="149" t="str">
        <f t="shared" si="33"/>
        <v>474A</v>
      </c>
      <c r="S437" s="150">
        <f t="shared" si="34"/>
        <v>0</v>
      </c>
      <c r="T437" s="152" t="str">
        <f>+VLOOKUP($L437,Data_Validation!$A:$D,1,0)</f>
        <v>674E</v>
      </c>
      <c r="U437" s="152" t="str">
        <f>+VLOOKUP($L437,Data_Validation!$A:$D,3,0)</f>
        <v>pièces</v>
      </c>
      <c r="V437" s="152" t="str">
        <f>+VLOOKUP($L437,Data_Validation!$A:$D,4,0)</f>
        <v>Ventes Détails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2193</v>
      </c>
      <c r="B438" s="718" t="s">
        <v>2194</v>
      </c>
      <c r="C438" s="719">
        <v>70251.62</v>
      </c>
      <c r="D438" s="719">
        <v>6797.9</v>
      </c>
      <c r="E438" s="719">
        <v>77049.52</v>
      </c>
      <c r="F438" s="718" t="s">
        <v>2015</v>
      </c>
      <c r="G438" s="718" t="s">
        <v>450</v>
      </c>
      <c r="H438" s="719"/>
      <c r="I438" s="720"/>
      <c r="J438" s="720"/>
      <c r="K438" s="720"/>
      <c r="L438" s="149" t="str">
        <f t="shared" si="30"/>
        <v>659B</v>
      </c>
      <c r="M438" s="150" t="str">
        <f t="shared" si="31"/>
        <v>C/V - SUBLET ESTHETIQUE</v>
      </c>
      <c r="N438" s="151">
        <f>+IF(OR($Q438=Parametres!$G$2,$Q438=Parametres!$G$3),I438,C438)</f>
        <v>70251.62</v>
      </c>
      <c r="O438" s="151">
        <f>+IF(OR($Q438=Parametres!$G$2,$Q438=Parametres!$G$3),J438,D438)</f>
        <v>6797.9</v>
      </c>
      <c r="P438" s="151">
        <f>+IF(OR($Q438=Parametres!$G$2,$Q438=Parametres!$G$3),K438,E438)</f>
        <v>77049.52</v>
      </c>
      <c r="Q438" s="150" t="str">
        <f t="shared" si="32"/>
        <v>6-Coût des ventes</v>
      </c>
      <c r="R438" s="149" t="str">
        <f t="shared" si="33"/>
        <v>459A</v>
      </c>
      <c r="S438" s="150">
        <f t="shared" si="34"/>
        <v>0</v>
      </c>
      <c r="T438" s="152" t="str">
        <f>+VLOOKUP($L438,Data_Validation!$A:$D,1,0)</f>
        <v>659B</v>
      </c>
      <c r="U438" s="152" t="str">
        <f>+VLOOKUP($L438,Data_Validation!$A:$D,3,0)</f>
        <v>Service</v>
      </c>
      <c r="V438" s="152" t="str">
        <f>+VLOOKUP($L438,Data_Validation!$A:$D,4,0)</f>
        <v>M/O Esthétique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1801</v>
      </c>
      <c r="B439" s="718" t="s">
        <v>664</v>
      </c>
      <c r="C439" s="720">
        <v>74490</v>
      </c>
      <c r="D439" s="720">
        <v>12117</v>
      </c>
      <c r="E439" s="720">
        <v>86607</v>
      </c>
      <c r="F439" s="718" t="s">
        <v>2015</v>
      </c>
      <c r="G439" s="718" t="s">
        <v>2012</v>
      </c>
      <c r="H439" s="673"/>
      <c r="I439" s="672"/>
      <c r="J439" s="672"/>
      <c r="K439" s="672"/>
      <c r="L439" s="149" t="str">
        <f t="shared" si="30"/>
        <v>632A</v>
      </c>
      <c r="M439" s="150" t="str">
        <f t="shared" si="31"/>
        <v>C/V - GAR PROL NEUF BMW AUTO</v>
      </c>
      <c r="N439" s="151">
        <f>+IF(OR($Q439=Parametres!$G$2,$Q439=Parametres!$G$3),I439,C439)</f>
        <v>74490</v>
      </c>
      <c r="O439" s="504">
        <f>+IF(OR($Q439=Parametres!$G$2,$Q439=Parametres!$G$3),J439,D439)</f>
        <v>12117</v>
      </c>
      <c r="P439" s="151">
        <f>+IF(OR($Q439=Parametres!$G$2,$Q439=Parametres!$G$3),K439,E439)</f>
        <v>86607</v>
      </c>
      <c r="Q439" s="150" t="str">
        <f t="shared" si="32"/>
        <v>6-Coût des ventes</v>
      </c>
      <c r="R439" s="149" t="str">
        <f t="shared" si="33"/>
        <v>432</v>
      </c>
      <c r="S439" s="150">
        <f t="shared" si="34"/>
        <v>0</v>
      </c>
      <c r="T439" s="152" t="str">
        <f>+VLOOKUP($L439,Data_Validation!$A:$D,1,0)</f>
        <v>632A</v>
      </c>
      <c r="U439" s="152" t="str">
        <f>+VLOOKUP($L439,Data_Validation!$A:$D,3,0)</f>
        <v>Véhicules neufs</v>
      </c>
      <c r="V439" s="152" t="str">
        <f>+VLOOKUP($L439,Data_Validation!$A:$D,4,0)</f>
        <v>Rev. Protections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1989</v>
      </c>
      <c r="B440" s="718" t="s">
        <v>1990</v>
      </c>
      <c r="C440" s="720">
        <v>75280.759999999995</v>
      </c>
      <c r="D440" s="720">
        <v>0</v>
      </c>
      <c r="E440" s="720">
        <v>75280.759999999995</v>
      </c>
      <c r="F440" s="718" t="s">
        <v>2015</v>
      </c>
      <c r="G440" s="718" t="s">
        <v>368</v>
      </c>
      <c r="H440" s="673"/>
      <c r="I440" s="672"/>
      <c r="J440" s="672"/>
      <c r="K440" s="672"/>
      <c r="L440" s="149" t="str">
        <f t="shared" si="30"/>
        <v>652C</v>
      </c>
      <c r="M440" s="150" t="str">
        <f t="shared" si="31"/>
        <v>C/V - GAR PROL USAGE BMW NON-CERT</v>
      </c>
      <c r="N440" s="151">
        <f>+IF(OR($Q440=Parametres!$G$2,$Q440=Parametres!$G$3),I440,C440)</f>
        <v>75280.759999999995</v>
      </c>
      <c r="O440" s="151">
        <f>+IF(OR($Q440=Parametres!$G$2,$Q440=Parametres!$G$3),J440,D440)</f>
        <v>0</v>
      </c>
      <c r="P440" s="151">
        <f>+IF(OR($Q440=Parametres!$G$2,$Q440=Parametres!$G$3),K440,E440)</f>
        <v>75280.759999999995</v>
      </c>
      <c r="Q440" s="150" t="str">
        <f t="shared" si="32"/>
        <v>6-Coût des ventes</v>
      </c>
      <c r="R440" s="149" t="str">
        <f t="shared" si="33"/>
        <v>452</v>
      </c>
      <c r="S440" s="150">
        <f t="shared" si="34"/>
        <v>0</v>
      </c>
      <c r="T440" s="152" t="str">
        <f>+VLOOKUP($L440,Data_Validation!$A:$D,1,0)</f>
        <v>652C</v>
      </c>
      <c r="U440" s="152" t="str">
        <f>+VLOOKUP($L440,Data_Validation!$A:$D,3,0)</f>
        <v>Véhicules usagés</v>
      </c>
      <c r="V440" s="152" t="str">
        <f>+VLOOKUP($L440,Data_Validation!$A:$D,4,0)</f>
        <v>Rev. Protections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1979</v>
      </c>
      <c r="B441" s="718" t="s">
        <v>1981</v>
      </c>
      <c r="C441" s="719">
        <v>76375.27</v>
      </c>
      <c r="D441" s="719">
        <v>0</v>
      </c>
      <c r="E441" s="719">
        <v>76375.27</v>
      </c>
      <c r="F441" s="718" t="s">
        <v>2015</v>
      </c>
      <c r="G441" s="718" t="s">
        <v>1980</v>
      </c>
      <c r="H441" s="719"/>
      <c r="I441" s="720"/>
      <c r="J441" s="720"/>
      <c r="K441" s="720"/>
      <c r="L441" s="149" t="str">
        <f t="shared" si="30"/>
        <v>612C</v>
      </c>
      <c r="M441" s="150" t="str">
        <f t="shared" si="31"/>
        <v>M340I XDRIVE</v>
      </c>
      <c r="N441" s="151">
        <f>+IF(OR($Q441=Parametres!$G$2,$Q441=Parametres!$G$3),I441,C441)</f>
        <v>76375.27</v>
      </c>
      <c r="O441" s="151">
        <f>+IF(OR($Q441=Parametres!$G$2,$Q441=Parametres!$G$3),J441,D441)</f>
        <v>0</v>
      </c>
      <c r="P441" s="151">
        <f>+IF(OR($Q441=Parametres!$G$2,$Q441=Parametres!$G$3),K441,E441)</f>
        <v>76375.27</v>
      </c>
      <c r="Q441" s="150" t="str">
        <f t="shared" si="32"/>
        <v>6-Coût des ventes</v>
      </c>
      <c r="R441" s="149" t="str">
        <f t="shared" si="33"/>
        <v>412C</v>
      </c>
      <c r="S441" s="150">
        <f t="shared" si="34"/>
        <v>0</v>
      </c>
      <c r="T441" s="152" t="str">
        <f>+VLOOKUP($L441,Data_Validation!$A:$D,1,0)</f>
        <v>612C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1815</v>
      </c>
      <c r="B442" s="718" t="s">
        <v>964</v>
      </c>
      <c r="C442" s="720">
        <v>81585</v>
      </c>
      <c r="D442" s="720">
        <v>9997</v>
      </c>
      <c r="E442" s="720">
        <v>91582</v>
      </c>
      <c r="F442" s="718" t="s">
        <v>2015</v>
      </c>
      <c r="G442" s="718" t="s">
        <v>368</v>
      </c>
      <c r="H442" s="673"/>
      <c r="I442" s="672"/>
      <c r="J442" s="672"/>
      <c r="K442" s="672"/>
      <c r="L442" s="149" t="str">
        <f t="shared" si="30"/>
        <v>652</v>
      </c>
      <c r="M442" s="150" t="str">
        <f t="shared" si="31"/>
        <v>C/V - GAR PROL USAGE BMW CERT</v>
      </c>
      <c r="N442" s="151">
        <f>+IF(OR($Q442=Parametres!$G$2,$Q442=Parametres!$G$3),I442,C442)</f>
        <v>81585</v>
      </c>
      <c r="O442" s="151">
        <f>+IF(OR($Q442=Parametres!$G$2,$Q442=Parametres!$G$3),J442,D442)</f>
        <v>9997</v>
      </c>
      <c r="P442" s="151">
        <f>+IF(OR($Q442=Parametres!$G$2,$Q442=Parametres!$G$3),K442,E442)</f>
        <v>91582</v>
      </c>
      <c r="Q442" s="150" t="str">
        <f t="shared" si="32"/>
        <v>6-Coût des ventes</v>
      </c>
      <c r="R442" s="149" t="str">
        <f t="shared" si="33"/>
        <v>452</v>
      </c>
      <c r="S442" s="150">
        <f t="shared" si="34"/>
        <v>0</v>
      </c>
      <c r="T442" s="152" t="str">
        <f>+VLOOKUP($L442,Data_Validation!$A:$D,1,0)</f>
        <v>652</v>
      </c>
      <c r="U442" s="152" t="str">
        <f>+VLOOKUP($L442,Data_Validation!$A:$D,3,0)</f>
        <v>Véhicules usagés</v>
      </c>
      <c r="V442" s="152" t="str">
        <f>+VLOOKUP($L442,Data_Validation!$A:$D,4,0)</f>
        <v>Rev. Protections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1414</v>
      </c>
      <c r="B443" s="718" t="s">
        <v>642</v>
      </c>
      <c r="C443" s="720">
        <v>82763.5</v>
      </c>
      <c r="D443" s="720">
        <v>0</v>
      </c>
      <c r="E443" s="720">
        <v>82763.5</v>
      </c>
      <c r="F443" s="718" t="s">
        <v>2015</v>
      </c>
      <c r="G443" s="718" t="s">
        <v>605</v>
      </c>
      <c r="H443" s="673"/>
      <c r="I443" s="672"/>
      <c r="J443" s="672"/>
      <c r="K443" s="672"/>
      <c r="L443" s="149" t="str">
        <f t="shared" si="30"/>
        <v>605B</v>
      </c>
      <c r="M443" s="150" t="str">
        <f t="shared" si="31"/>
        <v>C/V - 430I XDRIVE CABRIOLET</v>
      </c>
      <c r="N443" s="151">
        <f>+IF(OR($Q443=Parametres!$G$2,$Q443=Parametres!$G$3),I443,C443)</f>
        <v>82763.5</v>
      </c>
      <c r="O443" s="151">
        <f>+IF(OR($Q443=Parametres!$G$2,$Q443=Parametres!$G$3),J443,D443)</f>
        <v>0</v>
      </c>
      <c r="P443" s="151">
        <f>+IF(OR($Q443=Parametres!$G$2,$Q443=Parametres!$G$3),K443,E443)</f>
        <v>82763.5</v>
      </c>
      <c r="Q443" s="150" t="str">
        <f t="shared" si="32"/>
        <v>6-Coût des ventes</v>
      </c>
      <c r="R443" s="149" t="str">
        <f t="shared" si="33"/>
        <v>405B</v>
      </c>
      <c r="S443" s="150">
        <f t="shared" si="34"/>
        <v>0</v>
      </c>
      <c r="T443" s="152" t="str">
        <f>+VLOOKUP($L443,Data_Validation!$A:$D,1,0)</f>
        <v>605B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1831</v>
      </c>
      <c r="B444" s="718" t="s">
        <v>1832</v>
      </c>
      <c r="C444" s="720">
        <v>84192.34</v>
      </c>
      <c r="D444" s="720">
        <v>5680.9</v>
      </c>
      <c r="E444" s="720">
        <v>89873.24</v>
      </c>
      <c r="F444" s="718" t="s">
        <v>2015</v>
      </c>
      <c r="G444" s="718" t="s">
        <v>1096</v>
      </c>
      <c r="H444" s="673"/>
      <c r="I444" s="672"/>
      <c r="J444" s="672"/>
      <c r="K444" s="672"/>
      <c r="L444" s="149" t="str">
        <f t="shared" si="30"/>
        <v>672A</v>
      </c>
      <c r="M444" s="150" t="str">
        <f t="shared" si="31"/>
        <v>C/V - PIECES GARANTIE BMW AUTO</v>
      </c>
      <c r="N444" s="151">
        <f>+IF(OR($Q444=Parametres!$G$2,$Q444=Parametres!$G$3),I444,C444)</f>
        <v>84192.34</v>
      </c>
      <c r="O444" s="151">
        <f>+IF(OR($Q444=Parametres!$G$2,$Q444=Parametres!$G$3),J444,D444)</f>
        <v>5680.9</v>
      </c>
      <c r="P444" s="151">
        <f>+IF(OR($Q444=Parametres!$G$2,$Q444=Parametres!$G$3),K444,E444)</f>
        <v>89873.24</v>
      </c>
      <c r="Q444" s="150" t="str">
        <f t="shared" si="32"/>
        <v>6-Coût des ventes</v>
      </c>
      <c r="R444" s="149" t="str">
        <f t="shared" si="33"/>
        <v>472A</v>
      </c>
      <c r="S444" s="150">
        <f t="shared" si="34"/>
        <v>0</v>
      </c>
      <c r="T444" s="152" t="str">
        <f>+VLOOKUP($L444,Data_Validation!$A:$D,1,0)</f>
        <v>672A</v>
      </c>
      <c r="U444" s="152" t="str">
        <f>+VLOOKUP($L444,Data_Validation!$A:$D,3,0)</f>
        <v>pièces</v>
      </c>
      <c r="V444" s="152" t="str">
        <f>+VLOOKUP($L444,Data_Validation!$A:$D,4,0)</f>
        <v>P/A Garantie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2509</v>
      </c>
      <c r="B445" s="718" t="s">
        <v>2510</v>
      </c>
      <c r="C445" s="719">
        <v>84914.34</v>
      </c>
      <c r="D445" s="719">
        <v>0</v>
      </c>
      <c r="E445" s="719">
        <v>84914.34</v>
      </c>
      <c r="F445" s="718" t="s">
        <v>2015</v>
      </c>
      <c r="G445" s="718" t="s">
        <v>2508</v>
      </c>
      <c r="H445" s="719"/>
      <c r="I445" s="720"/>
      <c r="J445" s="720"/>
      <c r="K445" s="720"/>
      <c r="L445" s="149" t="str">
        <f t="shared" si="30"/>
        <v>601F</v>
      </c>
      <c r="M445" s="150" t="str">
        <f t="shared" si="31"/>
        <v>C/V - M2</v>
      </c>
      <c r="N445" s="151">
        <f>+IF(OR($Q445=Parametres!$G$2,$Q445=Parametres!$G$3),I445,C445)</f>
        <v>84914.34</v>
      </c>
      <c r="O445" s="151">
        <f>+IF(OR($Q445=Parametres!$G$2,$Q445=Parametres!$G$3),J445,D445)</f>
        <v>0</v>
      </c>
      <c r="P445" s="151">
        <f>+IF(OR($Q445=Parametres!$G$2,$Q445=Parametres!$G$3),K445,E445)</f>
        <v>84914.34</v>
      </c>
      <c r="Q445" s="150" t="str">
        <f t="shared" si="32"/>
        <v>6-Coût des ventes</v>
      </c>
      <c r="R445" s="149" t="str">
        <f t="shared" si="33"/>
        <v>401F</v>
      </c>
      <c r="S445" s="150">
        <f t="shared" si="34"/>
        <v>0</v>
      </c>
      <c r="T445" s="152" t="str">
        <f>+VLOOKUP($L445,Data_Validation!$A:$D,1,0)</f>
        <v>601F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1714</v>
      </c>
      <c r="B446" s="718" t="s">
        <v>1715</v>
      </c>
      <c r="C446" s="720">
        <v>90408.88</v>
      </c>
      <c r="D446" s="720">
        <v>20538.61</v>
      </c>
      <c r="E446" s="720">
        <v>110947.49</v>
      </c>
      <c r="F446" s="718" t="s">
        <v>2015</v>
      </c>
      <c r="G446" s="718" t="s">
        <v>625</v>
      </c>
      <c r="H446" s="673"/>
      <c r="I446" s="672"/>
      <c r="J446" s="672"/>
      <c r="K446" s="672"/>
      <c r="L446" s="149" t="str">
        <f t="shared" si="30"/>
        <v>630E</v>
      </c>
      <c r="M446" s="150" t="str">
        <f t="shared" si="31"/>
        <v>C/V - PROTEC ESTHETIQUE NAUF BMW AUTO</v>
      </c>
      <c r="N446" s="151">
        <f>+IF(OR($Q446=Parametres!$G$2,$Q446=Parametres!$G$3),I446,C446)</f>
        <v>90408.88</v>
      </c>
      <c r="O446" s="151">
        <f>+IF(OR($Q446=Parametres!$G$2,$Q446=Parametres!$G$3),J446,D446)</f>
        <v>20538.61</v>
      </c>
      <c r="P446" s="151">
        <f>+IF(OR($Q446=Parametres!$G$2,$Q446=Parametres!$G$3),K446,E446)</f>
        <v>110947.49</v>
      </c>
      <c r="Q446" s="150" t="str">
        <f t="shared" si="32"/>
        <v>6-Coût des ventes</v>
      </c>
      <c r="R446" s="149" t="str">
        <f t="shared" si="33"/>
        <v>430</v>
      </c>
      <c r="S446" s="150">
        <f t="shared" si="34"/>
        <v>0</v>
      </c>
      <c r="T446" s="152" t="str">
        <f>+VLOOKUP($L446,Data_Validation!$A:$D,1,0)</f>
        <v>630E</v>
      </c>
      <c r="U446" s="152" t="str">
        <f>+VLOOKUP($L446,Data_Validation!$A:$D,3,0)</f>
        <v>Véhicules neufs</v>
      </c>
      <c r="V446" s="152" t="str">
        <f>+VLOOKUP($L446,Data_Validation!$A:$D,4,0)</f>
        <v>Rev. Protections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2893</v>
      </c>
      <c r="B447" s="718" t="s">
        <v>2897</v>
      </c>
      <c r="C447" s="720">
        <v>90757.33</v>
      </c>
      <c r="D447" s="720">
        <v>0</v>
      </c>
      <c r="E447" s="720">
        <v>90757.33</v>
      </c>
      <c r="F447" s="718" t="s">
        <v>2015</v>
      </c>
      <c r="G447" s="718" t="s">
        <v>2897</v>
      </c>
      <c r="H447" s="673"/>
      <c r="I447" s="673"/>
      <c r="J447" s="673"/>
      <c r="K447" s="673"/>
      <c r="L447" s="149" t="str">
        <f t="shared" si="30"/>
        <v>605L</v>
      </c>
      <c r="M447" s="150" t="str">
        <f t="shared" si="31"/>
        <v>M440I XDRIVE CABRIOLET</v>
      </c>
      <c r="N447" s="151">
        <f>+IF(OR($Q447=Parametres!$G$2,$Q447=Parametres!$G$3),I447,C447)</f>
        <v>90757.33</v>
      </c>
      <c r="O447" s="151">
        <f>+IF(OR($Q447=Parametres!$G$2,$Q447=Parametres!$G$3),J447,D447)</f>
        <v>0</v>
      </c>
      <c r="P447" s="151">
        <f>+IF(OR($Q447=Parametres!$G$2,$Q447=Parametres!$G$3),K447,E447)</f>
        <v>90757.33</v>
      </c>
      <c r="Q447" s="150" t="str">
        <f t="shared" si="32"/>
        <v>6-Coût des ventes</v>
      </c>
      <c r="R447" s="149" t="str">
        <f t="shared" si="33"/>
        <v>605L</v>
      </c>
      <c r="S447" s="150">
        <f t="shared" si="34"/>
        <v>0</v>
      </c>
      <c r="T447" s="152" t="str">
        <f>+VLOOKUP($L447,Data_Validation!$A:$D,1,0)</f>
        <v>605L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1809</v>
      </c>
      <c r="B448" s="718" t="s">
        <v>1810</v>
      </c>
      <c r="C448" s="720">
        <v>95406</v>
      </c>
      <c r="D448" s="720">
        <v>24641</v>
      </c>
      <c r="E448" s="720">
        <v>120047</v>
      </c>
      <c r="F448" s="718" t="s">
        <v>2015</v>
      </c>
      <c r="G448" s="718" t="s">
        <v>625</v>
      </c>
      <c r="H448" s="673"/>
      <c r="I448" s="672"/>
      <c r="J448" s="672"/>
      <c r="K448" s="672"/>
      <c r="L448" s="149" t="str">
        <f t="shared" si="30"/>
        <v>630U</v>
      </c>
      <c r="M448" s="150" t="str">
        <f t="shared" si="31"/>
        <v>C/V - ASSIST USURE NEUF BMW AUTO</v>
      </c>
      <c r="N448" s="151">
        <f>+IF(OR($Q448=Parametres!$G$2,$Q448=Parametres!$G$3),I448,C448)</f>
        <v>95406</v>
      </c>
      <c r="O448" s="151">
        <f>+IF(OR($Q448=Parametres!$G$2,$Q448=Parametres!$G$3),J448,D448)</f>
        <v>24641</v>
      </c>
      <c r="P448" s="151">
        <f>+IF(OR($Q448=Parametres!$G$2,$Q448=Parametres!$G$3),K448,E448)</f>
        <v>120047</v>
      </c>
      <c r="Q448" s="150" t="str">
        <f t="shared" si="32"/>
        <v>6-Coût des ventes</v>
      </c>
      <c r="R448" s="149" t="str">
        <f t="shared" si="33"/>
        <v>430</v>
      </c>
      <c r="S448" s="150">
        <f t="shared" si="34"/>
        <v>0</v>
      </c>
      <c r="T448" s="152" t="str">
        <f>+VLOOKUP($L448,Data_Validation!$A:$D,1,0)</f>
        <v>630U</v>
      </c>
      <c r="U448" s="152" t="str">
        <f>+VLOOKUP($L448,Data_Validation!$A:$D,3,0)</f>
        <v>Véhicules neufs</v>
      </c>
      <c r="V448" s="152" t="str">
        <f>+VLOOKUP($L448,Data_Validation!$A:$D,4,0)</f>
        <v>Rev. Protections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2391</v>
      </c>
      <c r="B449" s="718" t="s">
        <v>2392</v>
      </c>
      <c r="C449" s="720">
        <v>97615</v>
      </c>
      <c r="D449" s="720">
        <v>0</v>
      </c>
      <c r="E449" s="720">
        <v>97615</v>
      </c>
      <c r="F449" s="718" t="s">
        <v>2015</v>
      </c>
      <c r="G449" s="718" t="s">
        <v>2388</v>
      </c>
      <c r="H449" s="673"/>
      <c r="I449" s="672"/>
      <c r="J449" s="672"/>
      <c r="K449" s="672"/>
      <c r="L449" s="149" t="str">
        <f t="shared" si="30"/>
        <v>602A</v>
      </c>
      <c r="M449" s="150" t="str">
        <f t="shared" si="31"/>
        <v>C/V - IX XDRIVE 40</v>
      </c>
      <c r="N449" s="151">
        <f>+IF(OR($Q449=Parametres!$G$2,$Q449=Parametres!$G$3),I449,C449)</f>
        <v>97615</v>
      </c>
      <c r="O449" s="151">
        <f>+IF(OR($Q449=Parametres!$G$2,$Q449=Parametres!$G$3),J449,D449)</f>
        <v>0</v>
      </c>
      <c r="P449" s="151">
        <f>+IF(OR($Q449=Parametres!$G$2,$Q449=Parametres!$G$3),K449,E449)</f>
        <v>97615</v>
      </c>
      <c r="Q449" s="150" t="str">
        <f t="shared" si="32"/>
        <v>6-Coût des ventes</v>
      </c>
      <c r="R449" s="149" t="str">
        <f t="shared" si="33"/>
        <v>402A</v>
      </c>
      <c r="S449" s="150">
        <f t="shared" si="34"/>
        <v>0</v>
      </c>
      <c r="T449" s="152" t="str">
        <f>+VLOOKUP($L449,Data_Validation!$A:$D,1,0)</f>
        <v>602A</v>
      </c>
      <c r="U449" s="152" t="str">
        <f>+VLOOKUP($L449,Data_Validation!$A:$D,3,0)</f>
        <v>Véhicules neufs</v>
      </c>
      <c r="V449" s="152" t="str">
        <f>+VLOOKUP($L449,Data_Validation!$A:$D,4,0)</f>
        <v>Autos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2370</v>
      </c>
      <c r="B450" s="718" t="s">
        <v>2371</v>
      </c>
      <c r="C450" s="720">
        <v>102290.17</v>
      </c>
      <c r="D450" s="720">
        <v>0</v>
      </c>
      <c r="E450" s="720">
        <v>102290.17</v>
      </c>
      <c r="F450" s="718" t="s">
        <v>2015</v>
      </c>
      <c r="G450" s="718" t="s">
        <v>2366</v>
      </c>
      <c r="H450" s="673"/>
      <c r="I450" s="672"/>
      <c r="J450" s="672"/>
      <c r="K450" s="672"/>
      <c r="L450" s="149" t="str">
        <f t="shared" ref="L450:L513" si="35">+B450</f>
        <v>607D</v>
      </c>
      <c r="M450" s="150" t="str">
        <f t="shared" ref="M450:M513" si="36">+A450</f>
        <v>C/V - M3 COMPETITION XDRIVE</v>
      </c>
      <c r="N450" s="151">
        <f>+IF(OR($Q450=Parametres!$G$2,$Q450=Parametres!$G$3),I450,C450)</f>
        <v>102290.17</v>
      </c>
      <c r="O450" s="151">
        <f>+IF(OR($Q450=Parametres!$G$2,$Q450=Parametres!$G$3),J450,D450)</f>
        <v>0</v>
      </c>
      <c r="P450" s="151">
        <f>+IF(OR($Q450=Parametres!$G$2,$Q450=Parametres!$G$3),K450,E450)</f>
        <v>102290.17</v>
      </c>
      <c r="Q450" s="150" t="str">
        <f t="shared" ref="Q450:Q513" si="37">+F450</f>
        <v>6-Coût des ventes</v>
      </c>
      <c r="R450" s="149" t="str">
        <f t="shared" ref="R450:R513" si="38">+G450</f>
        <v>407D</v>
      </c>
      <c r="S450" s="150">
        <f t="shared" ref="S450:S513" si="39">+H450</f>
        <v>0</v>
      </c>
      <c r="T450" s="152" t="str">
        <f>+VLOOKUP($L450,Data_Validation!$A:$D,1,0)</f>
        <v>607D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2942</v>
      </c>
      <c r="B451" s="718" t="s">
        <v>2224</v>
      </c>
      <c r="C451" s="720">
        <v>109633.12</v>
      </c>
      <c r="D451" s="720">
        <v>0</v>
      </c>
      <c r="E451" s="720">
        <v>109633.12</v>
      </c>
      <c r="F451" s="718" t="s">
        <v>2015</v>
      </c>
      <c r="G451" s="718" t="s">
        <v>2220</v>
      </c>
      <c r="H451" s="673"/>
      <c r="I451" s="672"/>
      <c r="J451" s="672"/>
      <c r="K451" s="672"/>
      <c r="L451" s="149" t="str">
        <f t="shared" si="35"/>
        <v>623H</v>
      </c>
      <c r="M451" s="150" t="str">
        <f t="shared" si="36"/>
        <v>C/V - X3 M / M3 M COMPETITION</v>
      </c>
      <c r="N451" s="151">
        <f>+IF(OR($Q451=Parametres!$G$2,$Q451=Parametres!$G$3),I451,C451)</f>
        <v>109633.12</v>
      </c>
      <c r="O451" s="151">
        <f>+IF(OR($Q451=Parametres!$G$2,$Q451=Parametres!$G$3),J451,D451)</f>
        <v>0</v>
      </c>
      <c r="P451" s="151">
        <f>+IF(OR($Q451=Parametres!$G$2,$Q451=Parametres!$G$3),K451,E451)</f>
        <v>109633.12</v>
      </c>
      <c r="Q451" s="150" t="str">
        <f t="shared" si="37"/>
        <v>6-Coût des ventes</v>
      </c>
      <c r="R451" s="149" t="str">
        <f t="shared" si="38"/>
        <v>423H</v>
      </c>
      <c r="S451" s="150">
        <f t="shared" si="39"/>
        <v>0</v>
      </c>
      <c r="T451" s="152" t="str">
        <f>+VLOOKUP($L451,Data_Validation!$A:$D,1,0)</f>
        <v>623H</v>
      </c>
      <c r="U451" s="152" t="str">
        <f>+VLOOKUP($L451,Data_Validation!$A:$D,3,0)</f>
        <v>Véhicules neufs</v>
      </c>
      <c r="V451" s="152" t="str">
        <f>+VLOOKUP($L451,Data_Validation!$A:$D,4,0)</f>
        <v>Camions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1807</v>
      </c>
      <c r="B452" s="718" t="s">
        <v>1808</v>
      </c>
      <c r="C452" s="719">
        <v>111179.1</v>
      </c>
      <c r="D452" s="719">
        <v>9561.2099999999991</v>
      </c>
      <c r="E452" s="719">
        <v>120740.31</v>
      </c>
      <c r="F452" s="718" t="s">
        <v>2015</v>
      </c>
      <c r="G452" s="718" t="s">
        <v>1118</v>
      </c>
      <c r="H452" s="719"/>
      <c r="I452" s="720"/>
      <c r="J452" s="720"/>
      <c r="K452" s="720"/>
      <c r="L452" s="149" t="str">
        <f t="shared" si="35"/>
        <v>674A</v>
      </c>
      <c r="M452" s="150" t="str">
        <f t="shared" si="36"/>
        <v>C/V - PIECES COMPTOIR BMW AUTO</v>
      </c>
      <c r="N452" s="151">
        <f>+IF(OR($Q452=Parametres!$G$2,$Q452=Parametres!$G$3),I452,C452)</f>
        <v>111179.1</v>
      </c>
      <c r="O452" s="151">
        <f>+IF(OR($Q452=Parametres!$G$2,$Q452=Parametres!$G$3),J452,D452)</f>
        <v>9561.2099999999991</v>
      </c>
      <c r="P452" s="151">
        <f>+IF(OR($Q452=Parametres!$G$2,$Q452=Parametres!$G$3),K452,E452)</f>
        <v>120740.31</v>
      </c>
      <c r="Q452" s="150" t="str">
        <f t="shared" si="37"/>
        <v>6-Coût des ventes</v>
      </c>
      <c r="R452" s="149" t="str">
        <f t="shared" si="38"/>
        <v>474A</v>
      </c>
      <c r="S452" s="150">
        <f t="shared" si="39"/>
        <v>0</v>
      </c>
      <c r="T452" s="152" t="str">
        <f>+VLOOKUP($L452,Data_Validation!$A:$D,1,0)</f>
        <v>674A</v>
      </c>
      <c r="U452" s="152" t="str">
        <f>+VLOOKUP($L452,Data_Validation!$A:$D,3,0)</f>
        <v>pièces</v>
      </c>
      <c r="V452" s="152" t="str">
        <f>+VLOOKUP($L452,Data_Validation!$A:$D,4,0)</f>
        <v>Ventes Détails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1843</v>
      </c>
      <c r="B453" s="718" t="s">
        <v>1844</v>
      </c>
      <c r="C453" s="720">
        <v>115038.03</v>
      </c>
      <c r="D453" s="720">
        <v>0</v>
      </c>
      <c r="E453" s="720">
        <v>115038.03</v>
      </c>
      <c r="F453" s="718" t="s">
        <v>2015</v>
      </c>
      <c r="G453" s="718" t="s">
        <v>1647</v>
      </c>
      <c r="H453" s="673"/>
      <c r="I453" s="672"/>
      <c r="J453" s="672"/>
      <c r="K453" s="672"/>
      <c r="L453" s="149" t="str">
        <f t="shared" si="35"/>
        <v>650H</v>
      </c>
      <c r="M453" s="150" t="str">
        <f t="shared" si="36"/>
        <v>C/V - VTE - M850I XDR GRAN COUPE</v>
      </c>
      <c r="N453" s="151">
        <f>+IF(OR($Q453=Parametres!$G$2,$Q453=Parametres!$G$3),I453,C453)</f>
        <v>115038.03</v>
      </c>
      <c r="O453" s="151">
        <f>+IF(OR($Q453=Parametres!$G$2,$Q453=Parametres!$G$3),J453,D453)</f>
        <v>0</v>
      </c>
      <c r="P453" s="151">
        <f>+IF(OR($Q453=Parametres!$G$2,$Q453=Parametres!$G$3),K453,E453)</f>
        <v>115038.03</v>
      </c>
      <c r="Q453" s="150" t="str">
        <f t="shared" si="37"/>
        <v>6-Coût des ventes</v>
      </c>
      <c r="R453" s="149" t="str">
        <f t="shared" si="38"/>
        <v>650</v>
      </c>
      <c r="S453" s="150">
        <f t="shared" si="39"/>
        <v>0</v>
      </c>
      <c r="T453" s="152" t="str">
        <f>+VLOOKUP($L453,Data_Validation!$A:$D,1,0)</f>
        <v>650H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2368</v>
      </c>
      <c r="B454" s="718" t="s">
        <v>2369</v>
      </c>
      <c r="C454" s="720">
        <v>116172.84</v>
      </c>
      <c r="D454" s="720">
        <v>0</v>
      </c>
      <c r="E454" s="720">
        <v>116172.84</v>
      </c>
      <c r="F454" s="718" t="s">
        <v>2015</v>
      </c>
      <c r="G454" s="718" t="s">
        <v>2364</v>
      </c>
      <c r="H454" s="673"/>
      <c r="I454" s="672"/>
      <c r="J454" s="672"/>
      <c r="K454" s="672"/>
      <c r="L454" s="149" t="str">
        <f t="shared" si="35"/>
        <v>605H</v>
      </c>
      <c r="M454" s="150" t="str">
        <f t="shared" si="36"/>
        <v>C/V - M4 COMPETITION CABRIOLET XDRIVE</v>
      </c>
      <c r="N454" s="151">
        <f>+IF(OR($Q454=Parametres!$G$2,$Q454=Parametres!$G$3),I454,C454)</f>
        <v>116172.84</v>
      </c>
      <c r="O454" s="151">
        <f>+IF(OR($Q454=Parametres!$G$2,$Q454=Parametres!$G$3),J454,D454)</f>
        <v>0</v>
      </c>
      <c r="P454" s="151">
        <f>+IF(OR($Q454=Parametres!$G$2,$Q454=Parametres!$G$3),K454,E454)</f>
        <v>116172.84</v>
      </c>
      <c r="Q454" s="150" t="str">
        <f t="shared" si="37"/>
        <v>6-Coût des ventes</v>
      </c>
      <c r="R454" s="149" t="str">
        <f t="shared" si="38"/>
        <v>405H</v>
      </c>
      <c r="S454" s="150">
        <f t="shared" si="39"/>
        <v>0</v>
      </c>
      <c r="T454" s="152" t="str">
        <f>+VLOOKUP($L454,Data_Validation!$A:$D,1,0)</f>
        <v>605H</v>
      </c>
      <c r="U454" s="152" t="str">
        <f>+VLOOKUP($L454,Data_Validation!$A:$D,3,0)</f>
        <v>Véhicules neufs</v>
      </c>
      <c r="V454" s="152" t="str">
        <f>+VLOOKUP($L454,Data_Validation!$A:$D,4,0)</f>
        <v>Autos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2898</v>
      </c>
      <c r="B455" s="671" t="s">
        <v>2899</v>
      </c>
      <c r="C455" s="672">
        <v>118545.13</v>
      </c>
      <c r="D455" s="672">
        <v>0</v>
      </c>
      <c r="E455" s="672">
        <v>118545.13</v>
      </c>
      <c r="F455" s="671" t="s">
        <v>2015</v>
      </c>
      <c r="G455" s="671" t="s">
        <v>2896</v>
      </c>
      <c r="H455" s="666"/>
      <c r="I455" s="665"/>
      <c r="J455" s="665"/>
      <c r="K455" s="665"/>
      <c r="L455" s="149" t="str">
        <f t="shared" si="35"/>
        <v>615A</v>
      </c>
      <c r="M455" s="150" t="str">
        <f t="shared" si="36"/>
        <v>C/V - 750e xDRIVE</v>
      </c>
      <c r="N455" s="151">
        <f>+IF(OR($Q455=Parametres!$G$2,$Q455=Parametres!$G$3),I455,C455)</f>
        <v>118545.13</v>
      </c>
      <c r="O455" s="151">
        <f>+IF(OR($Q455=Parametres!$G$2,$Q455=Parametres!$G$3),J455,D455)</f>
        <v>0</v>
      </c>
      <c r="P455" s="151">
        <f>+IF(OR($Q455=Parametres!$G$2,$Q455=Parametres!$G$3),K455,E455)</f>
        <v>118545.13</v>
      </c>
      <c r="Q455" s="150" t="str">
        <f t="shared" si="37"/>
        <v>6-Coût des ventes</v>
      </c>
      <c r="R455" s="149" t="str">
        <f t="shared" si="38"/>
        <v>415A</v>
      </c>
      <c r="S455" s="150">
        <f t="shared" si="39"/>
        <v>0</v>
      </c>
      <c r="T455" s="152" t="str">
        <f>+VLOOKUP($L455,Data_Validation!$A:$D,1,0)</f>
        <v>615A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2148</v>
      </c>
      <c r="B456" s="718" t="s">
        <v>2149</v>
      </c>
      <c r="C456" s="720">
        <v>124643.41</v>
      </c>
      <c r="D456" s="720">
        <v>312228.71999999997</v>
      </c>
      <c r="E456" s="720">
        <v>436872.13</v>
      </c>
      <c r="F456" s="718" t="s">
        <v>2015</v>
      </c>
      <c r="G456" s="718" t="s">
        <v>2145</v>
      </c>
      <c r="H456" s="673"/>
      <c r="I456" s="672"/>
      <c r="J456" s="672"/>
      <c r="K456" s="672"/>
      <c r="L456" s="149" t="str">
        <f t="shared" si="35"/>
        <v>605J</v>
      </c>
      <c r="M456" s="150" t="str">
        <f t="shared" si="36"/>
        <v>C/V - M4 COMPETITION</v>
      </c>
      <c r="N456" s="151">
        <f>+IF(OR($Q456=Parametres!$G$2,$Q456=Parametres!$G$3),I456,C456)</f>
        <v>124643.41</v>
      </c>
      <c r="O456" s="504">
        <f>+IF(OR($Q456=Parametres!$G$2,$Q456=Parametres!$G$3),J456,D456)</f>
        <v>312228.71999999997</v>
      </c>
      <c r="P456" s="151">
        <f>+IF(OR($Q456=Parametres!$G$2,$Q456=Parametres!$G$3),K456,E456)</f>
        <v>436872.13</v>
      </c>
      <c r="Q456" s="150" t="str">
        <f t="shared" si="37"/>
        <v>6-Coût des ventes</v>
      </c>
      <c r="R456" s="149" t="str">
        <f t="shared" si="38"/>
        <v>405J</v>
      </c>
      <c r="S456" s="150">
        <f t="shared" si="39"/>
        <v>0</v>
      </c>
      <c r="T456" s="152" t="str">
        <f>+VLOOKUP($L456,Data_Validation!$A:$D,1,0)</f>
        <v>605J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2940</v>
      </c>
      <c r="B457" s="718" t="s">
        <v>2941</v>
      </c>
      <c r="C457" s="720">
        <v>135011.85</v>
      </c>
      <c r="D457" s="720">
        <v>0</v>
      </c>
      <c r="E457" s="720">
        <v>135011.85</v>
      </c>
      <c r="F457" s="718" t="s">
        <v>2015</v>
      </c>
      <c r="G457" s="718" t="s">
        <v>2936</v>
      </c>
      <c r="H457" s="673"/>
      <c r="I457" s="672"/>
      <c r="J457" s="672"/>
      <c r="K457" s="672"/>
      <c r="L457" s="149" t="str">
        <f t="shared" si="35"/>
        <v>615</v>
      </c>
      <c r="M457" s="150" t="str">
        <f t="shared" si="36"/>
        <v>C/V - 760i xDRIVE</v>
      </c>
      <c r="N457" s="151">
        <f>+IF(OR($Q457=Parametres!$G$2,$Q457=Parametres!$G$3),I457,C457)</f>
        <v>135011.85</v>
      </c>
      <c r="O457" s="151">
        <f>+IF(OR($Q457=Parametres!$G$2,$Q457=Parametres!$G$3),J457,D457)</f>
        <v>0</v>
      </c>
      <c r="P457" s="151">
        <f>+IF(OR($Q457=Parametres!$G$2,$Q457=Parametres!$G$3),K457,E457)</f>
        <v>135011.85</v>
      </c>
      <c r="Q457" s="150" t="str">
        <f t="shared" si="37"/>
        <v>6-Coût des ventes</v>
      </c>
      <c r="R457" s="149" t="str">
        <f t="shared" si="38"/>
        <v>415</v>
      </c>
      <c r="S457" s="150">
        <f t="shared" si="39"/>
        <v>0</v>
      </c>
      <c r="T457" s="152" t="str">
        <f>+VLOOKUP($L457,Data_Validation!$A:$D,1,0)</f>
        <v>615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1803</v>
      </c>
      <c r="B458" s="718" t="s">
        <v>1804</v>
      </c>
      <c r="C458" s="720">
        <v>135480.76999999999</v>
      </c>
      <c r="D458" s="720">
        <v>22135.84</v>
      </c>
      <c r="E458" s="720">
        <v>157616.60999999999</v>
      </c>
      <c r="F458" s="718" t="s">
        <v>2015</v>
      </c>
      <c r="G458" s="718" t="s">
        <v>1120</v>
      </c>
      <c r="H458" s="673"/>
      <c r="I458" s="672"/>
      <c r="J458" s="672"/>
      <c r="K458" s="672"/>
      <c r="L458" s="149" t="str">
        <f t="shared" si="35"/>
        <v>670A</v>
      </c>
      <c r="M458" s="150" t="str">
        <f t="shared" si="36"/>
        <v>C/V - PIECES BT CLIENT BMW AUTO</v>
      </c>
      <c r="N458" s="151">
        <f>+IF(OR($Q458=Parametres!$G$2,$Q458=Parametres!$G$3),I458,C458)</f>
        <v>135480.76999999999</v>
      </c>
      <c r="O458" s="151">
        <f>+IF(OR($Q458=Parametres!$G$2,$Q458=Parametres!$G$3),J458,D458)</f>
        <v>22135.84</v>
      </c>
      <c r="P458" s="151">
        <f>+IF(OR($Q458=Parametres!$G$2,$Q458=Parametres!$G$3),K458,E458)</f>
        <v>157616.60999999999</v>
      </c>
      <c r="Q458" s="150" t="str">
        <f t="shared" si="37"/>
        <v>6-Coût des ventes</v>
      </c>
      <c r="R458" s="149" t="str">
        <f t="shared" si="38"/>
        <v>470A</v>
      </c>
      <c r="S458" s="150">
        <f t="shared" si="39"/>
        <v>0</v>
      </c>
      <c r="T458" s="152" t="str">
        <f>+VLOOKUP($L458,Data_Validation!$A:$D,1,0)</f>
        <v>670A</v>
      </c>
      <c r="U458" s="152" t="str">
        <f>+VLOOKUP($L458,Data_Validation!$A:$D,3,0)</f>
        <v>Pièces</v>
      </c>
      <c r="V458" s="152" t="str">
        <f>+VLOOKUP($L458,Data_Validation!$A:$D,4,0)</f>
        <v>Pièces Ro Clients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667</v>
      </c>
      <c r="B459" s="718" t="s">
        <v>668</v>
      </c>
      <c r="C459" s="719">
        <v>145006.09</v>
      </c>
      <c r="D459" s="719">
        <v>0</v>
      </c>
      <c r="E459" s="719">
        <v>145006.09</v>
      </c>
      <c r="F459" s="718" t="s">
        <v>2015</v>
      </c>
      <c r="G459" s="718" t="s">
        <v>629</v>
      </c>
      <c r="H459" s="719"/>
      <c r="I459" s="720"/>
      <c r="J459" s="720"/>
      <c r="K459" s="720"/>
      <c r="L459" s="149" t="str">
        <f t="shared" si="35"/>
        <v>647</v>
      </c>
      <c r="M459" s="150" t="str">
        <f t="shared" si="36"/>
        <v>C/V - X5 M</v>
      </c>
      <c r="N459" s="151">
        <f>+IF(OR($Q459=Parametres!$G$2,$Q459=Parametres!$G$3),I459,C459)</f>
        <v>145006.09</v>
      </c>
      <c r="O459" s="151">
        <f>+IF(OR($Q459=Parametres!$G$2,$Q459=Parametres!$G$3),J459,D459)</f>
        <v>0</v>
      </c>
      <c r="P459" s="151">
        <f>+IF(OR($Q459=Parametres!$G$2,$Q459=Parametres!$G$3),K459,E459)</f>
        <v>145006.09</v>
      </c>
      <c r="Q459" s="150" t="str">
        <f t="shared" si="37"/>
        <v>6-Coût des ventes</v>
      </c>
      <c r="R459" s="149" t="str">
        <f t="shared" si="38"/>
        <v>447</v>
      </c>
      <c r="S459" s="150">
        <f t="shared" si="39"/>
        <v>0</v>
      </c>
      <c r="T459" s="152" t="str">
        <f>+VLOOKUP($L459,Data_Validation!$A:$D,1,0)</f>
        <v>647</v>
      </c>
      <c r="U459" s="152" t="str">
        <f>+VLOOKUP($L459,Data_Validation!$A:$D,3,0)</f>
        <v>Véhicules neufs</v>
      </c>
      <c r="V459" s="152" t="str">
        <f>+VLOOKUP($L459,Data_Validation!$A:$D,4,0)</f>
        <v>Camions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1451</v>
      </c>
      <c r="B460" s="718" t="s">
        <v>670</v>
      </c>
      <c r="C460" s="719">
        <v>147709.57999999999</v>
      </c>
      <c r="D460" s="719">
        <v>0</v>
      </c>
      <c r="E460" s="719">
        <v>147709.57999999999</v>
      </c>
      <c r="F460" s="718" t="s">
        <v>2015</v>
      </c>
      <c r="G460" s="718" t="s">
        <v>631</v>
      </c>
      <c r="H460" s="719"/>
      <c r="I460" s="720"/>
      <c r="J460" s="720"/>
      <c r="K460" s="720"/>
      <c r="L460" s="149" t="str">
        <f t="shared" si="35"/>
        <v>652A</v>
      </c>
      <c r="M460" s="150" t="str">
        <f t="shared" si="36"/>
        <v>C/V - Z4 30I XDR</v>
      </c>
      <c r="N460" s="151">
        <f>+IF(OR($Q460=Parametres!$G$2,$Q460=Parametres!$G$3),I460,C460)</f>
        <v>147709.57999999999</v>
      </c>
      <c r="O460" s="151">
        <f>+IF(OR($Q460=Parametres!$G$2,$Q460=Parametres!$G$3),J460,D460)</f>
        <v>0</v>
      </c>
      <c r="P460" s="151">
        <f>+IF(OR($Q460=Parametres!$G$2,$Q460=Parametres!$G$3),K460,E460)</f>
        <v>147709.57999999999</v>
      </c>
      <c r="Q460" s="150" t="str">
        <f t="shared" si="37"/>
        <v>6-Coût des ventes</v>
      </c>
      <c r="R460" s="149" t="str">
        <f t="shared" si="38"/>
        <v>452A</v>
      </c>
      <c r="S460" s="150">
        <f t="shared" si="39"/>
        <v>0</v>
      </c>
      <c r="T460" s="152" t="str">
        <f>+VLOOKUP($L460,Data_Validation!$A:$D,1,0)</f>
        <v>652A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2918</v>
      </c>
      <c r="B461" s="718" t="s">
        <v>2919</v>
      </c>
      <c r="C461" s="719">
        <v>156088.57999999999</v>
      </c>
      <c r="D461" s="719">
        <v>0</v>
      </c>
      <c r="E461" s="719">
        <v>156088.57999999999</v>
      </c>
      <c r="F461" s="718" t="s">
        <v>2015</v>
      </c>
      <c r="G461" s="718" t="s">
        <v>2917</v>
      </c>
      <c r="H461" s="719"/>
      <c r="I461" s="720"/>
      <c r="J461" s="720"/>
      <c r="K461" s="720"/>
      <c r="L461" s="149" t="str">
        <f t="shared" si="35"/>
        <v>604J</v>
      </c>
      <c r="M461" s="150" t="str">
        <f t="shared" si="36"/>
        <v>C/V - i4 xDRIVE40</v>
      </c>
      <c r="N461" s="151">
        <f>+IF(OR($Q461=Parametres!$G$2,$Q461=Parametres!$G$3),I461,C461)</f>
        <v>156088.57999999999</v>
      </c>
      <c r="O461" s="151">
        <f>+IF(OR($Q461=Parametres!$G$2,$Q461=Parametres!$G$3),J461,D461)</f>
        <v>0</v>
      </c>
      <c r="P461" s="151">
        <f>+IF(OR($Q461=Parametres!$G$2,$Q461=Parametres!$G$3),K461,E461)</f>
        <v>156088.57999999999</v>
      </c>
      <c r="Q461" s="150" t="str">
        <f t="shared" si="37"/>
        <v>6-Coût des ventes</v>
      </c>
      <c r="R461" s="149" t="str">
        <f t="shared" si="38"/>
        <v>404J</v>
      </c>
      <c r="S461" s="150">
        <f t="shared" si="39"/>
        <v>0</v>
      </c>
      <c r="T461" s="152" t="str">
        <f>+VLOOKUP($L461,Data_Validation!$A:$D,1,0)</f>
        <v>604J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2874</v>
      </c>
      <c r="B462" s="718" t="s">
        <v>2876</v>
      </c>
      <c r="C462" s="720">
        <v>159314.38</v>
      </c>
      <c r="D462" s="720">
        <v>0</v>
      </c>
      <c r="E462" s="720">
        <v>159314.38</v>
      </c>
      <c r="F462" s="718" t="s">
        <v>2015</v>
      </c>
      <c r="G462" s="718" t="s">
        <v>2875</v>
      </c>
      <c r="H462" s="673"/>
      <c r="I462" s="672"/>
      <c r="J462" s="672"/>
      <c r="K462" s="672"/>
      <c r="L462" s="149" t="str">
        <f t="shared" si="35"/>
        <v>609A</v>
      </c>
      <c r="M462" s="150" t="str">
        <f t="shared" si="36"/>
        <v>X2 M35I XDRIVE</v>
      </c>
      <c r="N462" s="151">
        <f>+IF(OR($Q462=Parametres!$G$2,$Q462=Parametres!$G$3),I462,C462)</f>
        <v>159314.38</v>
      </c>
      <c r="O462" s="151">
        <f>+IF(OR($Q462=Parametres!$G$2,$Q462=Parametres!$G$3),J462,D462)</f>
        <v>0</v>
      </c>
      <c r="P462" s="151">
        <f>+IF(OR($Q462=Parametres!$G$2,$Q462=Parametres!$G$3),K462,E462)</f>
        <v>159314.38</v>
      </c>
      <c r="Q462" s="150" t="str">
        <f t="shared" si="37"/>
        <v>6-Coût des ventes</v>
      </c>
      <c r="R462" s="149" t="str">
        <f t="shared" si="38"/>
        <v>409A</v>
      </c>
      <c r="S462" s="150">
        <f t="shared" si="39"/>
        <v>0</v>
      </c>
      <c r="T462" s="152" t="str">
        <f>+VLOOKUP($L462,Data_Validation!$A:$D,1,0)</f>
        <v>609A</v>
      </c>
      <c r="U462" s="152" t="str">
        <f>+VLOOKUP($L462,Data_Validation!$A:$D,3,0)</f>
        <v>Véhicules neufs</v>
      </c>
      <c r="V462" s="152" t="str">
        <f>+VLOOKUP($L462,Data_Validation!$A:$D,4,0)</f>
        <v>Camions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1028</v>
      </c>
      <c r="B463" s="718" t="s">
        <v>981</v>
      </c>
      <c r="C463" s="720">
        <v>168281.09</v>
      </c>
      <c r="D463" s="720">
        <v>0</v>
      </c>
      <c r="E463" s="720">
        <v>168281.09</v>
      </c>
      <c r="F463" s="718" t="s">
        <v>2015</v>
      </c>
      <c r="G463" s="718" t="s">
        <v>407</v>
      </c>
      <c r="H463" s="673"/>
      <c r="I463" s="672"/>
      <c r="J463" s="672"/>
      <c r="K463" s="672"/>
      <c r="L463" s="149" t="str">
        <f t="shared" si="35"/>
        <v>629C</v>
      </c>
      <c r="M463" s="150" t="str">
        <f t="shared" si="36"/>
        <v>C/V - X4 M40I XDRIVE</v>
      </c>
      <c r="N463" s="151">
        <f>+IF(OR($Q463=Parametres!$G$2,$Q463=Parametres!$G$3),I463,C463)</f>
        <v>168281.09</v>
      </c>
      <c r="O463" s="151">
        <f>+IF(OR($Q463=Parametres!$G$2,$Q463=Parametres!$G$3),J463,D463)</f>
        <v>0</v>
      </c>
      <c r="P463" s="151">
        <f>+IF(OR($Q463=Parametres!$G$2,$Q463=Parametres!$G$3),K463,E463)</f>
        <v>168281.09</v>
      </c>
      <c r="Q463" s="150" t="str">
        <f t="shared" si="37"/>
        <v>6-Coût des ventes</v>
      </c>
      <c r="R463" s="149" t="str">
        <f t="shared" si="38"/>
        <v>429C</v>
      </c>
      <c r="S463" s="150">
        <f t="shared" si="39"/>
        <v>0</v>
      </c>
      <c r="T463" s="152" t="str">
        <f>+VLOOKUP($L463,Data_Validation!$A:$D,1,0)</f>
        <v>629C</v>
      </c>
      <c r="U463" s="152" t="str">
        <f>+VLOOKUP($L463,Data_Validation!$A:$D,3,0)</f>
        <v>Véhicules neufs</v>
      </c>
      <c r="V463" s="152" t="str">
        <f>+VLOOKUP($L463,Data_Validation!$A:$D,4,0)</f>
        <v>Camions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1419</v>
      </c>
      <c r="B464" s="718" t="s">
        <v>1420</v>
      </c>
      <c r="C464" s="720">
        <v>175112.67</v>
      </c>
      <c r="D464" s="720">
        <v>0</v>
      </c>
      <c r="E464" s="720">
        <v>175112.67</v>
      </c>
      <c r="F464" s="718" t="s">
        <v>2015</v>
      </c>
      <c r="G464" s="718" t="s">
        <v>1376</v>
      </c>
      <c r="H464" s="673"/>
      <c r="I464" s="672"/>
      <c r="J464" s="672"/>
      <c r="K464" s="672"/>
      <c r="L464" s="149" t="str">
        <f t="shared" si="35"/>
        <v>607A</v>
      </c>
      <c r="M464" s="150" t="str">
        <f t="shared" si="36"/>
        <v>C/V - M3 SEDAN</v>
      </c>
      <c r="N464" s="151">
        <f>+IF(OR($Q464=Parametres!$G$2,$Q464=Parametres!$G$3),I464,C464)</f>
        <v>175112.67</v>
      </c>
      <c r="O464" s="151">
        <f>+IF(OR($Q464=Parametres!$G$2,$Q464=Parametres!$G$3),J464,D464)</f>
        <v>0</v>
      </c>
      <c r="P464" s="151">
        <f>+IF(OR($Q464=Parametres!$G$2,$Q464=Parametres!$G$3),K464,E464)</f>
        <v>175112.67</v>
      </c>
      <c r="Q464" s="150" t="str">
        <f t="shared" si="37"/>
        <v>6-Coût des ventes</v>
      </c>
      <c r="R464" s="149" t="str">
        <f t="shared" si="38"/>
        <v>407A</v>
      </c>
      <c r="S464" s="150">
        <f t="shared" si="39"/>
        <v>0</v>
      </c>
      <c r="T464" s="152" t="str">
        <f>+VLOOKUP($L464,Data_Validation!$A:$D,1,0)</f>
        <v>607A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1784</v>
      </c>
      <c r="B465" s="718" t="s">
        <v>960</v>
      </c>
      <c r="C465" s="719">
        <v>198886.31</v>
      </c>
      <c r="D465" s="719">
        <v>24256.23</v>
      </c>
      <c r="E465" s="719">
        <v>223142.54</v>
      </c>
      <c r="F465" s="718" t="s">
        <v>2015</v>
      </c>
      <c r="G465" s="718" t="s">
        <v>1120</v>
      </c>
      <c r="H465" s="719"/>
      <c r="I465" s="720"/>
      <c r="J465" s="720"/>
      <c r="K465" s="720"/>
      <c r="L465" s="149" t="str">
        <f t="shared" si="35"/>
        <v>670B</v>
      </c>
      <c r="M465" s="150" t="str">
        <f t="shared" si="36"/>
        <v>C/V - PIECES BT CLIENT BMW CAMION</v>
      </c>
      <c r="N465" s="151">
        <f>+IF(OR($Q465=Parametres!$G$2,$Q465=Parametres!$G$3),I465,C465)</f>
        <v>198886.31</v>
      </c>
      <c r="O465" s="151">
        <f>+IF(OR($Q465=Parametres!$G$2,$Q465=Parametres!$G$3),J465,D465)</f>
        <v>24256.23</v>
      </c>
      <c r="P465" s="151">
        <f>+IF(OR($Q465=Parametres!$G$2,$Q465=Parametres!$G$3),K465,E465)</f>
        <v>223142.54</v>
      </c>
      <c r="Q465" s="150" t="str">
        <f t="shared" si="37"/>
        <v>6-Coût des ventes</v>
      </c>
      <c r="R465" s="149" t="str">
        <f t="shared" si="38"/>
        <v>470A</v>
      </c>
      <c r="S465" s="150">
        <f t="shared" si="39"/>
        <v>0</v>
      </c>
      <c r="T465" s="152" t="str">
        <f>+VLOOKUP($L465,Data_Validation!$A:$D,1,0)</f>
        <v>670B</v>
      </c>
      <c r="U465" s="152" t="str">
        <f>+VLOOKUP($L465,Data_Validation!$A:$D,3,0)</f>
        <v>Pièces</v>
      </c>
      <c r="V465" s="152" t="str">
        <f>+VLOOKUP($L465,Data_Validation!$A:$D,4,0)</f>
        <v>Pièces Ro Clients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1826</v>
      </c>
      <c r="B466" s="718" t="s">
        <v>841</v>
      </c>
      <c r="C466" s="719">
        <v>200378.17</v>
      </c>
      <c r="D466" s="719">
        <v>22842.67</v>
      </c>
      <c r="E466" s="719">
        <v>223220.84</v>
      </c>
      <c r="F466" s="718" t="s">
        <v>2015</v>
      </c>
      <c r="G466" s="718" t="s">
        <v>1096</v>
      </c>
      <c r="H466" s="719"/>
      <c r="I466" s="720"/>
      <c r="J466" s="720"/>
      <c r="K466" s="720"/>
      <c r="L466" s="149" t="str">
        <f t="shared" si="35"/>
        <v>672B</v>
      </c>
      <c r="M466" s="150" t="str">
        <f t="shared" si="36"/>
        <v>C/V - PIECES GARANTIE BMW CAMION</v>
      </c>
      <c r="N466" s="151">
        <f>+IF(OR($Q466=Parametres!$G$2,$Q466=Parametres!$G$3),I466,C466)</f>
        <v>200378.17</v>
      </c>
      <c r="O466" s="151">
        <f>+IF(OR($Q466=Parametres!$G$2,$Q466=Parametres!$G$3),J466,D466)</f>
        <v>22842.67</v>
      </c>
      <c r="P466" s="151">
        <f>+IF(OR($Q466=Parametres!$G$2,$Q466=Parametres!$G$3),K466,E466)</f>
        <v>223220.84</v>
      </c>
      <c r="Q466" s="150" t="str">
        <f t="shared" si="37"/>
        <v>6-Coût des ventes</v>
      </c>
      <c r="R466" s="149" t="str">
        <f t="shared" si="38"/>
        <v>472A</v>
      </c>
      <c r="S466" s="150">
        <f t="shared" si="39"/>
        <v>0</v>
      </c>
      <c r="T466" s="152" t="str">
        <f>+VLOOKUP($L466,Data_Validation!$A:$D,1,0)</f>
        <v>672B</v>
      </c>
      <c r="U466" s="152" t="str">
        <f>+VLOOKUP($L466,Data_Validation!$A:$D,3,0)</f>
        <v>pièces</v>
      </c>
      <c r="V466" s="152" t="str">
        <f>+VLOOKUP($L466,Data_Validation!$A:$D,4,0)</f>
        <v>P/A Garantie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2534</v>
      </c>
      <c r="B467" s="718" t="s">
        <v>2535</v>
      </c>
      <c r="C467" s="720">
        <v>201237.62</v>
      </c>
      <c r="D467" s="720">
        <v>134052.85999999999</v>
      </c>
      <c r="E467" s="720">
        <v>335290.48</v>
      </c>
      <c r="F467" s="718" t="s">
        <v>2015</v>
      </c>
      <c r="G467" s="718" t="s">
        <v>2531</v>
      </c>
      <c r="H467" s="673"/>
      <c r="I467" s="672"/>
      <c r="J467" s="672"/>
      <c r="K467" s="672"/>
      <c r="L467" s="149" t="str">
        <f t="shared" si="35"/>
        <v>616A</v>
      </c>
      <c r="M467" s="150" t="str">
        <f t="shared" si="36"/>
        <v>C/V - X1 M35i xDRIVE</v>
      </c>
      <c r="N467" s="151">
        <f>+IF(OR($Q467=Parametres!$G$2,$Q467=Parametres!$G$3),I467,C467)</f>
        <v>201237.62</v>
      </c>
      <c r="O467" s="151">
        <f>+IF(OR($Q467=Parametres!$G$2,$Q467=Parametres!$G$3),J467,D467)</f>
        <v>134052.85999999999</v>
      </c>
      <c r="P467" s="151">
        <f>+IF(OR($Q467=Parametres!$G$2,$Q467=Parametres!$G$3),K467,E467)</f>
        <v>335290.48</v>
      </c>
      <c r="Q467" s="150" t="str">
        <f t="shared" si="37"/>
        <v>6-Coût des ventes</v>
      </c>
      <c r="R467" s="149" t="str">
        <f t="shared" si="38"/>
        <v>416A</v>
      </c>
      <c r="S467" s="150">
        <f t="shared" si="39"/>
        <v>0</v>
      </c>
      <c r="T467" s="152" t="str">
        <f>+VLOOKUP($L467,Data_Validation!$A:$D,1,0)</f>
        <v>616A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2464</v>
      </c>
      <c r="B468" s="718" t="s">
        <v>662</v>
      </c>
      <c r="C468" s="720">
        <v>208571.21</v>
      </c>
      <c r="D468" s="720">
        <v>0</v>
      </c>
      <c r="E468" s="720">
        <v>208571.21</v>
      </c>
      <c r="F468" s="718" t="s">
        <v>2015</v>
      </c>
      <c r="G468" s="718" t="s">
        <v>624</v>
      </c>
      <c r="H468" s="673"/>
      <c r="I468" s="672"/>
      <c r="J468" s="672"/>
      <c r="K468" s="672"/>
      <c r="L468" s="149" t="str">
        <f t="shared" si="35"/>
        <v>629A</v>
      </c>
      <c r="M468" s="150" t="str">
        <f t="shared" si="36"/>
        <v>C/V - X4 XDRIVE 40I/ X4 XDRIVE 30I</v>
      </c>
      <c r="N468" s="151">
        <f>+IF(OR($Q468=Parametres!$G$2,$Q468=Parametres!$G$3),I468,C468)</f>
        <v>208571.21</v>
      </c>
      <c r="O468" s="151">
        <f>+IF(OR($Q468=Parametres!$G$2,$Q468=Parametres!$G$3),J468,D468)</f>
        <v>0</v>
      </c>
      <c r="P468" s="151">
        <f>+IF(OR($Q468=Parametres!$G$2,$Q468=Parametres!$G$3),K468,E468)</f>
        <v>208571.21</v>
      </c>
      <c r="Q468" s="150" t="str">
        <f t="shared" si="37"/>
        <v>6-Coût des ventes</v>
      </c>
      <c r="R468" s="149" t="str">
        <f t="shared" si="38"/>
        <v>429A</v>
      </c>
      <c r="S468" s="150">
        <f t="shared" si="39"/>
        <v>0</v>
      </c>
      <c r="T468" s="152" t="str">
        <f>+VLOOKUP($L468,Data_Validation!$A:$D,1,0)</f>
        <v>629A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2036</v>
      </c>
      <c r="B469" s="718" t="s">
        <v>2037</v>
      </c>
      <c r="C469" s="720">
        <v>212112.06</v>
      </c>
      <c r="D469" s="720">
        <v>0</v>
      </c>
      <c r="E469" s="720">
        <v>212112.06</v>
      </c>
      <c r="F469" s="718" t="s">
        <v>2015</v>
      </c>
      <c r="G469" s="718" t="s">
        <v>2031</v>
      </c>
      <c r="H469" s="673"/>
      <c r="I469" s="672"/>
      <c r="J469" s="672"/>
      <c r="K469" s="672"/>
      <c r="L469" s="149" t="str">
        <f t="shared" si="35"/>
        <v>607C</v>
      </c>
      <c r="M469" s="150" t="str">
        <f t="shared" si="36"/>
        <v>C/V - M3 COMPETITION</v>
      </c>
      <c r="N469" s="151">
        <f>+IF(OR($Q469=Parametres!$G$2,$Q469=Parametres!$G$3),I469,C469)</f>
        <v>212112.06</v>
      </c>
      <c r="O469" s="151">
        <f>+IF(OR($Q469=Parametres!$G$2,$Q469=Parametres!$G$3),J469,D469)</f>
        <v>0</v>
      </c>
      <c r="P469" s="151">
        <f>+IF(OR($Q469=Parametres!$G$2,$Q469=Parametres!$G$3),K469,E469)</f>
        <v>212112.06</v>
      </c>
      <c r="Q469" s="150" t="str">
        <f t="shared" si="37"/>
        <v>6-Coût des ventes</v>
      </c>
      <c r="R469" s="149" t="str">
        <f t="shared" si="38"/>
        <v>407C</v>
      </c>
      <c r="S469" s="150">
        <f t="shared" si="39"/>
        <v>0</v>
      </c>
      <c r="T469" s="152" t="str">
        <f>+VLOOKUP($L469,Data_Validation!$A:$D,1,0)</f>
        <v>607C</v>
      </c>
      <c r="U469" s="152" t="str">
        <f>+VLOOKUP($L469,Data_Validation!$A:$D,3,0)</f>
        <v>Véhicules neufs</v>
      </c>
      <c r="V469" s="152" t="str">
        <f>+VLOOKUP($L469,Data_Validation!$A:$D,4,0)</f>
        <v>Autos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1427</v>
      </c>
      <c r="B470" s="718" t="s">
        <v>976</v>
      </c>
      <c r="C470" s="719">
        <v>214312.85</v>
      </c>
      <c r="D470" s="719">
        <v>217923.68</v>
      </c>
      <c r="E470" s="719">
        <v>432236.53</v>
      </c>
      <c r="F470" s="718" t="s">
        <v>2015</v>
      </c>
      <c r="G470" s="718" t="s">
        <v>419</v>
      </c>
      <c r="H470" s="719"/>
      <c r="I470" s="720"/>
      <c r="J470" s="720"/>
      <c r="K470" s="720"/>
      <c r="L470" s="149" t="str">
        <f t="shared" si="35"/>
        <v>622A</v>
      </c>
      <c r="M470" s="150" t="str">
        <f t="shared" si="36"/>
        <v>C/V - X6 XDRIVE 35I</v>
      </c>
      <c r="N470" s="151">
        <f>+IF(OR($Q470=Parametres!$G$2,$Q470=Parametres!$G$3),I470,C470)</f>
        <v>214312.85</v>
      </c>
      <c r="O470" s="151">
        <f>+IF(OR($Q470=Parametres!$G$2,$Q470=Parametres!$G$3),J470,D470)</f>
        <v>217923.68</v>
      </c>
      <c r="P470" s="151">
        <f>+IF(OR($Q470=Parametres!$G$2,$Q470=Parametres!$G$3),K470,E470)</f>
        <v>432236.53</v>
      </c>
      <c r="Q470" s="150" t="str">
        <f t="shared" si="37"/>
        <v>6-Coût des ventes</v>
      </c>
      <c r="R470" s="149" t="str">
        <f t="shared" si="38"/>
        <v>422A</v>
      </c>
      <c r="S470" s="150">
        <f t="shared" si="39"/>
        <v>0</v>
      </c>
      <c r="T470" s="152" t="str">
        <f>+VLOOKUP($L470,Data_Validation!$A:$D,1,0)</f>
        <v>622A</v>
      </c>
      <c r="U470" s="152" t="str">
        <f>+VLOOKUP($L470,Data_Validation!$A:$D,3,0)</f>
        <v>Véhicules neufs</v>
      </c>
      <c r="V470" s="152" t="str">
        <f>+VLOOKUP($L470,Data_Validation!$A:$D,4,0)</f>
        <v>Camions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2536</v>
      </c>
      <c r="B471" s="718" t="s">
        <v>2537</v>
      </c>
      <c r="C471" s="720">
        <v>216450.03</v>
      </c>
      <c r="D471" s="720">
        <v>105415.39</v>
      </c>
      <c r="E471" s="720">
        <v>321865.42</v>
      </c>
      <c r="F471" s="718" t="s">
        <v>2015</v>
      </c>
      <c r="G471" s="718" t="s">
        <v>2943</v>
      </c>
      <c r="H471" s="719"/>
      <c r="I471" s="719"/>
      <c r="J471" s="719"/>
      <c r="K471" s="719"/>
      <c r="L471" s="149" t="str">
        <f t="shared" si="35"/>
        <v>624E</v>
      </c>
      <c r="M471" s="150" t="str">
        <f t="shared" si="36"/>
        <v>C/V - i5 M60 xDRIVE</v>
      </c>
      <c r="N471" s="151">
        <f>+IF(OR($Q471=Parametres!$G$2,$Q471=Parametres!$G$3),I471,C471)</f>
        <v>216450.03</v>
      </c>
      <c r="O471" s="151">
        <f>+IF(OR($Q471=Parametres!$G$2,$Q471=Parametres!$G$3),J471,D471)</f>
        <v>105415.39</v>
      </c>
      <c r="P471" s="151">
        <f>+IF(OR($Q471=Parametres!$G$2,$Q471=Parametres!$G$3),K471,E471)</f>
        <v>321865.42</v>
      </c>
      <c r="Q471" s="150" t="str">
        <f t="shared" si="37"/>
        <v>6-Coût des ventes</v>
      </c>
      <c r="R471" s="149" t="str">
        <f t="shared" si="38"/>
        <v>404E</v>
      </c>
      <c r="S471" s="150">
        <f t="shared" si="39"/>
        <v>0</v>
      </c>
      <c r="T471" s="152" t="str">
        <f>+VLOOKUP($L471,Data_Validation!$A:$D,1,0)</f>
        <v>624E</v>
      </c>
      <c r="U471" s="152" t="str">
        <f>+VLOOKUP($L471,Data_Validation!$A:$D,3,0)</f>
        <v>Véhicules neufs</v>
      </c>
      <c r="V471" s="152" t="str">
        <f>+VLOOKUP($L471,Data_Validation!$A:$D,4,0)</f>
        <v>Autos détail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2555</v>
      </c>
      <c r="B472" s="718" t="s">
        <v>2556</v>
      </c>
      <c r="C472" s="719">
        <v>220347.51999999999</v>
      </c>
      <c r="D472" s="719">
        <v>136132.6</v>
      </c>
      <c r="E472" s="719">
        <v>356480.12</v>
      </c>
      <c r="F472" s="718" t="s">
        <v>2015</v>
      </c>
      <c r="G472" s="718" t="s">
        <v>2554</v>
      </c>
      <c r="H472" s="719"/>
      <c r="I472" s="720"/>
      <c r="J472" s="720"/>
      <c r="K472" s="720"/>
      <c r="L472" s="149" t="str">
        <f t="shared" si="35"/>
        <v>622C</v>
      </c>
      <c r="M472" s="150" t="str">
        <f t="shared" si="36"/>
        <v>C/V - X6 M60i</v>
      </c>
      <c r="N472" s="151">
        <f>+IF(OR($Q472=Parametres!$G$2,$Q472=Parametres!$G$3),I472,C472)</f>
        <v>220347.51999999999</v>
      </c>
      <c r="O472" s="151">
        <f>+IF(OR($Q472=Parametres!$G$2,$Q472=Parametres!$G$3),J472,D472)</f>
        <v>136132.6</v>
      </c>
      <c r="P472" s="151">
        <f>+IF(OR($Q472=Parametres!$G$2,$Q472=Parametres!$G$3),K472,E472)</f>
        <v>356480.12</v>
      </c>
      <c r="Q472" s="150" t="str">
        <f t="shared" si="37"/>
        <v>6-Coût des ventes</v>
      </c>
      <c r="R472" s="149" t="str">
        <f t="shared" si="38"/>
        <v>422C</v>
      </c>
      <c r="S472" s="150">
        <f t="shared" si="39"/>
        <v>0</v>
      </c>
      <c r="T472" s="152" t="str">
        <f>+VLOOKUP($L472,Data_Validation!$A:$D,1,0)</f>
        <v>622C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1987</v>
      </c>
      <c r="B473" s="718" t="s">
        <v>1988</v>
      </c>
      <c r="C473" s="720">
        <v>225357.57</v>
      </c>
      <c r="D473" s="720">
        <v>78800.34</v>
      </c>
      <c r="E473" s="720">
        <v>304157.90999999997</v>
      </c>
      <c r="F473" s="718" t="s">
        <v>2015</v>
      </c>
      <c r="G473" s="718" t="s">
        <v>1984</v>
      </c>
      <c r="H473" s="607"/>
      <c r="I473" s="608"/>
      <c r="J473" s="608"/>
      <c r="K473" s="608"/>
      <c r="L473" s="149" t="str">
        <f t="shared" si="35"/>
        <v>605K</v>
      </c>
      <c r="M473" s="150" t="str">
        <f t="shared" si="36"/>
        <v>C/V - M440I XDR COUPE</v>
      </c>
      <c r="N473" s="151">
        <f>+IF(OR($Q473=Parametres!$G$2,$Q473=Parametres!$G$3),I473,C473)</f>
        <v>225357.57</v>
      </c>
      <c r="O473" s="151">
        <f>+IF(OR($Q473=Parametres!$G$2,$Q473=Parametres!$G$3),J473,D473)</f>
        <v>78800.34</v>
      </c>
      <c r="P473" s="151">
        <f>+IF(OR($Q473=Parametres!$G$2,$Q473=Parametres!$G$3),K473,E473)</f>
        <v>304157.90999999997</v>
      </c>
      <c r="Q473" s="150" t="str">
        <f t="shared" si="37"/>
        <v>6-Coût des ventes</v>
      </c>
      <c r="R473" s="149" t="str">
        <f t="shared" si="38"/>
        <v>405K</v>
      </c>
      <c r="S473" s="150">
        <f t="shared" si="39"/>
        <v>0</v>
      </c>
      <c r="T473" s="152" t="str">
        <f>+VLOOKUP($L473,Data_Validation!$A:$D,1,0)</f>
        <v>605K</v>
      </c>
      <c r="U473" s="152" t="str">
        <f>+VLOOKUP($L473,Data_Validation!$A:$D,3,0)</f>
        <v>Véhicules neufs</v>
      </c>
      <c r="V473" s="152" t="str">
        <f>+VLOOKUP($L473,Data_Validation!$A:$D,4,0)</f>
        <v>Autos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2522</v>
      </c>
      <c r="B474" s="718" t="s">
        <v>2526</v>
      </c>
      <c r="C474" s="719">
        <v>233811.43</v>
      </c>
      <c r="D474" s="719">
        <v>0</v>
      </c>
      <c r="E474" s="719">
        <v>233811.43</v>
      </c>
      <c r="F474" s="718" t="s">
        <v>2015</v>
      </c>
      <c r="G474" s="718" t="s">
        <v>2526</v>
      </c>
      <c r="H474" s="719"/>
      <c r="I474" s="720"/>
      <c r="J474" s="720"/>
      <c r="K474" s="720"/>
      <c r="L474" s="149" t="str">
        <f t="shared" si="35"/>
        <v>681</v>
      </c>
      <c r="M474" s="150" t="str">
        <f t="shared" si="36"/>
        <v>XM</v>
      </c>
      <c r="N474" s="151">
        <f>+IF(OR($Q474=Parametres!$G$2,$Q474=Parametres!$G$3),I474,C474)</f>
        <v>233811.43</v>
      </c>
      <c r="O474" s="151">
        <f>+IF(OR($Q474=Parametres!$G$2,$Q474=Parametres!$G$3),J474,D474)</f>
        <v>0</v>
      </c>
      <c r="P474" s="151">
        <f>+IF(OR($Q474=Parametres!$G$2,$Q474=Parametres!$G$3),K474,E474)</f>
        <v>233811.43</v>
      </c>
      <c r="Q474" s="150" t="str">
        <f t="shared" si="37"/>
        <v>6-Coût des ventes</v>
      </c>
      <c r="R474" s="149" t="str">
        <f t="shared" si="38"/>
        <v>681</v>
      </c>
      <c r="S474" s="150">
        <f t="shared" si="39"/>
        <v>0</v>
      </c>
      <c r="T474" s="152" t="str">
        <f>+VLOOKUP($L474,Data_Validation!$A:$D,1,0)</f>
        <v>681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2855</v>
      </c>
      <c r="B475" s="718" t="s">
        <v>2860</v>
      </c>
      <c r="C475" s="720">
        <v>235559.82</v>
      </c>
      <c r="D475" s="720">
        <v>0</v>
      </c>
      <c r="E475" s="720">
        <v>235559.82</v>
      </c>
      <c r="F475" s="718" t="s">
        <v>2015</v>
      </c>
      <c r="G475" s="718" t="s">
        <v>2526</v>
      </c>
      <c r="H475" s="666"/>
      <c r="I475" s="665"/>
      <c r="J475" s="665"/>
      <c r="K475" s="665"/>
      <c r="L475" s="149" t="str">
        <f t="shared" si="35"/>
        <v>681A</v>
      </c>
      <c r="M475" s="150" t="str">
        <f t="shared" si="36"/>
        <v>XM LABEL</v>
      </c>
      <c r="N475" s="151">
        <f>+IF(OR($Q475=Parametres!$G$2,$Q475=Parametres!$G$3),I475,C475)</f>
        <v>235559.82</v>
      </c>
      <c r="O475" s="151">
        <f>+IF(OR($Q475=Parametres!$G$2,$Q475=Parametres!$G$3),J475,D475)</f>
        <v>0</v>
      </c>
      <c r="P475" s="151">
        <f>+IF(OR($Q475=Parametres!$G$2,$Q475=Parametres!$G$3),K475,E475)</f>
        <v>235559.82</v>
      </c>
      <c r="Q475" s="150" t="str">
        <f t="shared" si="37"/>
        <v>6-Coût des ventes</v>
      </c>
      <c r="R475" s="149" t="str">
        <f t="shared" si="38"/>
        <v>681</v>
      </c>
      <c r="S475" s="150">
        <f t="shared" si="39"/>
        <v>0</v>
      </c>
      <c r="T475" s="152" t="str">
        <f>+VLOOKUP($L475,Data_Validation!$A:$D,1,0)</f>
        <v>681A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1065</v>
      </c>
      <c r="B476" s="718" t="s">
        <v>364</v>
      </c>
      <c r="C476" s="720">
        <v>269709.11</v>
      </c>
      <c r="D476" s="720">
        <v>123679.5</v>
      </c>
      <c r="E476" s="720">
        <v>393388.61</v>
      </c>
      <c r="F476" s="718" t="s">
        <v>2015</v>
      </c>
      <c r="G476" s="718" t="s">
        <v>637</v>
      </c>
      <c r="H476" s="673"/>
      <c r="I476" s="672"/>
      <c r="J476" s="672"/>
      <c r="K476" s="672"/>
      <c r="L476" s="149" t="str">
        <f t="shared" si="35"/>
        <v>680</v>
      </c>
      <c r="M476" s="150" t="str">
        <f t="shared" si="36"/>
        <v>C/V - X7 XDR 40I</v>
      </c>
      <c r="N476" s="151">
        <f>+IF(OR($Q476=Parametres!$G$2,$Q476=Parametres!$G$3),I476,C476)</f>
        <v>269709.11</v>
      </c>
      <c r="O476" s="151">
        <f>+IF(OR($Q476=Parametres!$G$2,$Q476=Parametres!$G$3),J476,D476)</f>
        <v>123679.5</v>
      </c>
      <c r="P476" s="151">
        <f>+IF(OR($Q476=Parametres!$G$2,$Q476=Parametres!$G$3),K476,E476)</f>
        <v>393388.61</v>
      </c>
      <c r="Q476" s="150" t="str">
        <f t="shared" si="37"/>
        <v>6-Coût des ventes</v>
      </c>
      <c r="R476" s="149" t="str">
        <f t="shared" si="38"/>
        <v>480</v>
      </c>
      <c r="S476" s="150">
        <f t="shared" si="39"/>
        <v>0</v>
      </c>
      <c r="T476" s="152" t="str">
        <f>+VLOOKUP($L476,Data_Validation!$A:$D,1,0)</f>
        <v>680</v>
      </c>
      <c r="U476" s="152" t="str">
        <f>+VLOOKUP($L476,Data_Validation!$A:$D,3,0)</f>
        <v>Véhicules neufs</v>
      </c>
      <c r="V476" s="152" t="str">
        <f>+VLOOKUP($L476,Data_Validation!$A:$D,4,0)</f>
        <v>Camions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1925</v>
      </c>
      <c r="B477" s="718" t="s">
        <v>1927</v>
      </c>
      <c r="C477" s="720">
        <v>278307.76</v>
      </c>
      <c r="D477" s="720">
        <v>0</v>
      </c>
      <c r="E477" s="720">
        <v>278307.76</v>
      </c>
      <c r="F477" s="718" t="s">
        <v>2015</v>
      </c>
      <c r="G477" s="718" t="s">
        <v>1926</v>
      </c>
      <c r="H477" s="673"/>
      <c r="I477" s="672"/>
      <c r="J477" s="672"/>
      <c r="K477" s="672"/>
      <c r="L477" s="149" t="str">
        <f t="shared" si="35"/>
        <v>611H</v>
      </c>
      <c r="M477" s="150" t="str">
        <f t="shared" si="36"/>
        <v>330E XDRIVE BERLINE</v>
      </c>
      <c r="N477" s="151">
        <f>+IF(OR($Q477=Parametres!$G$2,$Q477=Parametres!$G$3),I477,C477)</f>
        <v>278307.76</v>
      </c>
      <c r="O477" s="151">
        <f>+IF(OR($Q477=Parametres!$G$2,$Q477=Parametres!$G$3),J477,D477)</f>
        <v>0</v>
      </c>
      <c r="P477" s="151">
        <f>+IF(OR($Q477=Parametres!$G$2,$Q477=Parametres!$G$3),K477,E477)</f>
        <v>278307.76</v>
      </c>
      <c r="Q477" s="150" t="str">
        <f t="shared" si="37"/>
        <v>6-Coût des ventes</v>
      </c>
      <c r="R477" s="149" t="str">
        <f t="shared" si="38"/>
        <v>411H</v>
      </c>
      <c r="S477" s="150">
        <f t="shared" si="39"/>
        <v>0</v>
      </c>
      <c r="T477" s="152" t="str">
        <f>+VLOOKUP($L477,Data_Validation!$A:$D,1,0)</f>
        <v>611H</v>
      </c>
      <c r="U477" s="152" t="str">
        <f>+VLOOKUP($L477,Data_Validation!$A:$D,3,0)</f>
        <v>Véhicules neufs</v>
      </c>
      <c r="V477" s="152" t="str">
        <f>+VLOOKUP($L477,Data_Validation!$A:$D,4,0)</f>
        <v>Autos détail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2524</v>
      </c>
      <c r="B478" s="718" t="s">
        <v>2525</v>
      </c>
      <c r="C478" s="719">
        <v>291459.78000000003</v>
      </c>
      <c r="D478" s="719">
        <v>0</v>
      </c>
      <c r="E478" s="719">
        <v>291459.78000000003</v>
      </c>
      <c r="F478" s="718" t="s">
        <v>2015</v>
      </c>
      <c r="G478" s="718" t="s">
        <v>2521</v>
      </c>
      <c r="H478" s="719"/>
      <c r="I478" s="720"/>
      <c r="J478" s="720"/>
      <c r="K478" s="720"/>
      <c r="L478" s="149" t="str">
        <f t="shared" si="35"/>
        <v>680C</v>
      </c>
      <c r="M478" s="150" t="str">
        <f t="shared" si="36"/>
        <v>C/V - X7 M60i</v>
      </c>
      <c r="N478" s="151">
        <f>+IF(OR($Q478=Parametres!$G$2,$Q478=Parametres!$G$3),I478,C478)</f>
        <v>291459.78000000003</v>
      </c>
      <c r="O478" s="151">
        <f>+IF(OR($Q478=Parametres!$G$2,$Q478=Parametres!$G$3),J478,D478)</f>
        <v>0</v>
      </c>
      <c r="P478" s="151">
        <f>+IF(OR($Q478=Parametres!$G$2,$Q478=Parametres!$G$3),K478,E478)</f>
        <v>291459.78000000003</v>
      </c>
      <c r="Q478" s="150" t="str">
        <f t="shared" si="37"/>
        <v>6-Coût des ventes</v>
      </c>
      <c r="R478" s="149" t="str">
        <f t="shared" si="38"/>
        <v>480C</v>
      </c>
      <c r="S478" s="150">
        <f t="shared" si="39"/>
        <v>0</v>
      </c>
      <c r="T478" s="152" t="str">
        <f>+VLOOKUP($L478,Data_Validation!$A:$D,1,0)</f>
        <v>680C</v>
      </c>
      <c r="U478" s="152" t="str">
        <f>+VLOOKUP($L478,Data_Validation!$A:$D,3,0)</f>
        <v>Véhicules neufs</v>
      </c>
      <c r="V478" s="152" t="str">
        <f>+VLOOKUP($L478,Data_Validation!$A:$D,4,0)</f>
        <v>Camions détail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1425</v>
      </c>
      <c r="B479" s="718" t="s">
        <v>971</v>
      </c>
      <c r="C479" s="719">
        <v>311968.45</v>
      </c>
      <c r="D479" s="719">
        <v>125396.62</v>
      </c>
      <c r="E479" s="719">
        <v>437365.07</v>
      </c>
      <c r="F479" s="718" t="s">
        <v>2015</v>
      </c>
      <c r="G479" s="718" t="s">
        <v>423</v>
      </c>
      <c r="H479" s="719"/>
      <c r="I479" s="720"/>
      <c r="J479" s="720"/>
      <c r="K479" s="720"/>
      <c r="L479" s="149" t="str">
        <f t="shared" si="35"/>
        <v>619</v>
      </c>
      <c r="M479" s="150" t="str">
        <f t="shared" si="36"/>
        <v>C/V - FLEET VOITURE BMW</v>
      </c>
      <c r="N479" s="151">
        <f>+IF(OR($Q479=Parametres!$G$2,$Q479=Parametres!$G$3),I479,C479)</f>
        <v>311968.45</v>
      </c>
      <c r="O479" s="151">
        <f>+IF(OR($Q479=Parametres!$G$2,$Q479=Parametres!$G$3),J479,D479)</f>
        <v>125396.62</v>
      </c>
      <c r="P479" s="151">
        <f>+IF(OR($Q479=Parametres!$G$2,$Q479=Parametres!$G$3),K479,E479)</f>
        <v>437365.07</v>
      </c>
      <c r="Q479" s="150" t="str">
        <f t="shared" si="37"/>
        <v>6-Coût des ventes</v>
      </c>
      <c r="R479" s="149" t="str">
        <f t="shared" si="38"/>
        <v>419</v>
      </c>
      <c r="S479" s="150">
        <f t="shared" si="39"/>
        <v>0</v>
      </c>
      <c r="T479" s="152" t="str">
        <f>+VLOOKUP($L479,Data_Validation!$A:$D,1,0)</f>
        <v>619</v>
      </c>
      <c r="U479" s="152" t="str">
        <f>+VLOOKUP($L479,Data_Validation!$A:$D,3,0)</f>
        <v>Véhicules neufs</v>
      </c>
      <c r="V479" s="152" t="str">
        <f>+VLOOKUP($L479,Data_Validation!$A:$D,4,0)</f>
        <v>Flottes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2348</v>
      </c>
      <c r="B480" s="718" t="s">
        <v>2349</v>
      </c>
      <c r="C480" s="720">
        <v>316233.65000000002</v>
      </c>
      <c r="D480" s="720">
        <v>0</v>
      </c>
      <c r="E480" s="720">
        <v>316233.65000000002</v>
      </c>
      <c r="F480" s="718" t="s">
        <v>2015</v>
      </c>
      <c r="G480" s="718" t="s">
        <v>2343</v>
      </c>
      <c r="H480" s="673"/>
      <c r="I480" s="673"/>
      <c r="J480" s="673"/>
      <c r="K480" s="673"/>
      <c r="L480" s="149" t="str">
        <f t="shared" si="35"/>
        <v>602B</v>
      </c>
      <c r="M480" s="150" t="str">
        <f t="shared" si="36"/>
        <v>C/V - IX XDRIVE 50</v>
      </c>
      <c r="N480" s="151">
        <f>+IF(OR($Q480=Parametres!$G$2,$Q480=Parametres!$G$3),I480,C480)</f>
        <v>316233.65000000002</v>
      </c>
      <c r="O480" s="151">
        <f>+IF(OR($Q480=Parametres!$G$2,$Q480=Parametres!$G$3),J480,D480)</f>
        <v>0</v>
      </c>
      <c r="P480" s="151">
        <f>+IF(OR($Q480=Parametres!$G$2,$Q480=Parametres!$G$3),K480,E480)</f>
        <v>316233.65000000002</v>
      </c>
      <c r="Q480" s="150" t="str">
        <f t="shared" si="37"/>
        <v>6-Coût des ventes</v>
      </c>
      <c r="R480" s="149" t="str">
        <f t="shared" si="38"/>
        <v>402B</v>
      </c>
      <c r="S480" s="150">
        <f t="shared" si="39"/>
        <v>0</v>
      </c>
      <c r="T480" s="152" t="str">
        <f>+VLOOKUP($L480,Data_Validation!$A:$D,1,0)</f>
        <v>602B</v>
      </c>
      <c r="U480" s="152" t="str">
        <f>+VLOOKUP($L480,Data_Validation!$A:$D,3,0)</f>
        <v>Véhicules neufs</v>
      </c>
      <c r="V480" s="152" t="str">
        <f>+VLOOKUP($L480,Data_Validation!$A:$D,4,0)</f>
        <v>Camions détail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1429</v>
      </c>
      <c r="B481" s="718" t="s">
        <v>657</v>
      </c>
      <c r="C481" s="720">
        <v>333495.65000000002</v>
      </c>
      <c r="D481" s="720">
        <v>0</v>
      </c>
      <c r="E481" s="720">
        <v>333495.65000000002</v>
      </c>
      <c r="F481" s="718" t="s">
        <v>2015</v>
      </c>
      <c r="G481" s="718" t="s">
        <v>619</v>
      </c>
      <c r="H481" s="673"/>
      <c r="I481" s="672"/>
      <c r="J481" s="672"/>
      <c r="K481" s="672"/>
      <c r="L481" s="149" t="str">
        <f t="shared" si="35"/>
        <v>623G</v>
      </c>
      <c r="M481" s="150" t="str">
        <f t="shared" si="36"/>
        <v>C/V - X3 XDR M40I</v>
      </c>
      <c r="N481" s="151">
        <f>+IF(OR($Q481=Parametres!$G$2,$Q481=Parametres!$G$3),I481,C481)</f>
        <v>333495.65000000002</v>
      </c>
      <c r="O481" s="504">
        <f>+IF(OR($Q481=Parametres!$G$2,$Q481=Parametres!$G$3),J481,D481)</f>
        <v>0</v>
      </c>
      <c r="P481" s="151">
        <f>+IF(OR($Q481=Parametres!$G$2,$Q481=Parametres!$G$3),K481,E481)</f>
        <v>333495.65000000002</v>
      </c>
      <c r="Q481" s="150" t="str">
        <f t="shared" si="37"/>
        <v>6-Coût des ventes</v>
      </c>
      <c r="R481" s="149" t="str">
        <f t="shared" si="38"/>
        <v>423G</v>
      </c>
      <c r="S481" s="150">
        <f t="shared" si="39"/>
        <v>0</v>
      </c>
      <c r="T481" s="152" t="str">
        <f>+VLOOKUP($L481,Data_Validation!$A:$D,1,0)</f>
        <v>623G</v>
      </c>
      <c r="U481" s="152" t="str">
        <f>+VLOOKUP($L481,Data_Validation!$A:$D,3,0)</f>
        <v>Véhicules neufs</v>
      </c>
      <c r="V481" s="152" t="str">
        <f>+VLOOKUP($L481,Data_Validation!$A:$D,4,0)</f>
        <v>Camions détail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1680</v>
      </c>
      <c r="B482" s="718" t="s">
        <v>1681</v>
      </c>
      <c r="C482" s="720">
        <v>336543.58</v>
      </c>
      <c r="D482" s="720">
        <v>41910.39</v>
      </c>
      <c r="E482" s="720">
        <v>378453.97</v>
      </c>
      <c r="F482" s="718" t="s">
        <v>2015</v>
      </c>
      <c r="G482" s="718" t="s">
        <v>1167</v>
      </c>
      <c r="H482" s="609"/>
      <c r="I482" s="609"/>
      <c r="J482" s="609"/>
      <c r="K482" s="609"/>
      <c r="L482" s="149" t="str">
        <f t="shared" si="35"/>
        <v>675A</v>
      </c>
      <c r="M482" s="150" t="str">
        <f t="shared" si="36"/>
        <v>C/V - PIECES GROS BMW AUTO</v>
      </c>
      <c r="N482" s="151">
        <f>+IF(OR($Q482=Parametres!$G$2,$Q482=Parametres!$G$3),I482,C482)</f>
        <v>336543.58</v>
      </c>
      <c r="O482" s="151">
        <f>+IF(OR($Q482=Parametres!$G$2,$Q482=Parametres!$G$3),J482,D482)</f>
        <v>41910.39</v>
      </c>
      <c r="P482" s="151">
        <f>+IF(OR($Q482=Parametres!$G$2,$Q482=Parametres!$G$3),K482,E482)</f>
        <v>378453.97</v>
      </c>
      <c r="Q482" s="150" t="str">
        <f t="shared" si="37"/>
        <v>6-Coût des ventes</v>
      </c>
      <c r="R482" s="149" t="str">
        <f t="shared" si="38"/>
        <v>475A</v>
      </c>
      <c r="S482" s="150">
        <f t="shared" si="39"/>
        <v>0</v>
      </c>
      <c r="T482" s="152" t="str">
        <f>+VLOOKUP($L482,Data_Validation!$A:$D,1,0)</f>
        <v>675A</v>
      </c>
      <c r="U482" s="152" t="str">
        <f>+VLOOKUP($L482,Data_Validation!$A:$D,3,0)</f>
        <v>pièces</v>
      </c>
      <c r="V482" s="152" t="str">
        <f>+VLOOKUP($L482,Data_Validation!$A:$D,4,0)</f>
        <v>Ventes de Gros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2350</v>
      </c>
      <c r="B483" s="718" t="s">
        <v>2351</v>
      </c>
      <c r="C483" s="719">
        <v>339379.44</v>
      </c>
      <c r="D483" s="719">
        <v>0</v>
      </c>
      <c r="E483" s="719">
        <v>339379.44</v>
      </c>
      <c r="F483" s="718" t="s">
        <v>2015</v>
      </c>
      <c r="G483" s="718" t="s">
        <v>2345</v>
      </c>
      <c r="H483" s="719"/>
      <c r="I483" s="720"/>
      <c r="J483" s="720"/>
      <c r="K483" s="720"/>
      <c r="L483" s="149" t="str">
        <f t="shared" si="35"/>
        <v>603I</v>
      </c>
      <c r="M483" s="150" t="str">
        <f t="shared" si="36"/>
        <v>C/V - i4 M50i XDRIVE GRAN COUPE</v>
      </c>
      <c r="N483" s="151">
        <f>+IF(OR($Q483=Parametres!$G$2,$Q483=Parametres!$G$3),I483,C483)</f>
        <v>339379.44</v>
      </c>
      <c r="O483" s="151">
        <f>+IF(OR($Q483=Parametres!$G$2,$Q483=Parametres!$G$3),J483,D483)</f>
        <v>0</v>
      </c>
      <c r="P483" s="151">
        <f>+IF(OR($Q483=Parametres!$G$2,$Q483=Parametres!$G$3),K483,E483)</f>
        <v>339379.44</v>
      </c>
      <c r="Q483" s="150" t="str">
        <f t="shared" si="37"/>
        <v>6-Coût des ventes</v>
      </c>
      <c r="R483" s="149" t="str">
        <f t="shared" si="38"/>
        <v>403I</v>
      </c>
      <c r="S483" s="150">
        <f t="shared" si="39"/>
        <v>0</v>
      </c>
      <c r="T483" s="152" t="str">
        <f>+VLOOKUP($L483,Data_Validation!$A:$D,1,0)</f>
        <v>603I</v>
      </c>
      <c r="U483" s="152" t="str">
        <f>+VLOOKUP($L483,Data_Validation!$A:$D,3,0)</f>
        <v>Véhicules neufs</v>
      </c>
      <c r="V483" s="152" t="str">
        <f>+VLOOKUP($L483,Data_Validation!$A:$D,4,0)</f>
        <v>Autos détail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671</v>
      </c>
      <c r="B484" s="718" t="s">
        <v>672</v>
      </c>
      <c r="C484" s="720">
        <v>343503.43</v>
      </c>
      <c r="D484" s="720">
        <v>0</v>
      </c>
      <c r="E484" s="720">
        <v>343503.43</v>
      </c>
      <c r="F484" s="718" t="s">
        <v>2015</v>
      </c>
      <c r="G484" s="718" t="s">
        <v>633</v>
      </c>
      <c r="H484" s="673"/>
      <c r="I484" s="673"/>
      <c r="J484" s="673"/>
      <c r="K484" s="673"/>
      <c r="L484" s="149" t="str">
        <f t="shared" si="35"/>
        <v>652B</v>
      </c>
      <c r="M484" s="508" t="str">
        <f t="shared" si="36"/>
        <v>C/V - Z4 M40I</v>
      </c>
      <c r="N484" s="151">
        <f>+IF(OR($Q484=Parametres!$G$2,$Q484=Parametres!$G$3),I484,C484)</f>
        <v>343503.43</v>
      </c>
      <c r="O484" s="509">
        <f>+IF(OR($Q484=Parametres!$G$2,$Q484=Parametres!$G$3),J484,D484)</f>
        <v>0</v>
      </c>
      <c r="P484" s="510">
        <f>+IF(OR($Q484=Parametres!$G$2,$Q484=Parametres!$G$3),K484,E484)</f>
        <v>343503.43</v>
      </c>
      <c r="Q484" s="150" t="str">
        <f t="shared" si="37"/>
        <v>6-Coût des ventes</v>
      </c>
      <c r="R484" s="149" t="str">
        <f t="shared" si="38"/>
        <v>452B</v>
      </c>
      <c r="S484" s="150">
        <f t="shared" si="39"/>
        <v>0</v>
      </c>
      <c r="T484" s="152" t="str">
        <f>+VLOOKUP($L484,Data_Validation!$A:$D,1,0)</f>
        <v>652B</v>
      </c>
      <c r="U484" s="152" t="str">
        <f>+VLOOKUP($L484,Data_Validation!$A:$D,3,0)</f>
        <v>Véhicules neufs</v>
      </c>
      <c r="V484" s="152" t="str">
        <f>+VLOOKUP($L484,Data_Validation!$A:$D,4,0)</f>
        <v>Autos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970</v>
      </c>
      <c r="B485" s="718" t="s">
        <v>972</v>
      </c>
      <c r="C485" s="720">
        <v>433906.19</v>
      </c>
      <c r="D485" s="720">
        <v>122566.43</v>
      </c>
      <c r="E485" s="720">
        <v>556472.62</v>
      </c>
      <c r="F485" s="718" t="s">
        <v>2015</v>
      </c>
      <c r="G485" s="718" t="s">
        <v>417</v>
      </c>
      <c r="H485" s="673"/>
      <c r="I485" s="672"/>
      <c r="J485" s="672"/>
      <c r="K485" s="672"/>
      <c r="L485" s="149" t="str">
        <f t="shared" si="35"/>
        <v>688A</v>
      </c>
      <c r="M485" s="150" t="str">
        <f t="shared" si="36"/>
        <v>C/V - PNEUS</v>
      </c>
      <c r="N485" s="151">
        <f>+IF(OR($Q485=Parametres!$G$2,$Q485=Parametres!$G$3),I485,C485)</f>
        <v>433906.19</v>
      </c>
      <c r="O485" s="151">
        <f>+IF(OR($Q485=Parametres!$G$2,$Q485=Parametres!$G$3),J485,D485)</f>
        <v>122566.43</v>
      </c>
      <c r="P485" s="151">
        <f>+IF(OR($Q485=Parametres!$G$2,$Q485=Parametres!$G$3),K485,E485)</f>
        <v>556472.62</v>
      </c>
      <c r="Q485" s="150" t="str">
        <f t="shared" si="37"/>
        <v>6-Coût des ventes</v>
      </c>
      <c r="R485" s="149" t="str">
        <f t="shared" si="38"/>
        <v>488A</v>
      </c>
      <c r="S485" s="150">
        <f t="shared" si="39"/>
        <v>0</v>
      </c>
      <c r="T485" s="152" t="str">
        <f>+VLOOKUP($L485,Data_Validation!$A:$D,1,0)</f>
        <v>688A</v>
      </c>
      <c r="U485" s="152" t="str">
        <f>+VLOOKUP($L485,Data_Validation!$A:$D,3,0)</f>
        <v>pièces</v>
      </c>
      <c r="V485" s="152" t="str">
        <f>+VLOOKUP($L485,Data_Validation!$A:$D,4,0)</f>
        <v>Ventes Pneus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2888</v>
      </c>
      <c r="B486" s="718" t="s">
        <v>2890</v>
      </c>
      <c r="C486" s="719">
        <v>520639.93</v>
      </c>
      <c r="D486" s="719">
        <v>56335.4</v>
      </c>
      <c r="E486" s="719">
        <v>576975.32999999996</v>
      </c>
      <c r="F486" s="718" t="s">
        <v>2015</v>
      </c>
      <c r="G486" s="718" t="s">
        <v>2889</v>
      </c>
      <c r="H486" s="719"/>
      <c r="I486" s="720"/>
      <c r="J486" s="720"/>
      <c r="K486" s="720"/>
      <c r="L486" s="149" t="str">
        <f t="shared" si="35"/>
        <v>609</v>
      </c>
      <c r="M486" s="150" t="str">
        <f t="shared" si="36"/>
        <v>X2 XDRIVE28I</v>
      </c>
      <c r="N486" s="151">
        <f>+IF(OR($Q486=Parametres!$G$2,$Q486=Parametres!$G$3),I486,C486)</f>
        <v>520639.93</v>
      </c>
      <c r="O486" s="151">
        <f>+IF(OR($Q486=Parametres!$G$2,$Q486=Parametres!$G$3),J486,D486)</f>
        <v>56335.4</v>
      </c>
      <c r="P486" s="151">
        <f>+IF(OR($Q486=Parametres!$G$2,$Q486=Parametres!$G$3),K486,E486)</f>
        <v>576975.32999999996</v>
      </c>
      <c r="Q486" s="150" t="str">
        <f t="shared" si="37"/>
        <v>6-Coût des ventes</v>
      </c>
      <c r="R486" s="149" t="str">
        <f t="shared" si="38"/>
        <v>409</v>
      </c>
      <c r="S486" s="150">
        <f t="shared" si="39"/>
        <v>0</v>
      </c>
      <c r="T486" s="152" t="str">
        <f>+VLOOKUP($L486,Data_Validation!$A:$D,1,0)</f>
        <v>609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2476</v>
      </c>
      <c r="B487" s="718" t="s">
        <v>2477</v>
      </c>
      <c r="C487" s="720">
        <v>579922.47</v>
      </c>
      <c r="D487" s="720">
        <v>71602.820000000007</v>
      </c>
      <c r="E487" s="720">
        <v>651525.29</v>
      </c>
      <c r="F487" s="718" t="s">
        <v>2015</v>
      </c>
      <c r="G487" s="718" t="s">
        <v>2473</v>
      </c>
      <c r="H487" s="666"/>
      <c r="I487" s="665"/>
      <c r="J487" s="665"/>
      <c r="K487" s="665"/>
      <c r="L487" s="149" t="str">
        <f t="shared" si="35"/>
        <v>605C</v>
      </c>
      <c r="M487" s="150" t="str">
        <f t="shared" si="36"/>
        <v>C/V - i4 eDRIVE35</v>
      </c>
      <c r="N487" s="151">
        <f>+IF(OR($Q487=Parametres!$G$2,$Q487=Parametres!$G$3),I487,C487)</f>
        <v>579922.47</v>
      </c>
      <c r="O487" s="151">
        <f>+IF(OR($Q487=Parametres!$G$2,$Q487=Parametres!$G$3),J487,D487)</f>
        <v>71602.820000000007</v>
      </c>
      <c r="P487" s="151">
        <f>+IF(OR($Q487=Parametres!$G$2,$Q487=Parametres!$G$3),K487,E487)</f>
        <v>651525.29</v>
      </c>
      <c r="Q487" s="150" t="str">
        <f t="shared" si="37"/>
        <v>6-Coût des ventes</v>
      </c>
      <c r="R487" s="149" t="str">
        <f t="shared" si="38"/>
        <v>405C</v>
      </c>
      <c r="S487" s="150">
        <f t="shared" si="39"/>
        <v>0</v>
      </c>
      <c r="T487" s="152" t="str">
        <f>+VLOOKUP($L487,Data_Validation!$A:$D,1,0)</f>
        <v>605C</v>
      </c>
      <c r="U487" s="152" t="str">
        <f>+VLOOKUP($L487,Data_Validation!$A:$D,3,0)</f>
        <v>Véhicules neufs</v>
      </c>
      <c r="V487" s="152" t="str">
        <f>+VLOOKUP($L487,Data_Validation!$A:$D,4,0)</f>
        <v>Autos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1428</v>
      </c>
      <c r="B488" s="718" t="s">
        <v>655</v>
      </c>
      <c r="C488" s="720">
        <v>670688.49</v>
      </c>
      <c r="D488" s="720">
        <v>345819.03</v>
      </c>
      <c r="E488" s="720">
        <v>1016507.52</v>
      </c>
      <c r="F488" s="718" t="s">
        <v>2015</v>
      </c>
      <c r="G488" s="718" t="s">
        <v>617</v>
      </c>
      <c r="H488" s="673"/>
      <c r="I488" s="672"/>
      <c r="J488" s="672"/>
      <c r="K488" s="672"/>
      <c r="L488" s="149" t="str">
        <f t="shared" si="35"/>
        <v>623C</v>
      </c>
      <c r="M488" s="150" t="str">
        <f t="shared" si="36"/>
        <v>C/V - X3 XDRIVE 30E</v>
      </c>
      <c r="N488" s="151">
        <f>+IF(OR($Q488=Parametres!$G$2,$Q488=Parametres!$G$3),I488,C488)</f>
        <v>670688.49</v>
      </c>
      <c r="O488" s="151">
        <f>+IF(OR($Q488=Parametres!$G$2,$Q488=Parametres!$G$3),J488,D488)</f>
        <v>345819.03</v>
      </c>
      <c r="P488" s="151">
        <f>+IF(OR($Q488=Parametres!$G$2,$Q488=Parametres!$G$3),K488,E488)</f>
        <v>1016507.52</v>
      </c>
      <c r="Q488" s="150" t="str">
        <f t="shared" si="37"/>
        <v>6-Coût des ventes</v>
      </c>
      <c r="R488" s="149" t="str">
        <f t="shared" si="38"/>
        <v>423C</v>
      </c>
      <c r="S488" s="150">
        <f t="shared" si="39"/>
        <v>0</v>
      </c>
      <c r="T488" s="152" t="str">
        <f>+VLOOKUP($L488,Data_Validation!$A:$D,1,0)</f>
        <v>623C</v>
      </c>
      <c r="U488" s="152" t="str">
        <f>+VLOOKUP($L488,Data_Validation!$A:$D,3,0)</f>
        <v>Véhicules neufs</v>
      </c>
      <c r="V488" s="152" t="str">
        <f>+VLOOKUP($L488,Data_Validation!$A:$D,4,0)</f>
        <v>Camions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1848</v>
      </c>
      <c r="B489" s="718" t="s">
        <v>656</v>
      </c>
      <c r="C489" s="720">
        <v>817971.42</v>
      </c>
      <c r="D489" s="720">
        <v>309674.25</v>
      </c>
      <c r="E489" s="720">
        <v>1127645.67</v>
      </c>
      <c r="F489" s="718" t="s">
        <v>2015</v>
      </c>
      <c r="G489" s="718" t="s">
        <v>618</v>
      </c>
      <c r="H489" s="666"/>
      <c r="I489" s="665"/>
      <c r="J489" s="665"/>
      <c r="K489" s="665"/>
      <c r="L489" s="149" t="str">
        <f t="shared" si="35"/>
        <v>623D</v>
      </c>
      <c r="M489" s="150" t="str">
        <f t="shared" si="36"/>
        <v>C/V - X5 XDRIVE 35I/ X5 XDRIVE 40I</v>
      </c>
      <c r="N489" s="151">
        <f>+IF(OR($Q489=Parametres!$G$2,$Q489=Parametres!$G$3),I489,C489)</f>
        <v>817971.42</v>
      </c>
      <c r="O489" s="151">
        <f>+IF(OR($Q489=Parametres!$G$2,$Q489=Parametres!$G$3),J489,D489)</f>
        <v>309674.25</v>
      </c>
      <c r="P489" s="151">
        <f>+IF(OR($Q489=Parametres!$G$2,$Q489=Parametres!$G$3),K489,E489)</f>
        <v>1127645.67</v>
      </c>
      <c r="Q489" s="150" t="str">
        <f t="shared" si="37"/>
        <v>6-Coût des ventes</v>
      </c>
      <c r="R489" s="149" t="str">
        <f t="shared" si="38"/>
        <v>423D</v>
      </c>
      <c r="S489" s="150">
        <f t="shared" si="39"/>
        <v>0</v>
      </c>
      <c r="T489" s="152" t="str">
        <f>+VLOOKUP($L489,Data_Validation!$A:$D,1,0)</f>
        <v>623D</v>
      </c>
      <c r="U489" s="152" t="str">
        <f>+VLOOKUP($L489,Data_Validation!$A:$D,3,0)</f>
        <v>Véhicules neufs</v>
      </c>
      <c r="V489" s="152" t="str">
        <f>+VLOOKUP($L489,Data_Validation!$A:$D,4,0)</f>
        <v>Camions détail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1608</v>
      </c>
      <c r="B490" s="718" t="s">
        <v>980</v>
      </c>
      <c r="C490" s="720">
        <v>905230.46</v>
      </c>
      <c r="D490" s="720">
        <v>1500</v>
      </c>
      <c r="E490" s="720">
        <v>906730.46</v>
      </c>
      <c r="F490" s="718" t="s">
        <v>2015</v>
      </c>
      <c r="G490" s="718" t="s">
        <v>616</v>
      </c>
      <c r="H490" s="673"/>
      <c r="I490" s="672"/>
      <c r="J490" s="672"/>
      <c r="K490" s="672"/>
      <c r="L490" s="149" t="str">
        <f t="shared" si="35"/>
        <v>618A</v>
      </c>
      <c r="M490" s="150" t="str">
        <f t="shared" si="36"/>
        <v>C/V - AUTRES MODELES BMW CAMION</v>
      </c>
      <c r="N490" s="151">
        <f>+IF(OR($Q490=Parametres!$G$2,$Q490=Parametres!$G$3),I490,C490)</f>
        <v>905230.46</v>
      </c>
      <c r="O490" s="151">
        <f>+IF(OR($Q490=Parametres!$G$2,$Q490=Parametres!$G$3),J490,D490)</f>
        <v>1500</v>
      </c>
      <c r="P490" s="151">
        <f>+IF(OR($Q490=Parametres!$G$2,$Q490=Parametres!$G$3),K490,E490)</f>
        <v>906730.46</v>
      </c>
      <c r="Q490" s="150" t="str">
        <f t="shared" si="37"/>
        <v>6-Coût des ventes</v>
      </c>
      <c r="R490" s="149" t="str">
        <f t="shared" si="38"/>
        <v>418</v>
      </c>
      <c r="S490" s="150">
        <f t="shared" si="39"/>
        <v>0</v>
      </c>
      <c r="T490" s="152" t="str">
        <f>+VLOOKUP($L490,Data_Validation!$A:$D,1,0)</f>
        <v>618A</v>
      </c>
      <c r="U490" s="152" t="str">
        <f>+VLOOKUP($L490,Data_Validation!$A:$D,3,0)</f>
        <v>Véhicules neufs</v>
      </c>
      <c r="V490" s="152" t="str">
        <f>+VLOOKUP($L490,Data_Validation!$A:$D,4,0)</f>
        <v>Ex-Démos et courtoisies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2489</v>
      </c>
      <c r="B491" s="718" t="s">
        <v>2490</v>
      </c>
      <c r="C491" s="720">
        <v>912448.95</v>
      </c>
      <c r="D491" s="720">
        <v>103552.68</v>
      </c>
      <c r="E491" s="720">
        <v>1016001.63</v>
      </c>
      <c r="F491" s="718" t="s">
        <v>2015</v>
      </c>
      <c r="G491" s="718" t="s">
        <v>2488</v>
      </c>
      <c r="H491" s="673"/>
      <c r="I491" s="672"/>
      <c r="J491" s="672"/>
      <c r="K491" s="672"/>
      <c r="L491" s="149" t="str">
        <f t="shared" si="35"/>
        <v>623F</v>
      </c>
      <c r="M491" s="150" t="str">
        <f t="shared" si="36"/>
        <v>C/V - X5 xDRIVE50e</v>
      </c>
      <c r="N491" s="151">
        <f>+IF(OR($Q491=Parametres!$G$2,$Q491=Parametres!$G$3),I491,C491)</f>
        <v>912448.95</v>
      </c>
      <c r="O491" s="151">
        <f>+IF(OR($Q491=Parametres!$G$2,$Q491=Parametres!$G$3),J491,D491)</f>
        <v>103552.68</v>
      </c>
      <c r="P491" s="151">
        <f>+IF(OR($Q491=Parametres!$G$2,$Q491=Parametres!$G$3),K491,E491)</f>
        <v>1016001.63</v>
      </c>
      <c r="Q491" s="150" t="str">
        <f t="shared" si="37"/>
        <v>6-Coût des ventes</v>
      </c>
      <c r="R491" s="149" t="str">
        <f t="shared" si="38"/>
        <v>423F</v>
      </c>
      <c r="S491" s="150">
        <f t="shared" si="39"/>
        <v>0</v>
      </c>
      <c r="T491" s="152" t="str">
        <f>+VLOOKUP($L491,Data_Validation!$A:$D,1,0)</f>
        <v>623F</v>
      </c>
      <c r="U491" s="152" t="str">
        <f>+VLOOKUP($L491,Data_Validation!$A:$D,3,0)</f>
        <v>Véhicules neufs</v>
      </c>
      <c r="V491" s="152" t="str">
        <f>+VLOOKUP($L491,Data_Validation!$A:$D,4,0)</f>
        <v>Camions détail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1836</v>
      </c>
      <c r="B492" s="718" t="s">
        <v>982</v>
      </c>
      <c r="C492" s="719">
        <v>1076713.93</v>
      </c>
      <c r="D492" s="719">
        <v>31582</v>
      </c>
      <c r="E492" s="719">
        <v>1108295.93</v>
      </c>
      <c r="F492" s="718" t="s">
        <v>2015</v>
      </c>
      <c r="G492" s="718" t="s">
        <v>404</v>
      </c>
      <c r="H492" s="719"/>
      <c r="I492" s="720"/>
      <c r="J492" s="720"/>
      <c r="K492" s="720"/>
      <c r="L492" s="149" t="str">
        <f t="shared" si="35"/>
        <v>646B</v>
      </c>
      <c r="M492" s="150" t="str">
        <f t="shared" si="36"/>
        <v>C/V - USAGE BMW CAMION NON-CERT</v>
      </c>
      <c r="N492" s="151">
        <f>+IF(OR($Q492=Parametres!$G$2,$Q492=Parametres!$G$3),I492,C492)</f>
        <v>1076713.93</v>
      </c>
      <c r="O492" s="151">
        <f>+IF(OR($Q492=Parametres!$G$2,$Q492=Parametres!$G$3),J492,D492)</f>
        <v>31582</v>
      </c>
      <c r="P492" s="151">
        <f>+IF(OR($Q492=Parametres!$G$2,$Q492=Parametres!$G$3),K492,E492)</f>
        <v>1108295.93</v>
      </c>
      <c r="Q492" s="150" t="str">
        <f t="shared" si="37"/>
        <v>6-Coût des ventes</v>
      </c>
      <c r="R492" s="149" t="str">
        <f t="shared" si="38"/>
        <v>446B</v>
      </c>
      <c r="S492" s="150">
        <f t="shared" si="39"/>
        <v>0</v>
      </c>
      <c r="T492" s="152" t="str">
        <f>+VLOOKUP($L492,Data_Validation!$A:$D,1,0)</f>
        <v>646B</v>
      </c>
      <c r="U492" s="152" t="str">
        <f>+VLOOKUP($L492,Data_Validation!$A:$D,3,0)</f>
        <v>Véhicules usagés</v>
      </c>
      <c r="V492" s="152" t="str">
        <f>+VLOOKUP($L492,Data_Validation!$A:$D,4,0)</f>
        <v>Non Certifié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1435</v>
      </c>
      <c r="B493" s="718" t="s">
        <v>975</v>
      </c>
      <c r="C493" s="720">
        <v>1118418.6000000001</v>
      </c>
      <c r="D493" s="720">
        <v>29192.69</v>
      </c>
      <c r="E493" s="720">
        <v>1147611.29</v>
      </c>
      <c r="F493" s="718" t="s">
        <v>2015</v>
      </c>
      <c r="G493" s="718" t="s">
        <v>416</v>
      </c>
      <c r="H493" s="666"/>
      <c r="I493" s="665"/>
      <c r="J493" s="665"/>
      <c r="K493" s="665"/>
      <c r="L493" s="149" t="str">
        <f t="shared" si="35"/>
        <v>640B</v>
      </c>
      <c r="M493" s="150" t="str">
        <f t="shared" si="36"/>
        <v>C/V - USAGE BMW AUTO NON-CERT</v>
      </c>
      <c r="N493" s="151">
        <f>+IF(OR($Q493=Parametres!$G$2,$Q493=Parametres!$G$3),I493,C493)</f>
        <v>1118418.6000000001</v>
      </c>
      <c r="O493" s="151">
        <f>+IF(OR($Q493=Parametres!$G$2,$Q493=Parametres!$G$3),J493,D493)</f>
        <v>29192.69</v>
      </c>
      <c r="P493" s="151">
        <f>+IF(OR($Q493=Parametres!$G$2,$Q493=Parametres!$G$3),K493,E493)</f>
        <v>1147611.29</v>
      </c>
      <c r="Q493" s="150" t="str">
        <f t="shared" si="37"/>
        <v>6-Coût des ventes</v>
      </c>
      <c r="R493" s="149" t="str">
        <f t="shared" si="38"/>
        <v>440B</v>
      </c>
      <c r="S493" s="150">
        <f t="shared" si="39"/>
        <v>0</v>
      </c>
      <c r="T493" s="152" t="str">
        <f>+VLOOKUP($L493,Data_Validation!$A:$D,1,0)</f>
        <v>640B</v>
      </c>
      <c r="U493" s="152" t="str">
        <f>+VLOOKUP($L493,Data_Validation!$A:$D,3,0)</f>
        <v>Véhicules usagés</v>
      </c>
      <c r="V493" s="152" t="str">
        <f>+VLOOKUP($L493,Data_Validation!$A:$D,4,0)</f>
        <v>Non Certifié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1842</v>
      </c>
      <c r="B494" s="718" t="s">
        <v>979</v>
      </c>
      <c r="C494" s="720">
        <v>1166474.3899999999</v>
      </c>
      <c r="D494" s="720">
        <v>295077.11</v>
      </c>
      <c r="E494" s="720">
        <v>1461551.5</v>
      </c>
      <c r="F494" s="718" t="s">
        <v>2015</v>
      </c>
      <c r="G494" s="718" t="s">
        <v>410</v>
      </c>
      <c r="H494" s="666"/>
      <c r="I494" s="665"/>
      <c r="J494" s="665"/>
      <c r="K494" s="665"/>
      <c r="L494" s="149" t="str">
        <f t="shared" si="35"/>
        <v>616</v>
      </c>
      <c r="M494" s="150" t="str">
        <f t="shared" si="36"/>
        <v>C/V - X1 XDRIVE 28I</v>
      </c>
      <c r="N494" s="151">
        <f>+IF(OR($Q494=Parametres!$G$2,$Q494=Parametres!$G$3),I494,C494)</f>
        <v>1166474.3899999999</v>
      </c>
      <c r="O494" s="151">
        <f>+IF(OR($Q494=Parametres!$G$2,$Q494=Parametres!$G$3),J494,D494)</f>
        <v>295077.11</v>
      </c>
      <c r="P494" s="151">
        <f>+IF(OR($Q494=Parametres!$G$2,$Q494=Parametres!$G$3),K494,E494)</f>
        <v>1461551.5</v>
      </c>
      <c r="Q494" s="150" t="str">
        <f t="shared" si="37"/>
        <v>6-Coût des ventes</v>
      </c>
      <c r="R494" s="149" t="str">
        <f t="shared" si="38"/>
        <v>416</v>
      </c>
      <c r="S494" s="150">
        <f t="shared" si="39"/>
        <v>0</v>
      </c>
      <c r="T494" s="152" t="str">
        <f>+VLOOKUP($L494,Data_Validation!$A:$D,1,0)</f>
        <v>616</v>
      </c>
      <c r="U494" s="152" t="str">
        <f>+VLOOKUP($L494,Data_Validation!$A:$D,3,0)</f>
        <v>Véhicules neufs</v>
      </c>
      <c r="V494" s="152" t="str">
        <f>+VLOOKUP($L494,Data_Validation!$A:$D,4,0)</f>
        <v>Camions détail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1852</v>
      </c>
      <c r="B495" s="718" t="s">
        <v>1853</v>
      </c>
      <c r="C495" s="720">
        <v>1245752.98</v>
      </c>
      <c r="D495" s="720">
        <v>81822.13</v>
      </c>
      <c r="E495" s="720">
        <v>1327575.1100000001</v>
      </c>
      <c r="F495" s="718" t="s">
        <v>2015</v>
      </c>
      <c r="G495" s="718" t="s">
        <v>1072</v>
      </c>
      <c r="H495" s="666"/>
      <c r="I495" s="665"/>
      <c r="J495" s="665"/>
      <c r="K495" s="665"/>
      <c r="L495" s="149" t="str">
        <f t="shared" si="35"/>
        <v>644A</v>
      </c>
      <c r="M495" s="150" t="str">
        <f t="shared" si="36"/>
        <v>C/V - GROS BMW AUTO</v>
      </c>
      <c r="N495" s="151">
        <f>+IF(OR($Q495=Parametres!$G$2,$Q495=Parametres!$G$3),I495,C495)</f>
        <v>1245752.98</v>
      </c>
      <c r="O495" s="151">
        <f>+IF(OR($Q495=Parametres!$G$2,$Q495=Parametres!$G$3),J495,D495)</f>
        <v>81822.13</v>
      </c>
      <c r="P495" s="151">
        <f>+IF(OR($Q495=Parametres!$G$2,$Q495=Parametres!$G$3),K495,E495)</f>
        <v>1327575.1100000001</v>
      </c>
      <c r="Q495" s="150" t="str">
        <f t="shared" si="37"/>
        <v>6-Coût des ventes</v>
      </c>
      <c r="R495" s="149" t="str">
        <f t="shared" si="38"/>
        <v>444A</v>
      </c>
      <c r="S495" s="150">
        <f t="shared" si="39"/>
        <v>0</v>
      </c>
      <c r="T495" s="152" t="str">
        <f>+VLOOKUP($L495,Data_Validation!$A:$D,1,0)</f>
        <v>644A</v>
      </c>
      <c r="U495" s="152" t="str">
        <f>+VLOOKUP($L495,Data_Validation!$A:$D,3,0)</f>
        <v>Véhicules usagés</v>
      </c>
      <c r="V495" s="152" t="str">
        <f>+VLOOKUP($L495,Data_Validation!$A:$D,4,0)</f>
        <v>Ventes au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1437</v>
      </c>
      <c r="B496" s="718" t="s">
        <v>986</v>
      </c>
      <c r="C496" s="719">
        <v>1289254.6599999999</v>
      </c>
      <c r="D496" s="719">
        <v>83007.87</v>
      </c>
      <c r="E496" s="719">
        <v>1372262.53</v>
      </c>
      <c r="F496" s="718" t="s">
        <v>2015</v>
      </c>
      <c r="G496" s="718" t="s">
        <v>400</v>
      </c>
      <c r="H496" s="719"/>
      <c r="I496" s="720"/>
      <c r="J496" s="720"/>
      <c r="K496" s="720"/>
      <c r="L496" s="149" t="str">
        <f t="shared" si="35"/>
        <v>648</v>
      </c>
      <c r="M496" s="150" t="str">
        <f t="shared" si="36"/>
        <v>C/V - RACHAT LOCATION BMW</v>
      </c>
      <c r="N496" s="151">
        <f>+IF(OR($Q496=Parametres!$G$2,$Q496=Parametres!$G$3),I496,C496)</f>
        <v>1289254.6599999999</v>
      </c>
      <c r="O496" s="504">
        <f>+IF(OR($Q496=Parametres!$G$2,$Q496=Parametres!$G$3),J496,D496)</f>
        <v>83007.87</v>
      </c>
      <c r="P496" s="151">
        <f>+IF(OR($Q496=Parametres!$G$2,$Q496=Parametres!$G$3),K496,E496)</f>
        <v>1372262.53</v>
      </c>
      <c r="Q496" s="150" t="str">
        <f t="shared" si="37"/>
        <v>6-Coût des ventes</v>
      </c>
      <c r="R496" s="149" t="str">
        <f t="shared" si="38"/>
        <v>448</v>
      </c>
      <c r="S496" s="150">
        <f t="shared" si="39"/>
        <v>0</v>
      </c>
      <c r="T496" s="152" t="str">
        <f>+VLOOKUP($L496,Data_Validation!$A:$D,1,0)</f>
        <v>648</v>
      </c>
      <c r="U496" s="152" t="str">
        <f>+VLOOKUP($L496,Data_Validation!$A:$D,3,0)</f>
        <v>Véhicules neufs</v>
      </c>
      <c r="V496" s="152" t="str">
        <f>+VLOOKUP($L496,Data_Validation!$A:$D,4,0)</f>
        <v>Rachat bail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2352</v>
      </c>
      <c r="B497" s="718" t="s">
        <v>2353</v>
      </c>
      <c r="C497" s="720">
        <v>1303970.02</v>
      </c>
      <c r="D497" s="720">
        <v>156267.92000000001</v>
      </c>
      <c r="E497" s="720">
        <v>1460237.94</v>
      </c>
      <c r="F497" s="718" t="s">
        <v>2015</v>
      </c>
      <c r="G497" s="718" t="s">
        <v>2347</v>
      </c>
      <c r="H497" s="607"/>
      <c r="I497" s="608"/>
      <c r="J497" s="608"/>
      <c r="K497" s="608"/>
      <c r="L497" s="149" t="str">
        <f t="shared" si="35"/>
        <v>604I</v>
      </c>
      <c r="M497" s="150" t="str">
        <f t="shared" si="36"/>
        <v>C/V - i4 eDRIVE40 GRAN COUPE</v>
      </c>
      <c r="N497" s="151">
        <f>+IF(OR($Q497=Parametres!$G$2,$Q497=Parametres!$G$3),I497,C497)</f>
        <v>1303970.02</v>
      </c>
      <c r="O497" s="504">
        <f>+IF(OR($Q497=Parametres!$G$2,$Q497=Parametres!$G$3),J497,D497)</f>
        <v>156267.92000000001</v>
      </c>
      <c r="P497" s="151">
        <f>+IF(OR($Q497=Parametres!$G$2,$Q497=Parametres!$G$3),K497,E497)</f>
        <v>1460237.94</v>
      </c>
      <c r="Q497" s="150" t="str">
        <f t="shared" si="37"/>
        <v>6-Coût des ventes</v>
      </c>
      <c r="R497" s="149" t="str">
        <f t="shared" si="38"/>
        <v>404I</v>
      </c>
      <c r="S497" s="150">
        <f t="shared" si="39"/>
        <v>0</v>
      </c>
      <c r="T497" s="152" t="str">
        <f>+VLOOKUP($L497,Data_Validation!$A:$D,1,0)</f>
        <v>604I</v>
      </c>
      <c r="U497" s="152" t="str">
        <f>+VLOOKUP($L497,Data_Validation!$A:$D,3,0)</f>
        <v>Véhicules neufs</v>
      </c>
      <c r="V497" s="152" t="str">
        <f>+VLOOKUP($L497,Data_Validation!$A:$D,4,0)</f>
        <v>Autos détail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1837</v>
      </c>
      <c r="B498" s="718" t="s">
        <v>654</v>
      </c>
      <c r="C498" s="720">
        <v>1398430.52</v>
      </c>
      <c r="D498" s="720">
        <v>203905.38</v>
      </c>
      <c r="E498" s="720">
        <v>1602335.9</v>
      </c>
      <c r="F498" s="718" t="s">
        <v>2015</v>
      </c>
      <c r="G498" s="718" t="s">
        <v>616</v>
      </c>
      <c r="H498" s="666"/>
      <c r="I498" s="665"/>
      <c r="J498" s="665"/>
      <c r="K498" s="665"/>
      <c r="L498" s="149" t="str">
        <f t="shared" si="35"/>
        <v>618</v>
      </c>
      <c r="M498" s="150" t="str">
        <f t="shared" si="36"/>
        <v>C/V - AUTRES MODELES BMW AUTO</v>
      </c>
      <c r="N498" s="151">
        <f>+IF(OR($Q498=Parametres!$G$2,$Q498=Parametres!$G$3),I498,C498)</f>
        <v>1398430.52</v>
      </c>
      <c r="O498" s="151">
        <f>+IF(OR($Q498=Parametres!$G$2,$Q498=Parametres!$G$3),J498,D498)</f>
        <v>203905.38</v>
      </c>
      <c r="P498" s="151">
        <f>+IF(OR($Q498=Parametres!$G$2,$Q498=Parametres!$G$3),K498,E498)</f>
        <v>1602335.9</v>
      </c>
      <c r="Q498" s="150" t="str">
        <f t="shared" si="37"/>
        <v>6-Coût des ventes</v>
      </c>
      <c r="R498" s="149" t="str">
        <f t="shared" si="38"/>
        <v>418</v>
      </c>
      <c r="S498" s="150">
        <f t="shared" si="39"/>
        <v>0</v>
      </c>
      <c r="T498" s="152" t="str">
        <f>+VLOOKUP($L498,Data_Validation!$A:$D,1,0)</f>
        <v>618</v>
      </c>
      <c r="U498" s="152" t="str">
        <f>+VLOOKUP($L498,Data_Validation!$A:$D,3,0)</f>
        <v>Véhicules neufs</v>
      </c>
      <c r="V498" s="152" t="str">
        <f>+VLOOKUP($L498,Data_Validation!$A:$D,4,0)</f>
        <v>Ex-Démos et courtoisies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1828</v>
      </c>
      <c r="B499" s="718" t="s">
        <v>973</v>
      </c>
      <c r="C499" s="720">
        <v>1423071.03</v>
      </c>
      <c r="D499" s="720">
        <v>0</v>
      </c>
      <c r="E499" s="720">
        <v>1423071.03</v>
      </c>
      <c r="F499" s="718" t="s">
        <v>2015</v>
      </c>
      <c r="G499" s="718" t="s">
        <v>420</v>
      </c>
      <c r="H499" s="607"/>
      <c r="I499" s="608"/>
      <c r="J499" s="608"/>
      <c r="K499" s="608"/>
      <c r="L499" s="149" t="str">
        <f t="shared" si="35"/>
        <v>640A</v>
      </c>
      <c r="M499" s="150" t="str">
        <f t="shared" si="36"/>
        <v>C/V - USAGE BMW AUTO CERT</v>
      </c>
      <c r="N499" s="151">
        <f>+IF(OR($Q499=Parametres!$G$2,$Q499=Parametres!$G$3),I499,C499)</f>
        <v>1423071.03</v>
      </c>
      <c r="O499" s="151">
        <f>+IF(OR($Q499=Parametres!$G$2,$Q499=Parametres!$G$3),J499,D499)</f>
        <v>0</v>
      </c>
      <c r="P499" s="151">
        <f>+IF(OR($Q499=Parametres!$G$2,$Q499=Parametres!$G$3),K499,E499)</f>
        <v>1423071.03</v>
      </c>
      <c r="Q499" s="150" t="str">
        <f t="shared" si="37"/>
        <v>6-Coût des ventes</v>
      </c>
      <c r="R499" s="149" t="str">
        <f t="shared" si="38"/>
        <v>440A</v>
      </c>
      <c r="S499" s="150">
        <f t="shared" si="39"/>
        <v>0</v>
      </c>
      <c r="T499" s="152" t="str">
        <f>+VLOOKUP($L499,Data_Validation!$A:$D,1,0)</f>
        <v>640A</v>
      </c>
      <c r="U499" s="152" t="str">
        <f>+VLOOKUP($L499,Data_Validation!$A:$D,3,0)</f>
        <v>Véhicules usagés</v>
      </c>
      <c r="V499" s="152" t="str">
        <f>+VLOOKUP($L499,Data_Validation!$A:$D,4,0)</f>
        <v>Certifié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2434</v>
      </c>
      <c r="B500" s="718" t="s">
        <v>983</v>
      </c>
      <c r="C500" s="720">
        <v>1486270.54</v>
      </c>
      <c r="D500" s="720">
        <v>0</v>
      </c>
      <c r="E500" s="720">
        <v>1486270.54</v>
      </c>
      <c r="F500" s="718" t="s">
        <v>2015</v>
      </c>
      <c r="G500" s="718" t="s">
        <v>402</v>
      </c>
      <c r="H500" s="719"/>
      <c r="I500" s="719"/>
      <c r="J500" s="719"/>
      <c r="K500" s="719"/>
      <c r="L500" s="149" t="str">
        <f t="shared" si="35"/>
        <v>623B</v>
      </c>
      <c r="M500" s="150" t="str">
        <f t="shared" si="36"/>
        <v>C/V - X3 XDRIVE 30I</v>
      </c>
      <c r="N500" s="151">
        <f>+IF(OR($Q500=Parametres!$G$2,$Q500=Parametres!$G$3),I500,C500)</f>
        <v>1486270.54</v>
      </c>
      <c r="O500" s="151">
        <f>+IF(OR($Q500=Parametres!$G$2,$Q500=Parametres!$G$3),J500,D500)</f>
        <v>0</v>
      </c>
      <c r="P500" s="151">
        <f>+IF(OR($Q500=Parametres!$G$2,$Q500=Parametres!$G$3),K500,E500)</f>
        <v>1486270.54</v>
      </c>
      <c r="Q500" s="150" t="str">
        <f t="shared" si="37"/>
        <v>6-Coût des ventes</v>
      </c>
      <c r="R500" s="149" t="str">
        <f t="shared" si="38"/>
        <v>423B</v>
      </c>
      <c r="S500" s="150">
        <f t="shared" si="39"/>
        <v>0</v>
      </c>
      <c r="T500" s="152" t="str">
        <f>+VLOOKUP($L500,Data_Validation!$A:$D,1,0)</f>
        <v>623B</v>
      </c>
      <c r="U500" s="152" t="str">
        <f>+VLOOKUP($L500,Data_Validation!$A:$D,3,0)</f>
        <v>Véhicules neufs</v>
      </c>
      <c r="V500" s="152" t="str">
        <f>+VLOOKUP($L500,Data_Validation!$A:$D,4,0)</f>
        <v>Camions détail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1841</v>
      </c>
      <c r="B501" s="718" t="s">
        <v>665</v>
      </c>
      <c r="C501" s="720">
        <v>1614111.13</v>
      </c>
      <c r="D501" s="720">
        <v>78617.440000000002</v>
      </c>
      <c r="E501" s="720">
        <v>1692728.57</v>
      </c>
      <c r="F501" s="718" t="s">
        <v>2015</v>
      </c>
      <c r="G501" s="718" t="s">
        <v>384</v>
      </c>
      <c r="H501" s="719"/>
      <c r="I501" s="719"/>
      <c r="J501" s="719"/>
      <c r="K501" s="719"/>
      <c r="L501" s="149" t="str">
        <f t="shared" si="35"/>
        <v>642</v>
      </c>
      <c r="M501" s="150" t="str">
        <f t="shared" si="36"/>
        <v>C/V - USAGE AUTRES</v>
      </c>
      <c r="N501" s="151">
        <f>+IF(OR($Q501=Parametres!$G$2,$Q501=Parametres!$G$3),I501,C501)</f>
        <v>1614111.13</v>
      </c>
      <c r="O501" s="151">
        <f>+IF(OR($Q501=Parametres!$G$2,$Q501=Parametres!$G$3),J501,D501)</f>
        <v>78617.440000000002</v>
      </c>
      <c r="P501" s="151">
        <f>+IF(OR($Q501=Parametres!$G$2,$Q501=Parametres!$G$3),K501,E501)</f>
        <v>1692728.57</v>
      </c>
      <c r="Q501" s="150" t="str">
        <f t="shared" si="37"/>
        <v>6-Coût des ventes</v>
      </c>
      <c r="R501" s="149" t="str">
        <f t="shared" si="38"/>
        <v>442</v>
      </c>
      <c r="S501" s="150">
        <f t="shared" si="39"/>
        <v>0</v>
      </c>
      <c r="T501" s="152" t="str">
        <f>+VLOOKUP($L501,Data_Validation!$A:$D,1,0)</f>
        <v>642</v>
      </c>
      <c r="U501" s="152" t="str">
        <f>+VLOOKUP($L501,Data_Validation!$A:$D,3,0)</f>
        <v>Véhicules usagés</v>
      </c>
      <c r="V501" s="152" t="str">
        <f>+VLOOKUP($L501,Data_Validation!$A:$D,4,0)</f>
        <v>Autres marques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1838</v>
      </c>
      <c r="B502" s="718" t="s">
        <v>974</v>
      </c>
      <c r="C502" s="720">
        <v>1662357.94</v>
      </c>
      <c r="D502" s="720">
        <v>100444.95</v>
      </c>
      <c r="E502" s="720">
        <v>1762802.89</v>
      </c>
      <c r="F502" s="718" t="s">
        <v>2015</v>
      </c>
      <c r="G502" s="718" t="s">
        <v>418</v>
      </c>
      <c r="H502" s="607"/>
      <c r="I502" s="609"/>
      <c r="J502" s="609"/>
      <c r="K502" s="609"/>
      <c r="L502" s="149" t="str">
        <f t="shared" si="35"/>
        <v>646A</v>
      </c>
      <c r="M502" s="150" t="str">
        <f t="shared" si="36"/>
        <v>C/V - USAGE BMW CAMION CERT</v>
      </c>
      <c r="N502" s="151">
        <f>+IF(OR($Q502=Parametres!$G$2,$Q502=Parametres!$G$3),I502,C502)</f>
        <v>1662357.94</v>
      </c>
      <c r="O502" s="151">
        <f>+IF(OR($Q502=Parametres!$G$2,$Q502=Parametres!$G$3),J502,D502)</f>
        <v>100444.95</v>
      </c>
      <c r="P502" s="151">
        <f>+IF(OR($Q502=Parametres!$G$2,$Q502=Parametres!$G$3),K502,E502)</f>
        <v>1762802.89</v>
      </c>
      <c r="Q502" s="150" t="str">
        <f t="shared" si="37"/>
        <v>6-Coût des ventes</v>
      </c>
      <c r="R502" s="149" t="str">
        <f t="shared" si="38"/>
        <v>446A</v>
      </c>
      <c r="S502" s="150">
        <f t="shared" si="39"/>
        <v>0</v>
      </c>
      <c r="T502" s="152" t="str">
        <f>+VLOOKUP($L502,Data_Validation!$A:$D,1,0)</f>
        <v>646A</v>
      </c>
      <c r="U502" s="152" t="str">
        <f>+VLOOKUP($L502,Data_Validation!$A:$D,3,0)</f>
        <v>Véhicules usagés</v>
      </c>
      <c r="V502" s="152" t="str">
        <f>+VLOOKUP($L502,Data_Validation!$A:$D,4,0)</f>
        <v>Certifié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1854</v>
      </c>
      <c r="B503" s="718" t="s">
        <v>987</v>
      </c>
      <c r="C503" s="720">
        <v>1796263.18</v>
      </c>
      <c r="D503" s="720">
        <v>235542.78</v>
      </c>
      <c r="E503" s="720">
        <v>2031805.96</v>
      </c>
      <c r="F503" s="718" t="s">
        <v>2015</v>
      </c>
      <c r="G503" s="718" t="s">
        <v>398</v>
      </c>
      <c r="H503" s="673"/>
      <c r="I503" s="672"/>
      <c r="J503" s="672"/>
      <c r="K503" s="672"/>
      <c r="L503" s="149" t="str">
        <f t="shared" si="35"/>
        <v>644B</v>
      </c>
      <c r="M503" s="150" t="str">
        <f t="shared" si="36"/>
        <v>C/V - GROS BMW CAMION</v>
      </c>
      <c r="N503" s="151">
        <f>+IF(OR($Q503=Parametres!$G$2,$Q503=Parametres!$G$3),I503,C503)</f>
        <v>1796263.18</v>
      </c>
      <c r="O503" s="151">
        <f>+IF(OR($Q503=Parametres!$G$2,$Q503=Parametres!$G$3),J503,D503)</f>
        <v>235542.78</v>
      </c>
      <c r="P503" s="151">
        <f>+IF(OR($Q503=Parametres!$G$2,$Q503=Parametres!$G$3),K503,E503)</f>
        <v>2031805.96</v>
      </c>
      <c r="Q503" s="150" t="str">
        <f t="shared" si="37"/>
        <v>6-Coût des ventes</v>
      </c>
      <c r="R503" s="149" t="str">
        <f t="shared" si="38"/>
        <v>444B</v>
      </c>
      <c r="S503" s="150">
        <f t="shared" si="39"/>
        <v>0</v>
      </c>
      <c r="T503" s="152" t="str">
        <f>+VLOOKUP($L503,Data_Validation!$A:$D,1,0)</f>
        <v>644B</v>
      </c>
      <c r="U503" s="152" t="str">
        <f>+VLOOKUP($L503,Data_Validation!$A:$D,3,0)</f>
        <v>Véhicules usagés</v>
      </c>
      <c r="V503" s="152" t="str">
        <f>+VLOOKUP($L503,Data_Validation!$A:$D,4,0)</f>
        <v>Ventes au Gros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1847</v>
      </c>
      <c r="B504" s="718" t="s">
        <v>985</v>
      </c>
      <c r="C504" s="720">
        <v>2771852.07</v>
      </c>
      <c r="D504" s="720">
        <v>212161.81</v>
      </c>
      <c r="E504" s="720">
        <v>2984013.88</v>
      </c>
      <c r="F504" s="718" t="s">
        <v>2015</v>
      </c>
      <c r="G504" s="718" t="s">
        <v>401</v>
      </c>
      <c r="H504" s="666"/>
      <c r="I504" s="665"/>
      <c r="J504" s="665"/>
      <c r="K504" s="665"/>
      <c r="L504" s="149" t="str">
        <f t="shared" si="35"/>
        <v>644C</v>
      </c>
      <c r="M504" s="150" t="str">
        <f t="shared" si="36"/>
        <v>C/V - GROS AUTRES</v>
      </c>
      <c r="N504" s="151">
        <f>+IF(OR($Q504=Parametres!$G$2,$Q504=Parametres!$G$3),I504,C504)</f>
        <v>2771852.07</v>
      </c>
      <c r="O504" s="151">
        <f>+IF(OR($Q504=Parametres!$G$2,$Q504=Parametres!$G$3),J504,D504)</f>
        <v>212161.81</v>
      </c>
      <c r="P504" s="151">
        <f>+IF(OR($Q504=Parametres!$G$2,$Q504=Parametres!$G$3),K504,E504)</f>
        <v>2984013.88</v>
      </c>
      <c r="Q504" s="150" t="str">
        <f t="shared" si="37"/>
        <v>6-Coût des ventes</v>
      </c>
      <c r="R504" s="149" t="str">
        <f t="shared" si="38"/>
        <v>444C</v>
      </c>
      <c r="S504" s="150">
        <f t="shared" si="39"/>
        <v>0</v>
      </c>
      <c r="T504" s="152" t="str">
        <f>+VLOOKUP($L504,Data_Validation!$A:$D,1,0)</f>
        <v>644C</v>
      </c>
      <c r="U504" s="152" t="str">
        <f>+VLOOKUP($L504,Data_Validation!$A:$D,3,0)</f>
        <v>Véhicules usagés</v>
      </c>
      <c r="V504" s="152" t="str">
        <f>+VLOOKUP($L504,Data_Validation!$A:$D,4,0)</f>
        <v>Ventes au Gros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2861</v>
      </c>
      <c r="B505" s="718" t="s">
        <v>2862</v>
      </c>
      <c r="C505" s="720">
        <v>-61510.49</v>
      </c>
      <c r="D505" s="720">
        <v>-3007.92</v>
      </c>
      <c r="E505" s="720">
        <v>-64518.41</v>
      </c>
      <c r="F505" s="718" t="s">
        <v>2230</v>
      </c>
      <c r="G505" s="718" t="s">
        <v>2292</v>
      </c>
      <c r="H505" s="607"/>
      <c r="I505" s="609"/>
      <c r="J505" s="609"/>
      <c r="K505" s="609"/>
      <c r="L505" s="149" t="str">
        <f t="shared" si="35"/>
        <v>18L</v>
      </c>
      <c r="M505" s="150" t="str">
        <f t="shared" si="36"/>
        <v>CREDIT INT FLOOR PLAN</v>
      </c>
      <c r="N505" s="151">
        <f>+IF(OR($Q505=Parametres!$G$2,$Q505=Parametres!$G$3),I505,C505)</f>
        <v>-61510.49</v>
      </c>
      <c r="O505" s="151">
        <f>+IF(OR($Q505=Parametres!$G$2,$Q505=Parametres!$G$3),J505,D505)</f>
        <v>-3007.92</v>
      </c>
      <c r="P505" s="151">
        <f>+IF(OR($Q505=Parametres!$G$2,$Q505=Parametres!$G$3),K505,E505)</f>
        <v>-64518.41</v>
      </c>
      <c r="Q505" s="150" t="str">
        <f t="shared" si="37"/>
        <v>7-Dépenses</v>
      </c>
      <c r="R505" s="149" t="str">
        <f t="shared" si="38"/>
        <v>18</v>
      </c>
      <c r="S505" s="150">
        <f t="shared" si="39"/>
        <v>0</v>
      </c>
      <c r="T505" s="152" t="str">
        <f>+VLOOKUP($L505,Data_Validation!$A:$D,1,0)</f>
        <v>18L</v>
      </c>
      <c r="U505" s="152" t="str">
        <f>+VLOOKUP($L505,Data_Validation!$A:$D,3,0)</f>
        <v>Autres</v>
      </c>
      <c r="V505" s="152" t="str">
        <f>+VLOOKUP($L505,Data_Validation!$A:$D,4,0)</f>
        <v>Revenus d'intérêts floor plan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1168</v>
      </c>
      <c r="B506" s="718" t="s">
        <v>1169</v>
      </c>
      <c r="C506" s="720">
        <v>-32010.86</v>
      </c>
      <c r="D506" s="720">
        <v>-3210</v>
      </c>
      <c r="E506" s="720">
        <v>-35220.86</v>
      </c>
      <c r="F506" s="718" t="s">
        <v>2230</v>
      </c>
      <c r="G506" s="718" t="s">
        <v>2256</v>
      </c>
      <c r="H506" s="673"/>
      <c r="I506" s="672"/>
      <c r="J506" s="672"/>
      <c r="K506" s="672"/>
      <c r="L506" s="149" t="str">
        <f t="shared" si="35"/>
        <v>54E</v>
      </c>
      <c r="M506" s="150" t="str">
        <f t="shared" si="36"/>
        <v>REV BMW CANADA MOBILITY - SERV BMW</v>
      </c>
      <c r="N506" s="151">
        <f>+IF(OR($Q506=Parametres!$G$2,$Q506=Parametres!$G$3),I506,C506)</f>
        <v>-32010.86</v>
      </c>
      <c r="O506" s="151">
        <f>+IF(OR($Q506=Parametres!$G$2,$Q506=Parametres!$G$3),J506,D506)</f>
        <v>-3210</v>
      </c>
      <c r="P506" s="151">
        <f>+IF(OR($Q506=Parametres!$G$2,$Q506=Parametres!$G$3),K506,E506)</f>
        <v>-35220.86</v>
      </c>
      <c r="Q506" s="150" t="str">
        <f t="shared" si="37"/>
        <v>7-Dépenses</v>
      </c>
      <c r="R506" s="149" t="str">
        <f t="shared" si="38"/>
        <v>54</v>
      </c>
      <c r="S506" s="150">
        <f t="shared" si="39"/>
        <v>0</v>
      </c>
      <c r="T506" s="152" t="str">
        <f>+VLOOKUP($L506,Data_Validation!$A:$D,1,0)</f>
        <v>54E</v>
      </c>
      <c r="U506" s="152" t="str">
        <f>+VLOOKUP($L506,Data_Validation!$A:$D,3,0)</f>
        <v>Service</v>
      </c>
      <c r="V506" s="152" t="str">
        <f>+VLOOKUP($L506,Data_Validation!$A:$D,4,0)</f>
        <v>Frais véhicules de cie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1170</v>
      </c>
      <c r="B507" s="718" t="s">
        <v>1171</v>
      </c>
      <c r="C507" s="720">
        <v>-32010.86</v>
      </c>
      <c r="D507" s="720">
        <v>-3210</v>
      </c>
      <c r="E507" s="720">
        <v>-35220.86</v>
      </c>
      <c r="F507" s="718" t="s">
        <v>2230</v>
      </c>
      <c r="G507" s="718" t="s">
        <v>2256</v>
      </c>
      <c r="H507" s="673"/>
      <c r="I507" s="673"/>
      <c r="J507" s="673"/>
      <c r="K507" s="673"/>
      <c r="L507" s="149" t="str">
        <f t="shared" si="35"/>
        <v>54G</v>
      </c>
      <c r="M507" s="150" t="str">
        <f t="shared" si="36"/>
        <v>REV BMW CANADA MOBILITY - PIECES BMW</v>
      </c>
      <c r="N507" s="151">
        <f>+IF(OR($Q507=Parametres!$G$2,$Q507=Parametres!$G$3),I507,C507)</f>
        <v>-32010.86</v>
      </c>
      <c r="O507" s="151">
        <f>+IF(OR($Q507=Parametres!$G$2,$Q507=Parametres!$G$3),J507,D507)</f>
        <v>-3210</v>
      </c>
      <c r="P507" s="151">
        <f>+IF(OR($Q507=Parametres!$G$2,$Q507=Parametres!$G$3),K507,E507)</f>
        <v>-35220.86</v>
      </c>
      <c r="Q507" s="150" t="str">
        <f t="shared" si="37"/>
        <v>7-Dépenses</v>
      </c>
      <c r="R507" s="149" t="str">
        <f t="shared" si="38"/>
        <v>54</v>
      </c>
      <c r="S507" s="150">
        <f t="shared" si="39"/>
        <v>0</v>
      </c>
      <c r="T507" s="152" t="str">
        <f>+VLOOKUP($L507,Data_Validation!$A:$D,1,0)</f>
        <v>54G</v>
      </c>
      <c r="U507" s="152" t="str">
        <f>+VLOOKUP($L507,Data_Validation!$A:$D,3,0)</f>
        <v>pièces</v>
      </c>
      <c r="V507" s="152" t="str">
        <f>+VLOOKUP($L507,Data_Validation!$A:$D,4,0)</f>
        <v>Frais véhicules de cie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1181</v>
      </c>
      <c r="B508" s="718" t="s">
        <v>461</v>
      </c>
      <c r="C508" s="720">
        <v>-20700</v>
      </c>
      <c r="D508" s="720">
        <v>-3700</v>
      </c>
      <c r="E508" s="720">
        <v>-24400</v>
      </c>
      <c r="F508" s="718" t="s">
        <v>2230</v>
      </c>
      <c r="G508" s="718" t="s">
        <v>2257</v>
      </c>
      <c r="H508" s="609"/>
      <c r="I508" s="609"/>
      <c r="J508" s="609"/>
      <c r="K508" s="609"/>
      <c r="L508" s="149" t="str">
        <f t="shared" si="35"/>
        <v>19A</v>
      </c>
      <c r="M508" s="150" t="str">
        <f t="shared" si="36"/>
        <v>RECOUV. PUBLICITE - NEUF BMW</v>
      </c>
      <c r="N508" s="151">
        <f>+IF(OR($Q508=Parametres!$G$2,$Q508=Parametres!$G$3),I508,C508)</f>
        <v>-20700</v>
      </c>
      <c r="O508" s="151">
        <f>+IF(OR($Q508=Parametres!$G$2,$Q508=Parametres!$G$3),J508,D508)</f>
        <v>-3700</v>
      </c>
      <c r="P508" s="151">
        <f>+IF(OR($Q508=Parametres!$G$2,$Q508=Parametres!$G$3),K508,E508)</f>
        <v>-24400</v>
      </c>
      <c r="Q508" s="150" t="str">
        <f t="shared" si="37"/>
        <v>7-Dépenses</v>
      </c>
      <c r="R508" s="149" t="str">
        <f t="shared" si="38"/>
        <v>19</v>
      </c>
      <c r="S508" s="150">
        <f t="shared" si="39"/>
        <v>0</v>
      </c>
      <c r="T508" s="152" t="str">
        <f>+VLOOKUP($L508,Data_Validation!$A:$D,1,0)</f>
        <v>19A</v>
      </c>
      <c r="U508" s="152" t="str">
        <f>+VLOOKUP($L508,Data_Validation!$A:$D,3,0)</f>
        <v>Véhicules neufs</v>
      </c>
      <c r="V508" s="152" t="str">
        <f>+VLOOKUP($L508,Data_Validation!$A:$D,4,0)</f>
        <v>Publicité 1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1200</v>
      </c>
      <c r="B509" s="718" t="s">
        <v>463</v>
      </c>
      <c r="C509" s="720">
        <v>-14400</v>
      </c>
      <c r="D509" s="720">
        <v>-700</v>
      </c>
      <c r="E509" s="720">
        <v>-15100</v>
      </c>
      <c r="F509" s="718" t="s">
        <v>2230</v>
      </c>
      <c r="G509" s="718" t="s">
        <v>2257</v>
      </c>
      <c r="H509" s="719"/>
      <c r="I509" s="719"/>
      <c r="J509" s="719"/>
      <c r="K509" s="719"/>
      <c r="L509" s="149" t="str">
        <f t="shared" si="35"/>
        <v>19C</v>
      </c>
      <c r="M509" s="150" t="str">
        <f t="shared" si="36"/>
        <v>RECOUV. PUBLICITE - USAGE BMW</v>
      </c>
      <c r="N509" s="151">
        <f>+IF(OR($Q509=Parametres!$G$2,$Q509=Parametres!$G$3),I509,C509)</f>
        <v>-14400</v>
      </c>
      <c r="O509" s="151">
        <f>+IF(OR($Q509=Parametres!$G$2,$Q509=Parametres!$G$3),J509,D509)</f>
        <v>-700</v>
      </c>
      <c r="P509" s="151">
        <f>+IF(OR($Q509=Parametres!$G$2,$Q509=Parametres!$G$3),K509,E509)</f>
        <v>-15100</v>
      </c>
      <c r="Q509" s="150" t="str">
        <f t="shared" si="37"/>
        <v>7-Dépenses</v>
      </c>
      <c r="R509" s="149" t="str">
        <f t="shared" si="38"/>
        <v>19</v>
      </c>
      <c r="S509" s="150">
        <f t="shared" si="39"/>
        <v>0</v>
      </c>
      <c r="T509" s="152" t="str">
        <f>+VLOOKUP($L509,Data_Validation!$A:$D,1,0)</f>
        <v>19C</v>
      </c>
      <c r="U509" s="152" t="str">
        <f>+VLOOKUP($L509,Data_Validation!$A:$D,3,0)</f>
        <v>Véhicules usagés</v>
      </c>
      <c r="V509" s="152" t="str">
        <f>+VLOOKUP($L509,Data_Validation!$A:$D,4,0)</f>
        <v>Publicité 1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1665</v>
      </c>
      <c r="B510" s="718" t="s">
        <v>930</v>
      </c>
      <c r="C510" s="720">
        <v>-3988.45</v>
      </c>
      <c r="D510" s="720">
        <v>-3130</v>
      </c>
      <c r="E510" s="720">
        <v>-7118.45</v>
      </c>
      <c r="F510" s="718" t="s">
        <v>2230</v>
      </c>
      <c r="G510" s="718" t="s">
        <v>2258</v>
      </c>
      <c r="H510" s="673"/>
      <c r="I510" s="672"/>
      <c r="J510" s="672"/>
      <c r="K510" s="672"/>
      <c r="L510" s="149" t="str">
        <f t="shared" si="35"/>
        <v>17A</v>
      </c>
      <c r="M510" s="150" t="str">
        <f t="shared" si="36"/>
        <v>PUBLICITE GROUPE - NEUF BMW</v>
      </c>
      <c r="N510" s="151">
        <f>+IF(OR($Q510=Parametres!$G$2,$Q510=Parametres!$G$3),I510,C510)</f>
        <v>-3988.45</v>
      </c>
      <c r="O510" s="151">
        <f>+IF(OR($Q510=Parametres!$G$2,$Q510=Parametres!$G$3),J510,D510)</f>
        <v>-3130</v>
      </c>
      <c r="P510" s="151">
        <f>+IF(OR($Q510=Parametres!$G$2,$Q510=Parametres!$G$3),K510,E510)</f>
        <v>-7118.45</v>
      </c>
      <c r="Q510" s="150" t="str">
        <f t="shared" si="37"/>
        <v>7-Dépenses</v>
      </c>
      <c r="R510" s="149" t="str">
        <f t="shared" si="38"/>
        <v>17</v>
      </c>
      <c r="S510" s="150">
        <f t="shared" si="39"/>
        <v>0</v>
      </c>
      <c r="T510" s="152" t="str">
        <f>+VLOOKUP($L510,Data_Validation!$A:$D,1,0)</f>
        <v>17A</v>
      </c>
      <c r="U510" s="152" t="str">
        <f>+VLOOKUP($L510,Data_Validation!$A:$D,3,0)</f>
        <v>Véhicules neufs</v>
      </c>
      <c r="V510" s="152" t="str">
        <f>+VLOOKUP($L510,Data_Validation!$A:$D,4,0)</f>
        <v>Publicité 1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2438</v>
      </c>
      <c r="B511" s="718" t="s">
        <v>2439</v>
      </c>
      <c r="C511" s="720">
        <v>-86.74</v>
      </c>
      <c r="D511" s="720">
        <v>-32.5</v>
      </c>
      <c r="E511" s="720">
        <v>-119.24</v>
      </c>
      <c r="F511" s="718" t="s">
        <v>2230</v>
      </c>
      <c r="G511" s="718" t="s">
        <v>2515</v>
      </c>
      <c r="H511" s="673"/>
      <c r="I511" s="672"/>
      <c r="J511" s="672"/>
      <c r="K511" s="672"/>
      <c r="L511" s="149" t="str">
        <f t="shared" si="35"/>
        <v>55E</v>
      </c>
      <c r="M511" s="150" t="str">
        <f t="shared" si="36"/>
        <v>CHARGE PRET VEHICULES CLIENTS - SERV. BMW</v>
      </c>
      <c r="N511" s="151">
        <f>+IF(OR($Q511=Parametres!$G$2,$Q511=Parametres!$G$3),I511,C511)</f>
        <v>-86.74</v>
      </c>
      <c r="O511" s="151">
        <f>+IF(OR($Q511=Parametres!$G$2,$Q511=Parametres!$G$3),J511,D511)</f>
        <v>-32.5</v>
      </c>
      <c r="P511" s="151">
        <f>+IF(OR($Q511=Parametres!$G$2,$Q511=Parametres!$G$3),K511,E511)</f>
        <v>-119.24</v>
      </c>
      <c r="Q511" s="150" t="str">
        <f t="shared" si="37"/>
        <v>7-Dépenses</v>
      </c>
      <c r="R511" s="149" t="str">
        <f t="shared" si="38"/>
        <v>55</v>
      </c>
      <c r="S511" s="150">
        <f t="shared" si="39"/>
        <v>0</v>
      </c>
      <c r="T511" s="152" t="str">
        <f>+VLOOKUP($L511,Data_Validation!$A:$D,1,0)</f>
        <v>55E</v>
      </c>
      <c r="U511" s="152" t="str">
        <f>+VLOOKUP($L511,Data_Validation!$A:$D,3,0)</f>
        <v>Service</v>
      </c>
      <c r="V511" s="152" t="str">
        <f>+VLOOKUP($L511,Data_Validation!$A:$D,4,0)</f>
        <v>Frais véhicules de cie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2440</v>
      </c>
      <c r="B512" s="718" t="s">
        <v>2441</v>
      </c>
      <c r="C512" s="720">
        <v>-86.74</v>
      </c>
      <c r="D512" s="720">
        <v>-32.5</v>
      </c>
      <c r="E512" s="720">
        <v>-119.24</v>
      </c>
      <c r="F512" s="718" t="s">
        <v>2230</v>
      </c>
      <c r="G512" s="718" t="s">
        <v>2515</v>
      </c>
      <c r="H512" s="607"/>
      <c r="I512" s="609"/>
      <c r="J512" s="609"/>
      <c r="K512" s="609"/>
      <c r="L512" s="149" t="str">
        <f t="shared" si="35"/>
        <v>55G</v>
      </c>
      <c r="M512" s="150" t="str">
        <f t="shared" si="36"/>
        <v>CHARGE PRET VEHICULES CLIENTS - PIECES BMW</v>
      </c>
      <c r="N512" s="151">
        <f>+IF(OR($Q512=Parametres!$G$2,$Q512=Parametres!$G$3),I512,C512)</f>
        <v>-86.74</v>
      </c>
      <c r="O512" s="151">
        <f>+IF(OR($Q512=Parametres!$G$2,$Q512=Parametres!$G$3),J512,D512)</f>
        <v>-32.5</v>
      </c>
      <c r="P512" s="151">
        <f>+IF(OR($Q512=Parametres!$G$2,$Q512=Parametres!$G$3),K512,E512)</f>
        <v>-119.24</v>
      </c>
      <c r="Q512" s="150" t="str">
        <f t="shared" si="37"/>
        <v>7-Dépenses</v>
      </c>
      <c r="R512" s="149" t="str">
        <f t="shared" si="38"/>
        <v>55</v>
      </c>
      <c r="S512" s="150">
        <f t="shared" si="39"/>
        <v>0</v>
      </c>
      <c r="T512" s="152" t="str">
        <f>+VLOOKUP($L512,Data_Validation!$A:$D,1,0)</f>
        <v>55G</v>
      </c>
      <c r="U512" s="152" t="str">
        <f>+VLOOKUP($L512,Data_Validation!$A:$D,3,0)</f>
        <v>pièces</v>
      </c>
      <c r="V512" s="152" t="str">
        <f>+VLOOKUP($L512,Data_Validation!$A:$D,4,0)</f>
        <v>Frais véhicules de cie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1457</v>
      </c>
      <c r="B513" s="718" t="s">
        <v>685</v>
      </c>
      <c r="C513" s="720">
        <v>0.21</v>
      </c>
      <c r="D513" s="720">
        <v>0.6</v>
      </c>
      <c r="E513" s="720">
        <v>0.81</v>
      </c>
      <c r="F513" s="718" t="s">
        <v>2230</v>
      </c>
      <c r="G513" s="718" t="s">
        <v>2260</v>
      </c>
      <c r="H513" s="673"/>
      <c r="I513" s="672"/>
      <c r="J513" s="672"/>
      <c r="K513" s="672"/>
      <c r="L513" s="149" t="str">
        <f t="shared" si="35"/>
        <v>61I</v>
      </c>
      <c r="M513" s="150" t="str">
        <f t="shared" si="36"/>
        <v>AUTRES FOURNITURES - CARROSSERIE BMW</v>
      </c>
      <c r="N513" s="151">
        <f>+IF(OR($Q513=Parametres!$G$2,$Q513=Parametres!$G$3),I513,C513)</f>
        <v>0.21</v>
      </c>
      <c r="O513" s="151">
        <f>+IF(OR($Q513=Parametres!$G$2,$Q513=Parametres!$G$3),J513,D513)</f>
        <v>0.6</v>
      </c>
      <c r="P513" s="151">
        <f>+IF(OR($Q513=Parametres!$G$2,$Q513=Parametres!$G$3),K513,E513)</f>
        <v>0.81</v>
      </c>
      <c r="Q513" s="150" t="str">
        <f t="shared" si="37"/>
        <v>7-Dépenses</v>
      </c>
      <c r="R513" s="149" t="str">
        <f t="shared" si="38"/>
        <v>61</v>
      </c>
      <c r="S513" s="150">
        <f t="shared" si="39"/>
        <v>0</v>
      </c>
      <c r="T513" s="152" t="str">
        <f>+VLOOKUP($L513,Data_Validation!$A:$D,1,0)</f>
        <v>61I</v>
      </c>
      <c r="U513" s="152" t="str">
        <f>+VLOOKUP($L513,Data_Validation!$A:$D,3,0)</f>
        <v>carrosserie</v>
      </c>
      <c r="V513" s="152" t="str">
        <f>+VLOOKUP($L513,Data_Validation!$A:$D,4,0)</f>
        <v>fournitures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1456</v>
      </c>
      <c r="B514" s="718" t="s">
        <v>684</v>
      </c>
      <c r="C514" s="720">
        <v>3</v>
      </c>
      <c r="D514" s="720">
        <v>70.61</v>
      </c>
      <c r="E514" s="720">
        <v>73.61</v>
      </c>
      <c r="F514" s="718" t="s">
        <v>2230</v>
      </c>
      <c r="G514" s="718" t="s">
        <v>2260</v>
      </c>
      <c r="H514" s="673"/>
      <c r="I514" s="672"/>
      <c r="J514" s="672"/>
      <c r="K514" s="672"/>
      <c r="L514" s="149" t="str">
        <f t="shared" ref="L514:L577" si="40">+B514</f>
        <v>61G</v>
      </c>
      <c r="M514" s="150" t="str">
        <f t="shared" ref="M514:M577" si="41">+A514</f>
        <v>AUTRES FOURNITURES - PIECE BMW</v>
      </c>
      <c r="N514" s="151">
        <f>+IF(OR($Q514=Parametres!$G$2,$Q514=Parametres!$G$3),I514,C514)</f>
        <v>3</v>
      </c>
      <c r="O514" s="151">
        <f>+IF(OR($Q514=Parametres!$G$2,$Q514=Parametres!$G$3),J514,D514)</f>
        <v>70.61</v>
      </c>
      <c r="P514" s="151">
        <f>+IF(OR($Q514=Parametres!$G$2,$Q514=Parametres!$G$3),K514,E514)</f>
        <v>73.61</v>
      </c>
      <c r="Q514" s="150" t="str">
        <f t="shared" ref="Q514:Q577" si="42">+F514</f>
        <v>7-Dépenses</v>
      </c>
      <c r="R514" s="149" t="str">
        <f t="shared" ref="R514:R577" si="43">+G514</f>
        <v>61</v>
      </c>
      <c r="S514" s="150">
        <f t="shared" ref="S514:S577" si="44">+H514</f>
        <v>0</v>
      </c>
      <c r="T514" s="152" t="str">
        <f>+VLOOKUP($L514,Data_Validation!$A:$D,1,0)</f>
        <v>61G</v>
      </c>
      <c r="U514" s="152" t="str">
        <f>+VLOOKUP($L514,Data_Validation!$A:$D,3,0)</f>
        <v>pièces</v>
      </c>
      <c r="V514" s="152" t="str">
        <f>+VLOOKUP($L514,Data_Validation!$A:$D,4,0)</f>
        <v>fournitures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2040</v>
      </c>
      <c r="B515" s="718" t="s">
        <v>2041</v>
      </c>
      <c r="C515" s="720">
        <v>23.08</v>
      </c>
      <c r="D515" s="720">
        <v>0</v>
      </c>
      <c r="E515" s="720">
        <v>23.08</v>
      </c>
      <c r="F515" s="718" t="s">
        <v>2230</v>
      </c>
      <c r="G515" s="718" t="s">
        <v>2263</v>
      </c>
      <c r="H515" s="666"/>
      <c r="I515" s="665"/>
      <c r="J515" s="665"/>
      <c r="K515" s="665"/>
      <c r="L515" s="149" t="str">
        <f t="shared" si="40"/>
        <v>51I</v>
      </c>
      <c r="M515" s="150" t="str">
        <f t="shared" si="41"/>
        <v>UNIFORMES - CARROSSERIE BMW</v>
      </c>
      <c r="N515" s="151">
        <f>+IF(OR($Q515=Parametres!$G$2,$Q515=Parametres!$G$3),I515,C515)</f>
        <v>23.08</v>
      </c>
      <c r="O515" s="151">
        <f>+IF(OR($Q515=Parametres!$G$2,$Q515=Parametres!$G$3),J515,D515)</f>
        <v>0</v>
      </c>
      <c r="P515" s="151">
        <f>+IF(OR($Q515=Parametres!$G$2,$Q515=Parametres!$G$3),K515,E515)</f>
        <v>23.08</v>
      </c>
      <c r="Q515" s="150" t="str">
        <f t="shared" si="42"/>
        <v>7-Dépenses</v>
      </c>
      <c r="R515" s="149" t="str">
        <f t="shared" si="43"/>
        <v>51</v>
      </c>
      <c r="S515" s="150">
        <f t="shared" si="44"/>
        <v>0</v>
      </c>
      <c r="T515" s="152" t="str">
        <f>+VLOOKUP($L515,Data_Validation!$A:$D,1,0)</f>
        <v>51I</v>
      </c>
      <c r="U515" s="152" t="str">
        <f>+VLOOKUP($L515,Data_Validation!$A:$D,3,0)</f>
        <v>Carrosserie</v>
      </c>
      <c r="V515" s="152" t="str">
        <f>+VLOOKUP($L515,Data_Validation!$A:$D,4,0)</f>
        <v>Uniformes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2913</v>
      </c>
      <c r="B516" s="718" t="s">
        <v>2914</v>
      </c>
      <c r="C516" s="720">
        <v>32.83</v>
      </c>
      <c r="D516" s="720">
        <v>0</v>
      </c>
      <c r="E516" s="720">
        <v>32.83</v>
      </c>
      <c r="F516" s="718" t="s">
        <v>2230</v>
      </c>
      <c r="G516" s="718" t="s">
        <v>2947</v>
      </c>
      <c r="H516" s="666"/>
      <c r="I516" s="665"/>
      <c r="J516" s="665"/>
      <c r="K516" s="665"/>
      <c r="L516" s="149" t="str">
        <f t="shared" si="40"/>
        <v>88I</v>
      </c>
      <c r="M516" s="150" t="str">
        <f t="shared" si="41"/>
        <v>ASS. AUTRES - CARROSSERIE BMW</v>
      </c>
      <c r="N516" s="151">
        <f>+IF(OR($Q516=Parametres!$G$2,$Q516=Parametres!$G$3),I516,C516)</f>
        <v>32.83</v>
      </c>
      <c r="O516" s="151">
        <f>+IF(OR($Q516=Parametres!$G$2,$Q516=Parametres!$G$3),J516,D516)</f>
        <v>0</v>
      </c>
      <c r="P516" s="151">
        <f>+IF(OR($Q516=Parametres!$G$2,$Q516=Parametres!$G$3),K516,E516)</f>
        <v>32.83</v>
      </c>
      <c r="Q516" s="150" t="str">
        <f t="shared" si="42"/>
        <v>7-Dépenses</v>
      </c>
      <c r="R516" s="149" t="str">
        <f t="shared" si="43"/>
        <v>88</v>
      </c>
      <c r="S516" s="150">
        <f t="shared" si="44"/>
        <v>0</v>
      </c>
      <c r="T516" s="152" t="str">
        <f>+VLOOKUP($L516,Data_Validation!$A:$D,1,0)</f>
        <v>88I</v>
      </c>
      <c r="U516" s="152" t="str">
        <f>+VLOOKUP($L516,Data_Validation!$A:$D,3,0)</f>
        <v>Carrosserie</v>
      </c>
      <c r="V516" s="152" t="str">
        <f>+VLOOKUP($L516,Data_Validation!$A:$D,4,0)</f>
        <v>assurances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1605</v>
      </c>
      <c r="B517" s="718" t="s">
        <v>765</v>
      </c>
      <c r="C517" s="720">
        <v>43.5</v>
      </c>
      <c r="D517" s="720">
        <v>4.3499999999999996</v>
      </c>
      <c r="E517" s="720">
        <v>47.85</v>
      </c>
      <c r="F517" s="718" t="s">
        <v>2230</v>
      </c>
      <c r="G517" s="718" t="s">
        <v>2262</v>
      </c>
      <c r="H517" s="673"/>
      <c r="I517" s="673"/>
      <c r="J517" s="673"/>
      <c r="K517" s="673"/>
      <c r="L517" s="149" t="str">
        <f t="shared" si="40"/>
        <v>92I</v>
      </c>
      <c r="M517" s="150" t="str">
        <f t="shared" si="41"/>
        <v>LOCATION EQUIP. - CARROSSERIE BMW</v>
      </c>
      <c r="N517" s="151">
        <f>+IF(OR($Q517=Parametres!$G$2,$Q517=Parametres!$G$3),I517,C517)</f>
        <v>43.5</v>
      </c>
      <c r="O517" s="151">
        <f>+IF(OR($Q517=Parametres!$G$2,$Q517=Parametres!$G$3),J517,D517)</f>
        <v>4.3499999999999996</v>
      </c>
      <c r="P517" s="151">
        <f>+IF(OR($Q517=Parametres!$G$2,$Q517=Parametres!$G$3),K517,E517)</f>
        <v>47.85</v>
      </c>
      <c r="Q517" s="150" t="str">
        <f t="shared" si="42"/>
        <v>7-Dépenses</v>
      </c>
      <c r="R517" s="149" t="str">
        <f t="shared" si="43"/>
        <v>92</v>
      </c>
      <c r="S517" s="150">
        <f t="shared" si="44"/>
        <v>0</v>
      </c>
      <c r="T517" s="152" t="str">
        <f>+VLOOKUP($L517,Data_Validation!$A:$D,1,0)</f>
        <v>92I</v>
      </c>
      <c r="U517" s="152" t="str">
        <f>+VLOOKUP($L517,Data_Validation!$A:$D,3,0)</f>
        <v>carrosserie</v>
      </c>
      <c r="V517" s="152" t="str">
        <f>+VLOOKUP($L517,Data_Validation!$A:$D,4,0)</f>
        <v>Location équipement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1651</v>
      </c>
      <c r="B518" s="718" t="s">
        <v>783</v>
      </c>
      <c r="C518" s="720">
        <v>47.06</v>
      </c>
      <c r="D518" s="720">
        <v>3.16</v>
      </c>
      <c r="E518" s="720">
        <v>50.22</v>
      </c>
      <c r="F518" s="718" t="s">
        <v>2230</v>
      </c>
      <c r="G518" s="718" t="s">
        <v>2266</v>
      </c>
      <c r="H518" s="666"/>
      <c r="I518" s="665"/>
      <c r="J518" s="665"/>
      <c r="K518" s="665"/>
      <c r="L518" s="149" t="str">
        <f t="shared" si="40"/>
        <v>29I</v>
      </c>
      <c r="M518" s="150" t="str">
        <f t="shared" si="41"/>
        <v>FONDS PENSIONS - CARROSSERIE BMW</v>
      </c>
      <c r="N518" s="151">
        <f>+IF(OR($Q518=Parametres!$G$2,$Q518=Parametres!$G$3),I518,C518)</f>
        <v>47.06</v>
      </c>
      <c r="O518" s="151">
        <f>+IF(OR($Q518=Parametres!$G$2,$Q518=Parametres!$G$3),J518,D518)</f>
        <v>3.16</v>
      </c>
      <c r="P518" s="151">
        <f>+IF(OR($Q518=Parametres!$G$2,$Q518=Parametres!$G$3),K518,E518)</f>
        <v>50.22</v>
      </c>
      <c r="Q518" s="150" t="str">
        <f t="shared" si="42"/>
        <v>7-Dépenses</v>
      </c>
      <c r="R518" s="149" t="str">
        <f t="shared" si="43"/>
        <v>29</v>
      </c>
      <c r="S518" s="150">
        <f t="shared" si="44"/>
        <v>0</v>
      </c>
      <c r="T518" s="152" t="str">
        <f>+VLOOKUP($L518,Data_Validation!$A:$D,1,0)</f>
        <v>29I</v>
      </c>
      <c r="U518" s="152" t="str">
        <f>+VLOOKUP($L518,Data_Validation!$A:$D,3,0)</f>
        <v>Carrosserie</v>
      </c>
      <c r="V518" s="152" t="str">
        <f>+VLOOKUP($L518,Data_Validation!$A:$D,4,0)</f>
        <v>csst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1609</v>
      </c>
      <c r="B519" s="718" t="s">
        <v>770</v>
      </c>
      <c r="C519" s="720">
        <v>53.58</v>
      </c>
      <c r="D519" s="720">
        <v>3.05</v>
      </c>
      <c r="E519" s="720">
        <v>56.63</v>
      </c>
      <c r="F519" s="718" t="s">
        <v>2230</v>
      </c>
      <c r="G519" s="718" t="s">
        <v>2264</v>
      </c>
      <c r="H519" s="673"/>
      <c r="I519" s="672"/>
      <c r="J519" s="672"/>
      <c r="K519" s="672"/>
      <c r="L519" s="149" t="str">
        <f t="shared" si="40"/>
        <v>78I</v>
      </c>
      <c r="M519" s="150" t="str">
        <f t="shared" si="41"/>
        <v>TRANSPORT - CARROSSERIE BMW</v>
      </c>
      <c r="N519" s="151">
        <f>+IF(OR($Q519=Parametres!$G$2,$Q519=Parametres!$G$3),I519,C519)</f>
        <v>53.58</v>
      </c>
      <c r="O519" s="151">
        <f>+IF(OR($Q519=Parametres!$G$2,$Q519=Parametres!$G$3),J519,D519)</f>
        <v>3.05</v>
      </c>
      <c r="P519" s="151">
        <f>+IF(OR($Q519=Parametres!$G$2,$Q519=Parametres!$G$3),K519,E519)</f>
        <v>56.63</v>
      </c>
      <c r="Q519" s="150" t="str">
        <f t="shared" si="42"/>
        <v>7-Dépenses</v>
      </c>
      <c r="R519" s="149" t="str">
        <f t="shared" si="43"/>
        <v>78</v>
      </c>
      <c r="S519" s="150">
        <f t="shared" si="44"/>
        <v>0</v>
      </c>
      <c r="T519" s="152" t="str">
        <f>+VLOOKUP($L519,Data_Validation!$A:$D,1,0)</f>
        <v>78I</v>
      </c>
      <c r="U519" s="152" t="str">
        <f>+VLOOKUP($L519,Data_Validation!$A:$D,3,0)</f>
        <v>carrosserie</v>
      </c>
      <c r="V519" s="152" t="str">
        <f>+VLOOKUP($L519,Data_Validation!$A:$D,4,0)</f>
        <v>Frais postaux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1219</v>
      </c>
      <c r="B520" s="718" t="s">
        <v>803</v>
      </c>
      <c r="C520" s="720">
        <v>86.74</v>
      </c>
      <c r="D520" s="720">
        <v>-6.63</v>
      </c>
      <c r="E520" s="720">
        <v>80.11</v>
      </c>
      <c r="F520" s="718" t="s">
        <v>2230</v>
      </c>
      <c r="G520" s="718" t="s">
        <v>2272</v>
      </c>
      <c r="H520" s="673"/>
      <c r="I520" s="672"/>
      <c r="J520" s="672"/>
      <c r="K520" s="672"/>
      <c r="L520" s="149" t="str">
        <f t="shared" si="40"/>
        <v>76I</v>
      </c>
      <c r="M520" s="150" t="str">
        <f t="shared" si="41"/>
        <v>FORMATION - CARROSSERIE BMW</v>
      </c>
      <c r="N520" s="151">
        <f>+IF(OR($Q520=Parametres!$G$2,$Q520=Parametres!$G$3),I520,C520)</f>
        <v>86.74</v>
      </c>
      <c r="O520" s="151">
        <f>+IF(OR($Q520=Parametres!$G$2,$Q520=Parametres!$G$3),J520,D520)</f>
        <v>-6.63</v>
      </c>
      <c r="P520" s="151">
        <f>+IF(OR($Q520=Parametres!$G$2,$Q520=Parametres!$G$3),K520,E520)</f>
        <v>80.11</v>
      </c>
      <c r="Q520" s="150" t="str">
        <f t="shared" si="42"/>
        <v>7-Dépenses</v>
      </c>
      <c r="R520" s="149" t="str">
        <f t="shared" si="43"/>
        <v>76</v>
      </c>
      <c r="S520" s="150">
        <f t="shared" si="44"/>
        <v>0</v>
      </c>
      <c r="T520" s="152" t="str">
        <f>+VLOOKUP($L520,Data_Validation!$A:$D,1,0)</f>
        <v>76I</v>
      </c>
      <c r="U520" s="152" t="str">
        <f>+VLOOKUP($L520,Data_Validation!$A:$D,3,0)</f>
        <v>carrosserie</v>
      </c>
      <c r="V520" s="152" t="str">
        <f>+VLOOKUP($L520,Data_Validation!$A:$D,4,0)</f>
        <v>Formation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1613</v>
      </c>
      <c r="B521" s="718" t="s">
        <v>773</v>
      </c>
      <c r="C521" s="720">
        <v>87.38</v>
      </c>
      <c r="D521" s="720">
        <v>17.52</v>
      </c>
      <c r="E521" s="720">
        <v>104.9</v>
      </c>
      <c r="F521" s="718" t="s">
        <v>2230</v>
      </c>
      <c r="G521" s="718" t="s">
        <v>2261</v>
      </c>
      <c r="H521" s="607"/>
      <c r="I521" s="153"/>
      <c r="J521" s="153"/>
      <c r="K521" s="153"/>
      <c r="L521" s="149" t="str">
        <f t="shared" si="40"/>
        <v>75I</v>
      </c>
      <c r="M521" s="150" t="str">
        <f t="shared" si="41"/>
        <v>TELEPHONE - CARROSSERIE BMW</v>
      </c>
      <c r="N521" s="151">
        <f>+IF(OR($Q521=Parametres!$G$2,$Q521=Parametres!$G$3),I521,C521)</f>
        <v>87.38</v>
      </c>
      <c r="O521" s="151">
        <f>+IF(OR($Q521=Parametres!$G$2,$Q521=Parametres!$G$3),J521,D521)</f>
        <v>17.52</v>
      </c>
      <c r="P521" s="151">
        <f>+IF(OR($Q521=Parametres!$G$2,$Q521=Parametres!$G$3),K521,E521)</f>
        <v>104.9</v>
      </c>
      <c r="Q521" s="150" t="str">
        <f t="shared" si="42"/>
        <v>7-Dépenses</v>
      </c>
      <c r="R521" s="149" t="str">
        <f t="shared" si="43"/>
        <v>75</v>
      </c>
      <c r="S521" s="150">
        <f t="shared" si="44"/>
        <v>0</v>
      </c>
      <c r="T521" s="152" t="str">
        <f>+VLOOKUP($L521,Data_Validation!$A:$D,1,0)</f>
        <v>75I</v>
      </c>
      <c r="U521" s="152" t="str">
        <f>+VLOOKUP($L521,Data_Validation!$A:$D,3,0)</f>
        <v>carrosserie</v>
      </c>
      <c r="V521" s="152" t="str">
        <f>+VLOOKUP($L521,Data_Validation!$A:$D,4,0)</f>
        <v>Téléphone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1242</v>
      </c>
      <c r="B522" s="718" t="s">
        <v>768</v>
      </c>
      <c r="C522" s="720">
        <v>90.94</v>
      </c>
      <c r="D522" s="720">
        <v>12.02</v>
      </c>
      <c r="E522" s="720">
        <v>102.96</v>
      </c>
      <c r="F522" s="718" t="s">
        <v>2230</v>
      </c>
      <c r="G522" s="718" t="s">
        <v>2265</v>
      </c>
      <c r="H522" s="607"/>
      <c r="I522" s="609"/>
      <c r="J522" s="609"/>
      <c r="K522" s="609"/>
      <c r="L522" s="149" t="str">
        <f t="shared" si="40"/>
        <v>72I</v>
      </c>
      <c r="M522" s="150" t="str">
        <f t="shared" si="41"/>
        <v>COTIS. &amp; ABONN. - CARROSSIER BMW</v>
      </c>
      <c r="N522" s="151">
        <f>+IF(OR($Q522=Parametres!$G$2,$Q522=Parametres!$G$3),I522,C522)</f>
        <v>90.94</v>
      </c>
      <c r="O522" s="504">
        <f>+IF(OR($Q522=Parametres!$G$2,$Q522=Parametres!$G$3),J522,D522)</f>
        <v>12.02</v>
      </c>
      <c r="P522" s="151">
        <f>+IF(OR($Q522=Parametres!$G$2,$Q522=Parametres!$G$3),K522,E522)</f>
        <v>102.96</v>
      </c>
      <c r="Q522" s="150" t="str">
        <f t="shared" si="42"/>
        <v>7-Dépenses</v>
      </c>
      <c r="R522" s="149" t="str">
        <f t="shared" si="43"/>
        <v>72</v>
      </c>
      <c r="S522" s="150">
        <f t="shared" si="44"/>
        <v>0</v>
      </c>
      <c r="T522" s="152" t="str">
        <f>+VLOOKUP($L522,Data_Validation!$A:$D,1,0)</f>
        <v>72I</v>
      </c>
      <c r="U522" s="152" t="str">
        <f>+VLOOKUP($L522,Data_Validation!$A:$D,3,0)</f>
        <v>carrosserie</v>
      </c>
      <c r="V522" s="152" t="str">
        <f>+VLOOKUP($L522,Data_Validation!$A:$D,4,0)</f>
        <v>divers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1453</v>
      </c>
      <c r="B523" s="718" t="s">
        <v>764</v>
      </c>
      <c r="C523" s="720">
        <v>111.47</v>
      </c>
      <c r="D523" s="720">
        <v>40.76</v>
      </c>
      <c r="E523" s="720">
        <v>152.22999999999999</v>
      </c>
      <c r="F523" s="718" t="s">
        <v>2230</v>
      </c>
      <c r="G523" s="718" t="s">
        <v>2269</v>
      </c>
      <c r="H523" s="609"/>
      <c r="I523" s="608"/>
      <c r="J523" s="608"/>
      <c r="K523" s="608"/>
      <c r="L523" s="149" t="str">
        <f t="shared" si="40"/>
        <v>16I</v>
      </c>
      <c r="M523" s="150" t="str">
        <f t="shared" si="41"/>
        <v>PUBLICITE - CARROSSERIE BMW</v>
      </c>
      <c r="N523" s="151">
        <f>+IF(OR($Q523=Parametres!$G$2,$Q523=Parametres!$G$3),I523,C523)</f>
        <v>111.47</v>
      </c>
      <c r="O523" s="504">
        <f>+IF(OR($Q523=Parametres!$G$2,$Q523=Parametres!$G$3),J523,D523)</f>
        <v>40.76</v>
      </c>
      <c r="P523" s="151">
        <f>+IF(OR($Q523=Parametres!$G$2,$Q523=Parametres!$G$3),K523,E523)</f>
        <v>152.22999999999999</v>
      </c>
      <c r="Q523" s="150" t="str">
        <f t="shared" si="42"/>
        <v>7-Dépenses</v>
      </c>
      <c r="R523" s="149" t="str">
        <f t="shared" si="43"/>
        <v>16</v>
      </c>
      <c r="S523" s="150">
        <f t="shared" si="44"/>
        <v>0</v>
      </c>
      <c r="T523" s="152" t="str">
        <f>+VLOOKUP($L523,Data_Validation!$A:$D,1,0)</f>
        <v>16I</v>
      </c>
      <c r="U523" s="152" t="str">
        <f>+VLOOKUP($L523,Data_Validation!$A:$D,3,0)</f>
        <v>Carrosserie</v>
      </c>
      <c r="V523" s="152" t="str">
        <f>+VLOOKUP($L523,Data_Validation!$A:$D,4,0)</f>
        <v>Publicité 2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2518</v>
      </c>
      <c r="B524" s="718" t="s">
        <v>2519</v>
      </c>
      <c r="C524" s="719">
        <v>131.35</v>
      </c>
      <c r="D524" s="719">
        <v>0</v>
      </c>
      <c r="E524" s="719">
        <v>131.35</v>
      </c>
      <c r="F524" s="718" t="s">
        <v>2230</v>
      </c>
      <c r="G524" s="718" t="s">
        <v>2947</v>
      </c>
      <c r="H524" s="719"/>
      <c r="I524" s="720"/>
      <c r="J524" s="720"/>
      <c r="K524" s="720"/>
      <c r="L524" s="149" t="str">
        <f t="shared" si="40"/>
        <v>88C</v>
      </c>
      <c r="M524" s="150" t="str">
        <f t="shared" si="41"/>
        <v>ASS. AUTRES - USAGE BMW</v>
      </c>
      <c r="N524" s="151">
        <f>+IF(OR($Q524=Parametres!$G$2,$Q524=Parametres!$G$3),I524,C524)</f>
        <v>131.35</v>
      </c>
      <c r="O524" s="151">
        <f>+IF(OR($Q524=Parametres!$G$2,$Q524=Parametres!$G$3),J524,D524)</f>
        <v>0</v>
      </c>
      <c r="P524" s="151">
        <f>+IF(OR($Q524=Parametres!$G$2,$Q524=Parametres!$G$3),K524,E524)</f>
        <v>131.35</v>
      </c>
      <c r="Q524" s="150" t="str">
        <f t="shared" si="42"/>
        <v>7-Dépenses</v>
      </c>
      <c r="R524" s="149" t="str">
        <f t="shared" si="43"/>
        <v>88</v>
      </c>
      <c r="S524" s="150">
        <f t="shared" si="44"/>
        <v>0</v>
      </c>
      <c r="T524" s="152" t="str">
        <f>+VLOOKUP($L524,Data_Validation!$A:$E,1,0)</f>
        <v>88C</v>
      </c>
      <c r="U524" s="152" t="str">
        <f>+VLOOKUP($L524,Data_Validation!$A:$E,3,0)</f>
        <v>Véhicules usagés</v>
      </c>
      <c r="V524" s="152" t="str">
        <f>+VLOOKUP($L524,Data_Validation!$A:$E,4,0)</f>
        <v>assurances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1471</v>
      </c>
      <c r="B525" s="718" t="s">
        <v>686</v>
      </c>
      <c r="C525" s="720">
        <v>138.03</v>
      </c>
      <c r="D525" s="720">
        <v>85.71</v>
      </c>
      <c r="E525" s="720">
        <v>223.74</v>
      </c>
      <c r="F525" s="718" t="s">
        <v>2230</v>
      </c>
      <c r="G525" s="718" t="s">
        <v>2259</v>
      </c>
      <c r="H525" s="607"/>
      <c r="I525" s="153"/>
      <c r="J525" s="153"/>
      <c r="K525" s="153"/>
      <c r="L525" s="149" t="str">
        <f t="shared" si="40"/>
        <v>68I</v>
      </c>
      <c r="M525" s="150" t="str">
        <f t="shared" si="41"/>
        <v>TRAV. GRACIEUX - CARROSSERIE BMW</v>
      </c>
      <c r="N525" s="151">
        <f>+IF(OR($Q525=Parametres!$G$2,$Q525=Parametres!$G$3),I525,C525)</f>
        <v>138.03</v>
      </c>
      <c r="O525" s="151">
        <f>+IF(OR($Q525=Parametres!$G$2,$Q525=Parametres!$G$3),J525,D525)</f>
        <v>85.71</v>
      </c>
      <c r="P525" s="151">
        <f>+IF(OR($Q525=Parametres!$G$2,$Q525=Parametres!$G$3),K525,E525)</f>
        <v>223.74</v>
      </c>
      <c r="Q525" s="150" t="str">
        <f t="shared" si="42"/>
        <v>7-Dépenses</v>
      </c>
      <c r="R525" s="149" t="str">
        <f t="shared" si="43"/>
        <v>68</v>
      </c>
      <c r="S525" s="150">
        <f t="shared" si="44"/>
        <v>0</v>
      </c>
      <c r="T525" s="152" t="str">
        <f>+VLOOKUP($L525,Data_Validation!$A:$D,1,0)</f>
        <v>68I</v>
      </c>
      <c r="U525" s="152" t="str">
        <f>+VLOOKUP($L525,Data_Validation!$A:$D,3,0)</f>
        <v>carrosserie</v>
      </c>
      <c r="V525" s="152" t="str">
        <f>+VLOOKUP($L525,Data_Validation!$A:$D,4,0)</f>
        <v>service gratuit 2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1455</v>
      </c>
      <c r="B526" s="718" t="s">
        <v>683</v>
      </c>
      <c r="C526" s="720">
        <v>172.94</v>
      </c>
      <c r="D526" s="720">
        <v>2.4</v>
      </c>
      <c r="E526" s="720">
        <v>175.34</v>
      </c>
      <c r="F526" s="718" t="s">
        <v>2230</v>
      </c>
      <c r="G526" s="718" t="s">
        <v>2260</v>
      </c>
      <c r="H526" s="609"/>
      <c r="I526" s="608"/>
      <c r="J526" s="608"/>
      <c r="K526" s="608"/>
      <c r="L526" s="149" t="str">
        <f t="shared" si="40"/>
        <v>61C</v>
      </c>
      <c r="M526" s="150" t="str">
        <f t="shared" si="41"/>
        <v>AUTRES FOURNITURES - USAGE BMW</v>
      </c>
      <c r="N526" s="151">
        <f>+IF(OR($Q526=Parametres!$G$2,$Q526=Parametres!$G$3),I526,C526)</f>
        <v>172.94</v>
      </c>
      <c r="O526" s="151">
        <f>+IF(OR($Q526=Parametres!$G$2,$Q526=Parametres!$G$3),J526,D526)</f>
        <v>2.4</v>
      </c>
      <c r="P526" s="151">
        <f>+IF(OR($Q526=Parametres!$G$2,$Q526=Parametres!$G$3),K526,E526)</f>
        <v>175.34</v>
      </c>
      <c r="Q526" s="150" t="str">
        <f t="shared" si="42"/>
        <v>7-Dépenses</v>
      </c>
      <c r="R526" s="149" t="str">
        <f t="shared" si="43"/>
        <v>61</v>
      </c>
      <c r="S526" s="150">
        <f t="shared" si="44"/>
        <v>0</v>
      </c>
      <c r="T526" s="152" t="str">
        <f>+VLOOKUP($L526,Data_Validation!$A:$D,1,0)</f>
        <v>61C</v>
      </c>
      <c r="U526" s="152" t="str">
        <f>+VLOOKUP($L526,Data_Validation!$A:$D,3,0)</f>
        <v>Véhicules usagés</v>
      </c>
      <c r="V526" s="152" t="str">
        <f>+VLOOKUP($L526,Data_Validation!$A:$D,4,0)</f>
        <v>fournitures autres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1607</v>
      </c>
      <c r="B527" s="718" t="s">
        <v>771</v>
      </c>
      <c r="C527" s="720">
        <v>174</v>
      </c>
      <c r="D527" s="720">
        <v>17.399999999999999</v>
      </c>
      <c r="E527" s="720">
        <v>191.4</v>
      </c>
      <c r="F527" s="718" t="s">
        <v>2230</v>
      </c>
      <c r="G527" s="718" t="s">
        <v>2262</v>
      </c>
      <c r="H527" s="609"/>
      <c r="I527" s="608"/>
      <c r="J527" s="608"/>
      <c r="K527" s="608"/>
      <c r="L527" s="149" t="str">
        <f t="shared" si="40"/>
        <v>92C</v>
      </c>
      <c r="M527" s="150" t="str">
        <f t="shared" si="41"/>
        <v>LOCATION EQUIP. - USAGE BMW</v>
      </c>
      <c r="N527" s="151">
        <f>+IF(OR($Q527=Parametres!$G$2,$Q527=Parametres!$G$3),I527,C527)</f>
        <v>174</v>
      </c>
      <c r="O527" s="151">
        <f>+IF(OR($Q527=Parametres!$G$2,$Q527=Parametres!$G$3),J527,D527)</f>
        <v>17.399999999999999</v>
      </c>
      <c r="P527" s="151">
        <f>+IF(OR($Q527=Parametres!$G$2,$Q527=Parametres!$G$3),K527,E527)</f>
        <v>191.4</v>
      </c>
      <c r="Q527" s="150" t="str">
        <f t="shared" si="42"/>
        <v>7-Dépenses</v>
      </c>
      <c r="R527" s="149" t="str">
        <f t="shared" si="43"/>
        <v>92</v>
      </c>
      <c r="S527" s="150">
        <f t="shared" si="44"/>
        <v>0</v>
      </c>
      <c r="T527" s="152" t="str">
        <f>+VLOOKUP($L527,Data_Validation!$A:$D,1,0)</f>
        <v>92C</v>
      </c>
      <c r="U527" s="152" t="str">
        <f>+VLOOKUP($L527,Data_Validation!$A:$D,3,0)</f>
        <v>Véhicules usagés</v>
      </c>
      <c r="V527" s="152" t="str">
        <f>+VLOOKUP($L527,Data_Validation!$A:$D,4,0)</f>
        <v>Location équipement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1664</v>
      </c>
      <c r="B528" s="718" t="s">
        <v>772</v>
      </c>
      <c r="C528" s="720">
        <v>184.7</v>
      </c>
      <c r="D528" s="720">
        <v>0</v>
      </c>
      <c r="E528" s="720">
        <v>184.7</v>
      </c>
      <c r="F528" s="718" t="s">
        <v>2230</v>
      </c>
      <c r="G528" s="718" t="s">
        <v>2263</v>
      </c>
      <c r="H528" s="673"/>
      <c r="I528" s="672"/>
      <c r="J528" s="672"/>
      <c r="K528" s="672"/>
      <c r="L528" s="149" t="str">
        <f t="shared" si="40"/>
        <v>51G</v>
      </c>
      <c r="M528" s="150" t="str">
        <f t="shared" si="41"/>
        <v>UNIFOMRES - PIECE BMW</v>
      </c>
      <c r="N528" s="151">
        <f>+IF(OR($Q528=Parametres!$G$2,$Q528=Parametres!$G$3),I528,C528)</f>
        <v>184.7</v>
      </c>
      <c r="O528" s="151">
        <f>+IF(OR($Q528=Parametres!$G$2,$Q528=Parametres!$G$3),J528,D528)</f>
        <v>0</v>
      </c>
      <c r="P528" s="151">
        <f>+IF(OR($Q528=Parametres!$G$2,$Q528=Parametres!$G$3),K528,E528)</f>
        <v>184.7</v>
      </c>
      <c r="Q528" s="150" t="str">
        <f t="shared" si="42"/>
        <v>7-Dépenses</v>
      </c>
      <c r="R528" s="149" t="str">
        <f t="shared" si="43"/>
        <v>51</v>
      </c>
      <c r="S528" s="150">
        <f t="shared" si="44"/>
        <v>0</v>
      </c>
      <c r="T528" s="152" t="str">
        <f>+VLOOKUP($L528,Data_Validation!$A:$D,1,0)</f>
        <v>51G</v>
      </c>
      <c r="U528" s="152" t="str">
        <f>+VLOOKUP($L528,Data_Validation!$A:$D,3,0)</f>
        <v>pièces</v>
      </c>
      <c r="V528" s="152" t="str">
        <f>+VLOOKUP($L528,Data_Validation!$A:$D,4,0)</f>
        <v>Uniformes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1874</v>
      </c>
      <c r="B529" s="718" t="s">
        <v>769</v>
      </c>
      <c r="C529" s="720">
        <v>185.07</v>
      </c>
      <c r="D529" s="720">
        <v>0</v>
      </c>
      <c r="E529" s="720">
        <v>185.07</v>
      </c>
      <c r="F529" s="718" t="s">
        <v>2230</v>
      </c>
      <c r="G529" s="718" t="s">
        <v>2263</v>
      </c>
      <c r="H529" s="673"/>
      <c r="I529" s="673"/>
      <c r="J529" s="673"/>
      <c r="K529" s="673"/>
      <c r="L529" s="149" t="str">
        <f t="shared" si="40"/>
        <v>51C</v>
      </c>
      <c r="M529" s="150" t="str">
        <f t="shared" si="41"/>
        <v>UNIFORMES - USAGE BMW</v>
      </c>
      <c r="N529" s="151">
        <f>+IF(OR($Q529=Parametres!$G$2,$Q529=Parametres!$G$3),I529,C529)</f>
        <v>185.07</v>
      </c>
      <c r="O529" s="151">
        <f>+IF(OR($Q529=Parametres!$G$2,$Q529=Parametres!$G$3),J529,D529)</f>
        <v>0</v>
      </c>
      <c r="P529" s="151">
        <f>+IF(OR($Q529=Parametres!$G$2,$Q529=Parametres!$G$3),K529,E529)</f>
        <v>185.07</v>
      </c>
      <c r="Q529" s="150" t="str">
        <f t="shared" si="42"/>
        <v>7-Dépenses</v>
      </c>
      <c r="R529" s="149" t="str">
        <f t="shared" si="43"/>
        <v>51</v>
      </c>
      <c r="S529" s="150">
        <f t="shared" si="44"/>
        <v>0</v>
      </c>
      <c r="T529" s="152" t="str">
        <f>+VLOOKUP($L529,Data_Validation!$A:$D,1,0)</f>
        <v>51C</v>
      </c>
      <c r="U529" s="152" t="str">
        <f>+VLOOKUP($L529,Data_Validation!$A:$D,3,0)</f>
        <v>Véhicules usagés</v>
      </c>
      <c r="V529" s="152" t="str">
        <f>+VLOOKUP($L529,Data_Validation!$A:$D,4,0)</f>
        <v>Uniformes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1612</v>
      </c>
      <c r="B530" s="718" t="s">
        <v>681</v>
      </c>
      <c r="C530" s="720">
        <v>190</v>
      </c>
      <c r="D530" s="720">
        <v>19</v>
      </c>
      <c r="E530" s="720">
        <v>209</v>
      </c>
      <c r="F530" s="718" t="s">
        <v>2230</v>
      </c>
      <c r="G530" s="718" t="s">
        <v>2270</v>
      </c>
      <c r="H530" s="673"/>
      <c r="I530" s="672"/>
      <c r="J530" s="672"/>
      <c r="K530" s="672"/>
      <c r="L530" s="149" t="str">
        <f t="shared" si="40"/>
        <v>23I</v>
      </c>
      <c r="M530" s="150" t="str">
        <f t="shared" si="41"/>
        <v>SAL. AUTRES - CARROSSERIE BMW</v>
      </c>
      <c r="N530" s="151">
        <f>+IF(OR($Q530=Parametres!$G$2,$Q530=Parametres!$G$3),I530,C530)</f>
        <v>190</v>
      </c>
      <c r="O530" s="151">
        <f>+IF(OR($Q530=Parametres!$G$2,$Q530=Parametres!$G$3),J530,D530)</f>
        <v>19</v>
      </c>
      <c r="P530" s="151">
        <f>+IF(OR($Q530=Parametres!$G$2,$Q530=Parametres!$G$3),K530,E530)</f>
        <v>209</v>
      </c>
      <c r="Q530" s="150" t="str">
        <f t="shared" si="42"/>
        <v>7-Dépenses</v>
      </c>
      <c r="R530" s="149" t="str">
        <f t="shared" si="43"/>
        <v>23</v>
      </c>
      <c r="S530" s="150">
        <f t="shared" si="44"/>
        <v>0</v>
      </c>
      <c r="T530" s="152" t="str">
        <f>+VLOOKUP($L530,Data_Validation!$A:$D,1,0)</f>
        <v>23I</v>
      </c>
      <c r="U530" s="152" t="str">
        <f>+VLOOKUP($L530,Data_Validation!$A:$D,3,0)</f>
        <v>Carrosserie</v>
      </c>
      <c r="V530" s="152" t="str">
        <f>+VLOOKUP($L530,Data_Validation!$A:$D,4,0)</f>
        <v>salaires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2911</v>
      </c>
      <c r="B531" s="718" t="s">
        <v>2912</v>
      </c>
      <c r="C531" s="720">
        <v>262.69</v>
      </c>
      <c r="D531" s="720">
        <v>0</v>
      </c>
      <c r="E531" s="720">
        <v>262.69</v>
      </c>
      <c r="F531" s="718" t="s">
        <v>2230</v>
      </c>
      <c r="G531" s="718" t="s">
        <v>2947</v>
      </c>
      <c r="H531" s="673"/>
      <c r="I531" s="672"/>
      <c r="J531" s="672"/>
      <c r="K531" s="672"/>
      <c r="L531" s="149" t="str">
        <f t="shared" si="40"/>
        <v>88G</v>
      </c>
      <c r="M531" s="150" t="str">
        <f t="shared" si="41"/>
        <v>ASS. AUTRES - PIECE BMW</v>
      </c>
      <c r="N531" s="151">
        <f>+IF(OR($Q531=Parametres!$G$2,$Q531=Parametres!$G$3),I531,C531)</f>
        <v>262.69</v>
      </c>
      <c r="O531" s="151">
        <f>+IF(OR($Q531=Parametres!$G$2,$Q531=Parametres!$G$3),J531,D531)</f>
        <v>0</v>
      </c>
      <c r="P531" s="151">
        <f>+IF(OR($Q531=Parametres!$G$2,$Q531=Parametres!$G$3),K531,E531)</f>
        <v>262.69</v>
      </c>
      <c r="Q531" s="150" t="str">
        <f t="shared" si="42"/>
        <v>7-Dépenses</v>
      </c>
      <c r="R531" s="149" t="str">
        <f t="shared" si="43"/>
        <v>88</v>
      </c>
      <c r="S531" s="150">
        <f t="shared" si="44"/>
        <v>0</v>
      </c>
      <c r="T531" s="152" t="str">
        <f>+VLOOKUP($L531,Data_Validation!$A:$D,1,0)</f>
        <v>88G</v>
      </c>
      <c r="U531" s="152" t="str">
        <f>+VLOOKUP($L531,Data_Validation!$A:$D,3,0)</f>
        <v>Pièces</v>
      </c>
      <c r="V531" s="152" t="str">
        <f>+VLOOKUP($L531,Data_Validation!$A:$D,4,0)</f>
        <v>assurances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2909</v>
      </c>
      <c r="B532" s="718" t="s">
        <v>2910</v>
      </c>
      <c r="C532" s="720">
        <v>295.52999999999997</v>
      </c>
      <c r="D532" s="720">
        <v>0</v>
      </c>
      <c r="E532" s="720">
        <v>295.52999999999997</v>
      </c>
      <c r="F532" s="718" t="s">
        <v>2230</v>
      </c>
      <c r="G532" s="718" t="s">
        <v>2947</v>
      </c>
      <c r="H532" s="673"/>
      <c r="I532" s="672"/>
      <c r="J532" s="672"/>
      <c r="K532" s="672"/>
      <c r="L532" s="149" t="str">
        <f t="shared" si="40"/>
        <v>88E</v>
      </c>
      <c r="M532" s="150" t="str">
        <f t="shared" si="41"/>
        <v>ASS. AUTRES - SERV. BMW</v>
      </c>
      <c r="N532" s="151">
        <f>+IF(OR($Q532=Parametres!$G$2,$Q532=Parametres!$G$3),I532,C532)</f>
        <v>295.52999999999997</v>
      </c>
      <c r="O532" s="151">
        <f>+IF(OR($Q532=Parametres!$G$2,$Q532=Parametres!$G$3),J532,D532)</f>
        <v>0</v>
      </c>
      <c r="P532" s="151">
        <f>+IF(OR($Q532=Parametres!$G$2,$Q532=Parametres!$G$3),K532,E532)</f>
        <v>295.52999999999997</v>
      </c>
      <c r="Q532" s="150" t="str">
        <f t="shared" si="42"/>
        <v>7-Dépenses</v>
      </c>
      <c r="R532" s="149" t="str">
        <f t="shared" si="43"/>
        <v>88</v>
      </c>
      <c r="S532" s="150">
        <f t="shared" si="44"/>
        <v>0</v>
      </c>
      <c r="T532" s="152" t="str">
        <f>+VLOOKUP($L532,Data_Validation!$A:$D,1,0)</f>
        <v>88E</v>
      </c>
      <c r="U532" s="152" t="str">
        <f>+VLOOKUP($L532,Data_Validation!$A:$D,3,0)</f>
        <v>Service</v>
      </c>
      <c r="V532" s="152" t="str">
        <f>+VLOOKUP($L532,Data_Validation!$A:$D,4,0)</f>
        <v>assurances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1616</v>
      </c>
      <c r="B533" s="718" t="s">
        <v>779</v>
      </c>
      <c r="C533" s="719">
        <v>300.43</v>
      </c>
      <c r="D533" s="719">
        <v>28.49</v>
      </c>
      <c r="E533" s="719">
        <v>328.92</v>
      </c>
      <c r="F533" s="718" t="s">
        <v>2230</v>
      </c>
      <c r="G533" s="718" t="s">
        <v>2271</v>
      </c>
      <c r="H533" s="719"/>
      <c r="I533" s="720"/>
      <c r="J533" s="720"/>
      <c r="K533" s="720"/>
      <c r="L533" s="149" t="str">
        <f t="shared" si="40"/>
        <v>60I</v>
      </c>
      <c r="M533" s="150" t="str">
        <f t="shared" si="41"/>
        <v>FOURNITURES BUREAU - CARROSSERIE BMW</v>
      </c>
      <c r="N533" s="151">
        <f>+IF(OR($Q533=Parametres!$G$2,$Q533=Parametres!$G$3),I533,C533)</f>
        <v>300.43</v>
      </c>
      <c r="O533" s="151">
        <f>+IF(OR($Q533=Parametres!$G$2,$Q533=Parametres!$G$3),J533,D533)</f>
        <v>28.49</v>
      </c>
      <c r="P533" s="151">
        <f>+IF(OR($Q533=Parametres!$G$2,$Q533=Parametres!$G$3),K533,E533)</f>
        <v>328.92</v>
      </c>
      <c r="Q533" s="150" t="str">
        <f t="shared" si="42"/>
        <v>7-Dépenses</v>
      </c>
      <c r="R533" s="149" t="str">
        <f t="shared" si="43"/>
        <v>60</v>
      </c>
      <c r="S533" s="150">
        <f t="shared" si="44"/>
        <v>0</v>
      </c>
      <c r="T533" s="152" t="str">
        <f>+VLOOKUP($L533,Data_Validation!$A:$D,1,0)</f>
        <v>60I</v>
      </c>
      <c r="U533" s="152" t="str">
        <f>+VLOOKUP($L533,Data_Validation!$A:$D,3,0)</f>
        <v>carrosserie</v>
      </c>
      <c r="V533" s="152" t="str">
        <f>+VLOOKUP($L533,Data_Validation!$A:$D,4,0)</f>
        <v>papeterie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1223</v>
      </c>
      <c r="B534" s="718" t="s">
        <v>766</v>
      </c>
      <c r="C534" s="719">
        <v>307.42</v>
      </c>
      <c r="D534" s="719">
        <v>17.63</v>
      </c>
      <c r="E534" s="719">
        <v>325.05</v>
      </c>
      <c r="F534" s="718" t="s">
        <v>2230</v>
      </c>
      <c r="G534" s="718" t="s">
        <v>2268</v>
      </c>
      <c r="H534" s="719"/>
      <c r="I534" s="720"/>
      <c r="J534" s="720"/>
      <c r="K534" s="720"/>
      <c r="L534" s="149" t="str">
        <f t="shared" si="40"/>
        <v>71I</v>
      </c>
      <c r="M534" s="150" t="str">
        <f t="shared" si="41"/>
        <v>FRAIS REPRESENTATION - CARROSSERIE BMW</v>
      </c>
      <c r="N534" s="151">
        <f>+IF(OR($Q534=Parametres!$G$2,$Q534=Parametres!$G$3),I534,C534)</f>
        <v>307.42</v>
      </c>
      <c r="O534" s="505">
        <f>+IF(OR($Q534=Parametres!$G$2,$Q534=Parametres!$G$3),J534,D534)</f>
        <v>17.63</v>
      </c>
      <c r="P534" s="151">
        <f>+IF(OR($Q534=Parametres!$G$2,$Q534=Parametres!$G$3),K534,E534)</f>
        <v>325.05</v>
      </c>
      <c r="Q534" s="150" t="str">
        <f t="shared" si="42"/>
        <v>7-Dépenses</v>
      </c>
      <c r="R534" s="149" t="str">
        <f t="shared" si="43"/>
        <v>71</v>
      </c>
      <c r="S534" s="150">
        <f t="shared" si="44"/>
        <v>0</v>
      </c>
      <c r="T534" s="152" t="str">
        <f>+VLOOKUP($L534,Data_Validation!$A:$D,1,0)</f>
        <v>71I</v>
      </c>
      <c r="U534" s="152" t="str">
        <f>+VLOOKUP($L534,Data_Validation!$A:$D,3,0)</f>
        <v>carrosserie</v>
      </c>
      <c r="V534" s="152" t="str">
        <f>+VLOOKUP($L534,Data_Validation!$A:$D,4,0)</f>
        <v>Frais de déplacement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1213</v>
      </c>
      <c r="B535" s="718" t="s">
        <v>786</v>
      </c>
      <c r="C535" s="720">
        <v>312.32</v>
      </c>
      <c r="D535" s="720">
        <v>29.07</v>
      </c>
      <c r="E535" s="720">
        <v>341.39</v>
      </c>
      <c r="F535" s="718" t="s">
        <v>2230</v>
      </c>
      <c r="G535" s="718" t="s">
        <v>2273</v>
      </c>
      <c r="H535" s="673"/>
      <c r="I535" s="672"/>
      <c r="J535" s="672"/>
      <c r="K535" s="672"/>
      <c r="L535" s="149" t="str">
        <f t="shared" si="40"/>
        <v>77I</v>
      </c>
      <c r="M535" s="150" t="str">
        <f t="shared" si="41"/>
        <v>FRAIS DIVERS - CARROSSERIE BMW</v>
      </c>
      <c r="N535" s="151">
        <f>+IF(OR($Q535=Parametres!$G$2,$Q535=Parametres!$G$3),I535,C535)</f>
        <v>312.32</v>
      </c>
      <c r="O535" s="151">
        <f>+IF(OR($Q535=Parametres!$G$2,$Q535=Parametres!$G$3),J535,D535)</f>
        <v>29.07</v>
      </c>
      <c r="P535" s="151">
        <f>+IF(OR($Q535=Parametres!$G$2,$Q535=Parametres!$G$3),K535,E535)</f>
        <v>341.39</v>
      </c>
      <c r="Q535" s="150" t="str">
        <f t="shared" si="42"/>
        <v>7-Dépenses</v>
      </c>
      <c r="R535" s="149" t="str">
        <f t="shared" si="43"/>
        <v>77</v>
      </c>
      <c r="S535" s="150">
        <f t="shared" si="44"/>
        <v>0</v>
      </c>
      <c r="T535" s="152" t="str">
        <f>+VLOOKUP($L535,Data_Validation!$A:$D,1,0)</f>
        <v>77I</v>
      </c>
      <c r="U535" s="152" t="str">
        <f>+VLOOKUP($L535,Data_Validation!$A:$D,3,0)</f>
        <v>carrosserie</v>
      </c>
      <c r="V535" s="152" t="str">
        <f>+VLOOKUP($L535,Data_Validation!$A:$D,4,0)</f>
        <v>divers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1610</v>
      </c>
      <c r="B536" s="718" t="s">
        <v>774</v>
      </c>
      <c r="C536" s="720">
        <v>347.9</v>
      </c>
      <c r="D536" s="720">
        <v>34.79</v>
      </c>
      <c r="E536" s="720">
        <v>382.69</v>
      </c>
      <c r="F536" s="718" t="s">
        <v>2230</v>
      </c>
      <c r="G536" s="718" t="s">
        <v>2262</v>
      </c>
      <c r="H536" s="673"/>
      <c r="I536" s="672"/>
      <c r="J536" s="672"/>
      <c r="K536" s="672"/>
      <c r="L536" s="149" t="str">
        <f t="shared" si="40"/>
        <v>92G</v>
      </c>
      <c r="M536" s="150" t="str">
        <f t="shared" si="41"/>
        <v>LOCATION EQUIP. - PIECE BMW</v>
      </c>
      <c r="N536" s="151">
        <f>+IF(OR($Q536=Parametres!$G$2,$Q536=Parametres!$G$3),I536,C536)</f>
        <v>347.9</v>
      </c>
      <c r="O536" s="504">
        <f>+IF(OR($Q536=Parametres!$G$2,$Q536=Parametres!$G$3),J536,D536)</f>
        <v>34.79</v>
      </c>
      <c r="P536" s="151">
        <f>+IF(OR($Q536=Parametres!$G$2,$Q536=Parametres!$G$3),K536,E536)</f>
        <v>382.69</v>
      </c>
      <c r="Q536" s="150" t="str">
        <f t="shared" si="42"/>
        <v>7-Dépenses</v>
      </c>
      <c r="R536" s="149" t="str">
        <f t="shared" si="43"/>
        <v>92</v>
      </c>
      <c r="S536" s="150">
        <f t="shared" si="44"/>
        <v>0</v>
      </c>
      <c r="T536" s="152" t="str">
        <f>+VLOOKUP($L536,Data_Validation!$A:$D,1,0)</f>
        <v>92G</v>
      </c>
      <c r="U536" s="152" t="str">
        <f>+VLOOKUP($L536,Data_Validation!$A:$D,3,0)</f>
        <v>pièces</v>
      </c>
      <c r="V536" s="152" t="str">
        <f>+VLOOKUP($L536,Data_Validation!$A:$D,4,0)</f>
        <v>Location équipement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1239</v>
      </c>
      <c r="B537" s="718" t="s">
        <v>776</v>
      </c>
      <c r="C537" s="719">
        <v>364</v>
      </c>
      <c r="D537" s="719">
        <v>48.1</v>
      </c>
      <c r="E537" s="719">
        <v>412.1</v>
      </c>
      <c r="F537" s="718" t="s">
        <v>2230</v>
      </c>
      <c r="G537" s="718" t="s">
        <v>2265</v>
      </c>
      <c r="H537" s="719"/>
      <c r="I537" s="720"/>
      <c r="J537" s="720"/>
      <c r="K537" s="720"/>
      <c r="L537" s="149" t="str">
        <f t="shared" si="40"/>
        <v>72C</v>
      </c>
      <c r="M537" s="150" t="str">
        <f t="shared" si="41"/>
        <v>COTIS. &amp; ABONN. - USAGE BMW</v>
      </c>
      <c r="N537" s="151">
        <f>+IF(OR($Q537=Parametres!$G$2,$Q537=Parametres!$G$3),I537,C537)</f>
        <v>364</v>
      </c>
      <c r="O537" s="151">
        <f>+IF(OR($Q537=Parametres!$G$2,$Q537=Parametres!$G$3),J537,D537)</f>
        <v>48.1</v>
      </c>
      <c r="P537" s="151">
        <f>+IF(OR($Q537=Parametres!$G$2,$Q537=Parametres!$G$3),K537,E537)</f>
        <v>412.1</v>
      </c>
      <c r="Q537" s="150" t="str">
        <f t="shared" si="42"/>
        <v>7-Dépenses</v>
      </c>
      <c r="R537" s="149" t="str">
        <f t="shared" si="43"/>
        <v>72</v>
      </c>
      <c r="S537" s="150">
        <f t="shared" si="44"/>
        <v>0</v>
      </c>
      <c r="T537" s="152" t="str">
        <f>+VLOOKUP($L537,Data_Validation!$A:$D,1,0)</f>
        <v>72C</v>
      </c>
      <c r="U537" s="152" t="str">
        <f>+VLOOKUP($L537,Data_Validation!$A:$D,3,0)</f>
        <v>Véhicules usagés</v>
      </c>
      <c r="V537" s="152" t="str">
        <f>+VLOOKUP($L537,Data_Validation!$A:$D,4,0)</f>
        <v>divers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1454</v>
      </c>
      <c r="B538" s="718" t="s">
        <v>682</v>
      </c>
      <c r="C538" s="719">
        <v>431.2</v>
      </c>
      <c r="D538" s="719">
        <v>10.79</v>
      </c>
      <c r="E538" s="719">
        <v>441.99</v>
      </c>
      <c r="F538" s="718" t="s">
        <v>2230</v>
      </c>
      <c r="G538" s="718" t="s">
        <v>2260</v>
      </c>
      <c r="H538" s="719"/>
      <c r="I538" s="720"/>
      <c r="J538" s="720"/>
      <c r="K538" s="720"/>
      <c r="L538" s="149" t="str">
        <f t="shared" si="40"/>
        <v>61A</v>
      </c>
      <c r="M538" s="150" t="str">
        <f t="shared" si="41"/>
        <v>AUTRES FOURNITURES - NEUF BMW</v>
      </c>
      <c r="N538" s="151">
        <f>+IF(OR($Q538=Parametres!$G$2,$Q538=Parametres!$G$3),I538,C538)</f>
        <v>431.2</v>
      </c>
      <c r="O538" s="504">
        <f>+IF(OR($Q538=Parametres!$G$2,$Q538=Parametres!$G$3),J538,D538)</f>
        <v>10.79</v>
      </c>
      <c r="P538" s="151">
        <f>+IF(OR($Q538=Parametres!$G$2,$Q538=Parametres!$G$3),K538,E538)</f>
        <v>441.99</v>
      </c>
      <c r="Q538" s="150" t="str">
        <f t="shared" si="42"/>
        <v>7-Dépenses</v>
      </c>
      <c r="R538" s="149" t="str">
        <f t="shared" si="43"/>
        <v>61</v>
      </c>
      <c r="S538" s="150">
        <f t="shared" si="44"/>
        <v>0</v>
      </c>
      <c r="T538" s="152" t="str">
        <f>+VLOOKUP($L538,Data_Validation!$A:$D,1,0)</f>
        <v>61A</v>
      </c>
      <c r="U538" s="152" t="str">
        <f>+VLOOKUP($L538,Data_Validation!$A:$D,3,0)</f>
        <v>Véhicules neufs</v>
      </c>
      <c r="V538" s="152" t="str">
        <f>+VLOOKUP($L538,Data_Validation!$A:$D,4,0)</f>
        <v>fournitures autres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1657</v>
      </c>
      <c r="B539" s="718" t="s">
        <v>813</v>
      </c>
      <c r="C539" s="719">
        <v>486.57</v>
      </c>
      <c r="D539" s="719">
        <v>-73.3</v>
      </c>
      <c r="E539" s="719">
        <v>413.27</v>
      </c>
      <c r="F539" s="718" t="s">
        <v>2230</v>
      </c>
      <c r="G539" s="718" t="s">
        <v>2275</v>
      </c>
      <c r="H539" s="719"/>
      <c r="I539" s="720"/>
      <c r="J539" s="720"/>
      <c r="K539" s="720"/>
      <c r="L539" s="149" t="str">
        <f t="shared" si="40"/>
        <v>27I</v>
      </c>
      <c r="M539" s="150" t="str">
        <f t="shared" si="41"/>
        <v>AVANT. SOCIAUX - CARROSSERIE BMW</v>
      </c>
      <c r="N539" s="151">
        <f>+IF(OR($Q539=Parametres!$G$2,$Q539=Parametres!$G$3),I539,C539)</f>
        <v>486.57</v>
      </c>
      <c r="O539" s="151">
        <f>+IF(OR($Q539=Parametres!$G$2,$Q539=Parametres!$G$3),J539,D539)</f>
        <v>-73.3</v>
      </c>
      <c r="P539" s="151">
        <f>+IF(OR($Q539=Parametres!$G$2,$Q539=Parametres!$G$3),K539,E539)</f>
        <v>413.27</v>
      </c>
      <c r="Q539" s="150" t="str">
        <f t="shared" si="42"/>
        <v>7-Dépenses</v>
      </c>
      <c r="R539" s="149" t="str">
        <f t="shared" si="43"/>
        <v>27</v>
      </c>
      <c r="S539" s="150">
        <f t="shared" si="44"/>
        <v>0</v>
      </c>
      <c r="T539" s="152" t="str">
        <f>+VLOOKUP($L539,Data_Validation!$A:$D,1,0)</f>
        <v>27I</v>
      </c>
      <c r="U539" s="152" t="str">
        <f>+VLOOKUP($L539,Data_Validation!$A:$D,3,0)</f>
        <v>Carrosserie</v>
      </c>
      <c r="V539" s="152" t="str">
        <f>+VLOOKUP($L539,Data_Validation!$A:$D,4,0)</f>
        <v>Bénéfices marginaux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1873</v>
      </c>
      <c r="B540" s="718" t="s">
        <v>781</v>
      </c>
      <c r="C540" s="720">
        <v>554.66</v>
      </c>
      <c r="D540" s="720">
        <v>0</v>
      </c>
      <c r="E540" s="720">
        <v>554.66</v>
      </c>
      <c r="F540" s="718" t="s">
        <v>2230</v>
      </c>
      <c r="G540" s="718" t="s">
        <v>2263</v>
      </c>
      <c r="H540" s="673"/>
      <c r="I540" s="672"/>
      <c r="J540" s="672"/>
      <c r="K540" s="672"/>
      <c r="L540" s="149" t="str">
        <f t="shared" si="40"/>
        <v>51A</v>
      </c>
      <c r="M540" s="150" t="str">
        <f t="shared" si="41"/>
        <v>UNIFORMES - NEUF BMW</v>
      </c>
      <c r="N540" s="151">
        <f>+IF(OR($Q540=Parametres!$G$2,$Q540=Parametres!$G$3),I540,C540)</f>
        <v>554.66</v>
      </c>
      <c r="O540" s="151">
        <f>+IF(OR($Q540=Parametres!$G$2,$Q540=Parametres!$G$3),J540,D540)</f>
        <v>0</v>
      </c>
      <c r="P540" s="151">
        <f>+IF(OR($Q540=Parametres!$G$2,$Q540=Parametres!$G$3),K540,E540)</f>
        <v>554.66</v>
      </c>
      <c r="Q540" s="150" t="str">
        <f t="shared" si="42"/>
        <v>7-Dépenses</v>
      </c>
      <c r="R540" s="149" t="str">
        <f t="shared" si="43"/>
        <v>51</v>
      </c>
      <c r="S540" s="150">
        <f t="shared" si="44"/>
        <v>0</v>
      </c>
      <c r="T540" s="152" t="str">
        <f>+VLOOKUP($L540,Data_Validation!$A:$D,1,0)</f>
        <v>51A</v>
      </c>
      <c r="U540" s="152" t="str">
        <f>+VLOOKUP($L540,Data_Validation!$A:$D,3,0)</f>
        <v>Véhicules neufs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2516</v>
      </c>
      <c r="B541" s="718" t="s">
        <v>2517</v>
      </c>
      <c r="C541" s="720">
        <v>591.04999999999995</v>
      </c>
      <c r="D541" s="720">
        <v>0</v>
      </c>
      <c r="E541" s="720">
        <v>591.04999999999995</v>
      </c>
      <c r="F541" s="718" t="s">
        <v>2230</v>
      </c>
      <c r="G541" s="718" t="s">
        <v>2947</v>
      </c>
      <c r="H541" s="673"/>
      <c r="I541" s="672"/>
      <c r="J541" s="672"/>
      <c r="K541" s="672"/>
      <c r="L541" s="149" t="str">
        <f t="shared" si="40"/>
        <v>88A</v>
      </c>
      <c r="M541" s="150" t="str">
        <f t="shared" si="41"/>
        <v>ASS. AUTRES - NEUF BMW</v>
      </c>
      <c r="N541" s="151">
        <f>+IF(OR($Q541=Parametres!$G$2,$Q541=Parametres!$G$3),I541,C541)</f>
        <v>591.04999999999995</v>
      </c>
      <c r="O541" s="151">
        <f>+IF(OR($Q541=Parametres!$G$2,$Q541=Parametres!$G$3),J541,D541)</f>
        <v>0</v>
      </c>
      <c r="P541" s="151">
        <f>+IF(OR($Q541=Parametres!$G$2,$Q541=Parametres!$G$3),K541,E541)</f>
        <v>591.04999999999995</v>
      </c>
      <c r="Q541" s="150" t="str">
        <f t="shared" si="42"/>
        <v>7-Dépenses</v>
      </c>
      <c r="R541" s="149" t="str">
        <f t="shared" si="43"/>
        <v>88</v>
      </c>
      <c r="S541" s="150">
        <f t="shared" si="44"/>
        <v>0</v>
      </c>
      <c r="T541" s="152" t="str">
        <f>+VLOOKUP($L541,Data_Validation!$A:$D,1,0)</f>
        <v>88A</v>
      </c>
      <c r="U541" s="152" t="str">
        <f>+VLOOKUP($L541,Data_Validation!$A:$D,3,0)</f>
        <v>Véhicules neufs</v>
      </c>
      <c r="V541" s="152" t="str">
        <f>+VLOOKUP($L541,Data_Validation!$A:$D,4,0)</f>
        <v>assurances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1623</v>
      </c>
      <c r="B542" s="718" t="s">
        <v>784</v>
      </c>
      <c r="C542" s="719">
        <v>614.76</v>
      </c>
      <c r="D542" s="719">
        <v>59.31</v>
      </c>
      <c r="E542" s="719">
        <v>674.07</v>
      </c>
      <c r="F542" s="718" t="s">
        <v>2230</v>
      </c>
      <c r="G542" s="718" t="s">
        <v>2274</v>
      </c>
      <c r="H542" s="719"/>
      <c r="I542" s="720"/>
      <c r="J542" s="720"/>
      <c r="K542" s="720"/>
      <c r="L542" s="149" t="str">
        <f t="shared" si="40"/>
        <v>89I</v>
      </c>
      <c r="M542" s="150" t="str">
        <f t="shared" si="41"/>
        <v>TAXES &amp; PERMIS - CARROSSERIE BMW</v>
      </c>
      <c r="N542" s="151">
        <f>+IF(OR($Q542=Parametres!$G$2,$Q542=Parametres!$G$3),I542,C542)</f>
        <v>614.76</v>
      </c>
      <c r="O542" s="504">
        <f>+IF(OR($Q542=Parametres!$G$2,$Q542=Parametres!$G$3),J542,D542)</f>
        <v>59.31</v>
      </c>
      <c r="P542" s="151">
        <f>+IF(OR($Q542=Parametres!$G$2,$Q542=Parametres!$G$3),K542,E542)</f>
        <v>674.07</v>
      </c>
      <c r="Q542" s="150" t="str">
        <f t="shared" si="42"/>
        <v>7-Dépenses</v>
      </c>
      <c r="R542" s="149" t="str">
        <f t="shared" si="43"/>
        <v>89</v>
      </c>
      <c r="S542" s="150">
        <f t="shared" si="44"/>
        <v>0</v>
      </c>
      <c r="T542" s="152" t="str">
        <f>+VLOOKUP($L542,Data_Validation!$A:$D,1,0)</f>
        <v>89I</v>
      </c>
      <c r="U542" s="152" t="str">
        <f>+VLOOKUP($L542,Data_Validation!$A:$D,3,0)</f>
        <v>carrosserie</v>
      </c>
      <c r="V542" s="152" t="str">
        <f>+VLOOKUP($L542,Data_Validation!$A:$D,4,0)</f>
        <v>Taxes d`affaires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1194</v>
      </c>
      <c r="B543" s="718" t="s">
        <v>833</v>
      </c>
      <c r="C543" s="719">
        <v>682.23</v>
      </c>
      <c r="D543" s="719">
        <v>-26.49</v>
      </c>
      <c r="E543" s="719">
        <v>655.74</v>
      </c>
      <c r="F543" s="718" t="s">
        <v>2230</v>
      </c>
      <c r="G543" s="718" t="s">
        <v>2272</v>
      </c>
      <c r="H543" s="719"/>
      <c r="I543" s="720"/>
      <c r="J543" s="720"/>
      <c r="K543" s="720"/>
      <c r="L543" s="149" t="str">
        <f t="shared" si="40"/>
        <v>76C</v>
      </c>
      <c r="M543" s="150" t="str">
        <f t="shared" si="41"/>
        <v>FORMATION - USAGE BMW</v>
      </c>
      <c r="N543" s="151">
        <f>+IF(OR($Q543=Parametres!$G$2,$Q543=Parametres!$G$3),I543,C543)</f>
        <v>682.23</v>
      </c>
      <c r="O543" s="504">
        <f>+IF(OR($Q543=Parametres!$G$2,$Q543=Parametres!$G$3),J543,D543)</f>
        <v>-26.49</v>
      </c>
      <c r="P543" s="151">
        <f>+IF(OR($Q543=Parametres!$G$2,$Q543=Parametres!$G$3),K543,E543)</f>
        <v>655.74</v>
      </c>
      <c r="Q543" s="150" t="str">
        <f t="shared" si="42"/>
        <v>7-Dépenses</v>
      </c>
      <c r="R543" s="149" t="str">
        <f t="shared" si="43"/>
        <v>76</v>
      </c>
      <c r="S543" s="150">
        <f t="shared" si="44"/>
        <v>0</v>
      </c>
      <c r="T543" s="152" t="str">
        <f>+VLOOKUP($L543,Data_Validation!$A:$D,1,0)</f>
        <v>76C</v>
      </c>
      <c r="U543" s="152" t="str">
        <f>+VLOOKUP($L543,Data_Validation!$A:$D,3,0)</f>
        <v>Véhicules usagés</v>
      </c>
      <c r="V543" s="152" t="str">
        <f>+VLOOKUP($L543,Data_Validation!$A:$D,4,0)</f>
        <v>Formation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1174</v>
      </c>
      <c r="B544" s="718" t="s">
        <v>856</v>
      </c>
      <c r="C544" s="719">
        <v>694.36</v>
      </c>
      <c r="D544" s="719">
        <v>-53</v>
      </c>
      <c r="E544" s="719">
        <v>641.36</v>
      </c>
      <c r="F544" s="718" t="s">
        <v>2230</v>
      </c>
      <c r="G544" s="718" t="s">
        <v>2272</v>
      </c>
      <c r="H544" s="719"/>
      <c r="I544" s="720"/>
      <c r="J544" s="720"/>
      <c r="K544" s="720"/>
      <c r="L544" s="149" t="str">
        <f t="shared" si="40"/>
        <v>76G</v>
      </c>
      <c r="M544" s="150" t="str">
        <f t="shared" si="41"/>
        <v>FORMATION - PIECE BMW</v>
      </c>
      <c r="N544" s="151">
        <f>+IF(OR($Q544=Parametres!$G$2,$Q544=Parametres!$G$3),I544,C544)</f>
        <v>694.36</v>
      </c>
      <c r="O544" s="151">
        <f>+IF(OR($Q544=Parametres!$G$2,$Q544=Parametres!$G$3),J544,D544)</f>
        <v>-53</v>
      </c>
      <c r="P544" s="151">
        <f>+IF(OR($Q544=Parametres!$G$2,$Q544=Parametres!$G$3),K544,E544)</f>
        <v>641.36</v>
      </c>
      <c r="Q544" s="150" t="str">
        <f t="shared" si="42"/>
        <v>7-Dépenses</v>
      </c>
      <c r="R544" s="149" t="str">
        <f t="shared" si="43"/>
        <v>76</v>
      </c>
      <c r="S544" s="150">
        <f t="shared" si="44"/>
        <v>0</v>
      </c>
      <c r="T544" s="152" t="str">
        <f>+VLOOKUP($L544,Data_Validation!$A:$D,1,0)</f>
        <v>76G</v>
      </c>
      <c r="U544" s="152" t="str">
        <f>+VLOOKUP($L544,Data_Validation!$A:$D,3,0)</f>
        <v>pièces</v>
      </c>
      <c r="V544" s="152" t="str">
        <f>+VLOOKUP($L544,Data_Validation!$A:$D,4,0)</f>
        <v>Formation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1237</v>
      </c>
      <c r="B545" s="718" t="s">
        <v>792</v>
      </c>
      <c r="C545" s="719">
        <v>728</v>
      </c>
      <c r="D545" s="719">
        <v>96.2</v>
      </c>
      <c r="E545" s="719">
        <v>824.2</v>
      </c>
      <c r="F545" s="718" t="s">
        <v>2230</v>
      </c>
      <c r="G545" s="718" t="s">
        <v>2265</v>
      </c>
      <c r="H545" s="719"/>
      <c r="I545" s="720"/>
      <c r="J545" s="720"/>
      <c r="K545" s="720"/>
      <c r="L545" s="149" t="str">
        <f t="shared" si="40"/>
        <v>72G</v>
      </c>
      <c r="M545" s="150" t="str">
        <f t="shared" si="41"/>
        <v>COTIS. &amp; ABONN. - PIECE BMW</v>
      </c>
      <c r="N545" s="151">
        <f>+IF(OR($Q545=Parametres!$G$2,$Q545=Parametres!$G$3),I545,C545)</f>
        <v>728</v>
      </c>
      <c r="O545" s="504">
        <f>+IF(OR($Q545=Parametres!$G$2,$Q545=Parametres!$G$3),J545,D545)</f>
        <v>96.2</v>
      </c>
      <c r="P545" s="151">
        <f>+IF(OR($Q545=Parametres!$G$2,$Q545=Parametres!$G$3),K545,E545)</f>
        <v>824.2</v>
      </c>
      <c r="Q545" s="150" t="str">
        <f t="shared" si="42"/>
        <v>7-Dépenses</v>
      </c>
      <c r="R545" s="149" t="str">
        <f t="shared" si="43"/>
        <v>72</v>
      </c>
      <c r="S545" s="150">
        <f t="shared" si="44"/>
        <v>0</v>
      </c>
      <c r="T545" s="152" t="str">
        <f>+VLOOKUP($L545,Data_Validation!$A:$D,1,0)</f>
        <v>72G</v>
      </c>
      <c r="U545" s="152" t="str">
        <f>+VLOOKUP($L545,Data_Validation!$A:$D,3,0)</f>
        <v>pièces</v>
      </c>
      <c r="V545" s="152" t="str">
        <f>+VLOOKUP($L545,Data_Validation!$A:$D,4,0)</f>
        <v>divers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1611</v>
      </c>
      <c r="B546" s="718" t="s">
        <v>775</v>
      </c>
      <c r="C546" s="719">
        <v>746.76</v>
      </c>
      <c r="D546" s="719">
        <v>484.04</v>
      </c>
      <c r="E546" s="719">
        <v>1230.8</v>
      </c>
      <c r="F546" s="718" t="s">
        <v>2230</v>
      </c>
      <c r="G546" s="718" t="s">
        <v>2262</v>
      </c>
      <c r="H546" s="719"/>
      <c r="I546" s="720"/>
      <c r="J546" s="720"/>
      <c r="K546" s="720"/>
      <c r="L546" s="149" t="str">
        <f t="shared" si="40"/>
        <v>92E</v>
      </c>
      <c r="M546" s="150" t="str">
        <f t="shared" si="41"/>
        <v>LOCATION EQUIP. - SERV. BMW</v>
      </c>
      <c r="N546" s="151">
        <f>+IF(OR($Q546=Parametres!$G$2,$Q546=Parametres!$G$3),I546,C546)</f>
        <v>746.76</v>
      </c>
      <c r="O546" s="504">
        <f>+IF(OR($Q546=Parametres!$G$2,$Q546=Parametres!$G$3),J546,D546)</f>
        <v>484.04</v>
      </c>
      <c r="P546" s="151">
        <f>+IF(OR($Q546=Parametres!$G$2,$Q546=Parametres!$G$3),K546,E546)</f>
        <v>1230.8</v>
      </c>
      <c r="Q546" s="150" t="str">
        <f t="shared" si="42"/>
        <v>7-Dépenses</v>
      </c>
      <c r="R546" s="149" t="str">
        <f t="shared" si="43"/>
        <v>92</v>
      </c>
      <c r="S546" s="150">
        <f t="shared" si="44"/>
        <v>0</v>
      </c>
      <c r="T546" s="152" t="str">
        <f>+VLOOKUP($L546,Data_Validation!$A:$D,1,0)</f>
        <v>92E</v>
      </c>
      <c r="U546" s="152" t="str">
        <f>+VLOOKUP($L546,Data_Validation!$A:$D,3,0)</f>
        <v>Service</v>
      </c>
      <c r="V546" s="152" t="str">
        <f>+VLOOKUP($L546,Data_Validation!$A:$D,4,0)</f>
        <v>Location équipement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1615</v>
      </c>
      <c r="B547" s="718" t="s">
        <v>789</v>
      </c>
      <c r="C547" s="719">
        <v>782.8</v>
      </c>
      <c r="D547" s="719">
        <v>78.28</v>
      </c>
      <c r="E547" s="719">
        <v>861.08</v>
      </c>
      <c r="F547" s="718" t="s">
        <v>2230</v>
      </c>
      <c r="G547" s="718" t="s">
        <v>2262</v>
      </c>
      <c r="H547" s="719"/>
      <c r="I547" s="720"/>
      <c r="J547" s="720"/>
      <c r="K547" s="720"/>
      <c r="L547" s="149" t="str">
        <f t="shared" si="40"/>
        <v>92A</v>
      </c>
      <c r="M547" s="150" t="str">
        <f t="shared" si="41"/>
        <v>LOCATION EQUIP. - NEUF BMW</v>
      </c>
      <c r="N547" s="151">
        <f>+IF(OR($Q547=Parametres!$G$2,$Q547=Parametres!$G$3),I547,C547)</f>
        <v>782.8</v>
      </c>
      <c r="O547" s="504">
        <f>+IF(OR($Q547=Parametres!$G$2,$Q547=Parametres!$G$3),J547,D547)</f>
        <v>78.28</v>
      </c>
      <c r="P547" s="151">
        <f>+IF(OR($Q547=Parametres!$G$2,$Q547=Parametres!$G$3),K547,E547)</f>
        <v>861.08</v>
      </c>
      <c r="Q547" s="150" t="str">
        <f t="shared" si="42"/>
        <v>7-Dépenses</v>
      </c>
      <c r="R547" s="149" t="str">
        <f t="shared" si="43"/>
        <v>92</v>
      </c>
      <c r="S547" s="150">
        <f t="shared" si="44"/>
        <v>0</v>
      </c>
      <c r="T547" s="152" t="str">
        <f>+VLOOKUP($L547,Data_Validation!$A:$D,1,0)</f>
        <v>92A</v>
      </c>
      <c r="U547" s="152" t="str">
        <f>+VLOOKUP($L547,Data_Validation!$A:$D,3,0)</f>
        <v>Véhicules neufs</v>
      </c>
      <c r="V547" s="152" t="str">
        <f>+VLOOKUP($L547,Data_Validation!$A:$D,4,0)</f>
        <v>Location équipement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1236</v>
      </c>
      <c r="B548" s="718" t="s">
        <v>794</v>
      </c>
      <c r="C548" s="719">
        <v>819.06</v>
      </c>
      <c r="D548" s="719">
        <v>108.23</v>
      </c>
      <c r="E548" s="719">
        <v>927.29</v>
      </c>
      <c r="F548" s="718" t="s">
        <v>2230</v>
      </c>
      <c r="G548" s="718" t="s">
        <v>2265</v>
      </c>
      <c r="H548" s="719"/>
      <c r="I548" s="720"/>
      <c r="J548" s="720"/>
      <c r="K548" s="720"/>
      <c r="L548" s="149" t="str">
        <f t="shared" si="40"/>
        <v>72E</v>
      </c>
      <c r="M548" s="150" t="str">
        <f t="shared" si="41"/>
        <v>COTIS. &amp; ABONN. - SERV. BMW</v>
      </c>
      <c r="N548" s="151">
        <f>+IF(OR($Q548=Parametres!$G$2,$Q548=Parametres!$G$3),I548,C548)</f>
        <v>819.06</v>
      </c>
      <c r="O548" s="151">
        <f>+IF(OR($Q548=Parametres!$G$2,$Q548=Parametres!$G$3),J548,D548)</f>
        <v>108.23</v>
      </c>
      <c r="P548" s="151">
        <f>+IF(OR($Q548=Parametres!$G$2,$Q548=Parametres!$G$3),K548,E548)</f>
        <v>927.29</v>
      </c>
      <c r="Q548" s="150" t="str">
        <f t="shared" si="42"/>
        <v>7-Dépenses</v>
      </c>
      <c r="R548" s="149" t="str">
        <f t="shared" si="43"/>
        <v>72</v>
      </c>
      <c r="S548" s="150">
        <f t="shared" si="44"/>
        <v>0</v>
      </c>
      <c r="T548" s="152" t="str">
        <f>+VLOOKUP($L548,Data_Validation!$A:$D,1,0)</f>
        <v>72E</v>
      </c>
      <c r="U548" s="152" t="str">
        <f>+VLOOKUP($L548,Data_Validation!$A:$D,3,0)</f>
        <v>Service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1627</v>
      </c>
      <c r="B549" s="718" t="s">
        <v>798</v>
      </c>
      <c r="C549" s="719">
        <v>826.21</v>
      </c>
      <c r="D549" s="719">
        <v>118.1</v>
      </c>
      <c r="E549" s="719">
        <v>944.31</v>
      </c>
      <c r="F549" s="718" t="s">
        <v>2230</v>
      </c>
      <c r="G549" s="718" t="s">
        <v>2261</v>
      </c>
      <c r="H549" s="719"/>
      <c r="I549" s="720"/>
      <c r="J549" s="720"/>
      <c r="K549" s="720"/>
      <c r="L549" s="149" t="str">
        <f t="shared" si="40"/>
        <v>75C</v>
      </c>
      <c r="M549" s="150" t="str">
        <f t="shared" si="41"/>
        <v>TELEPHONE - USAGE BMW</v>
      </c>
      <c r="N549" s="151">
        <f>+IF(OR($Q549=Parametres!$G$2,$Q549=Parametres!$G$3),I549,C549)</f>
        <v>826.21</v>
      </c>
      <c r="O549" s="504">
        <f>+IF(OR($Q549=Parametres!$G$2,$Q549=Parametres!$G$3),J549,D549)</f>
        <v>118.1</v>
      </c>
      <c r="P549" s="151">
        <f>+IF(OR($Q549=Parametres!$G$2,$Q549=Parametres!$G$3),K549,E549)</f>
        <v>944.31</v>
      </c>
      <c r="Q549" s="150" t="str">
        <f t="shared" si="42"/>
        <v>7-Dépenses</v>
      </c>
      <c r="R549" s="149" t="str">
        <f t="shared" si="43"/>
        <v>75</v>
      </c>
      <c r="S549" s="150">
        <f t="shared" si="44"/>
        <v>0</v>
      </c>
      <c r="T549" s="152" t="str">
        <f>+VLOOKUP($L549,Data_Validation!$A:$D,1,0)</f>
        <v>75C</v>
      </c>
      <c r="U549" s="152" t="str">
        <f>+VLOOKUP($L549,Data_Validation!$A:$D,3,0)</f>
        <v>Véhicules usagés</v>
      </c>
      <c r="V549" s="152" t="str">
        <f>+VLOOKUP($L549,Data_Validation!$A:$D,4,0)</f>
        <v>Téléphone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1221</v>
      </c>
      <c r="B550" s="718" t="s">
        <v>767</v>
      </c>
      <c r="C550" s="719">
        <v>961.48</v>
      </c>
      <c r="D550" s="719">
        <v>185.86</v>
      </c>
      <c r="E550" s="719">
        <v>1147.3399999999999</v>
      </c>
      <c r="F550" s="718" t="s">
        <v>2230</v>
      </c>
      <c r="G550" s="718" t="s">
        <v>2278</v>
      </c>
      <c r="H550" s="719"/>
      <c r="I550" s="720"/>
      <c r="J550" s="720"/>
      <c r="K550" s="720"/>
      <c r="L550" s="149" t="str">
        <f t="shared" si="40"/>
        <v>24I</v>
      </c>
      <c r="M550" s="150" t="str">
        <f t="shared" si="41"/>
        <v>SAL. ABSENCE</v>
      </c>
      <c r="N550" s="151">
        <f>+IF(OR($Q550=Parametres!$G$2,$Q550=Parametres!$G$3),I550,C550)</f>
        <v>961.48</v>
      </c>
      <c r="O550" s="504">
        <f>+IF(OR($Q550=Parametres!$G$2,$Q550=Parametres!$G$3),J550,D550)</f>
        <v>185.86</v>
      </c>
      <c r="P550" s="151">
        <f>+IF(OR($Q550=Parametres!$G$2,$Q550=Parametres!$G$3),K550,E550)</f>
        <v>1147.3399999999999</v>
      </c>
      <c r="Q550" s="150" t="str">
        <f t="shared" si="42"/>
        <v>7-Dépenses</v>
      </c>
      <c r="R550" s="149" t="str">
        <f t="shared" si="43"/>
        <v>24</v>
      </c>
      <c r="S550" s="150">
        <f t="shared" si="44"/>
        <v>0</v>
      </c>
      <c r="T550" s="152" t="str">
        <f>+VLOOKUP($L550,Data_Validation!$A:$D,1,0)</f>
        <v>24I</v>
      </c>
      <c r="U550" s="152" t="str">
        <f>+VLOOKUP($L550,Data_Validation!$A:$D,3,0)</f>
        <v>Carrosserie</v>
      </c>
      <c r="V550" s="152" t="str">
        <f>+VLOOKUP($L550,Data_Validation!$A:$D,4,0)</f>
        <v>Salaires en absences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1658</v>
      </c>
      <c r="B551" s="718" t="s">
        <v>821</v>
      </c>
      <c r="C551" s="719">
        <v>993.76</v>
      </c>
      <c r="D551" s="719">
        <v>277.70999999999998</v>
      </c>
      <c r="E551" s="719">
        <v>1271.47</v>
      </c>
      <c r="F551" s="718" t="s">
        <v>2230</v>
      </c>
      <c r="G551" s="718" t="s">
        <v>2261</v>
      </c>
      <c r="H551" s="719"/>
      <c r="I551" s="720"/>
      <c r="J551" s="720"/>
      <c r="K551" s="720"/>
      <c r="L551" s="149" t="str">
        <f t="shared" si="40"/>
        <v>75E</v>
      </c>
      <c r="M551" s="150" t="str">
        <f t="shared" si="41"/>
        <v>TELEPHONE - SERV. BMW</v>
      </c>
      <c r="N551" s="151">
        <f>+IF(OR($Q551=Parametres!$G$2,$Q551=Parametres!$G$3),I551,C551)</f>
        <v>993.76</v>
      </c>
      <c r="O551" s="151">
        <f>+IF(OR($Q551=Parametres!$G$2,$Q551=Parametres!$G$3),J551,D551)</f>
        <v>277.70999999999998</v>
      </c>
      <c r="P551" s="151">
        <f>+IF(OR($Q551=Parametres!$G$2,$Q551=Parametres!$G$3),K551,E551)</f>
        <v>1271.47</v>
      </c>
      <c r="Q551" s="150" t="str">
        <f t="shared" si="42"/>
        <v>7-Dépenses</v>
      </c>
      <c r="R551" s="149" t="str">
        <f t="shared" si="43"/>
        <v>75</v>
      </c>
      <c r="S551" s="150">
        <f t="shared" si="44"/>
        <v>0</v>
      </c>
      <c r="T551" s="152" t="str">
        <f>+VLOOKUP($L551,Data_Validation!$A:$D,1,0)</f>
        <v>75E</v>
      </c>
      <c r="U551" s="152" t="str">
        <f>+VLOOKUP($L551,Data_Validation!$A:$D,3,0)</f>
        <v>Service</v>
      </c>
      <c r="V551" s="152" t="str">
        <f>+VLOOKUP($L551,Data_Validation!$A:$D,4,0)</f>
        <v>Téléphone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1628</v>
      </c>
      <c r="B552" s="718" t="s">
        <v>806</v>
      </c>
      <c r="C552" s="719">
        <v>1051.71</v>
      </c>
      <c r="D552" s="719">
        <v>292.77999999999997</v>
      </c>
      <c r="E552" s="719">
        <v>1344.49</v>
      </c>
      <c r="F552" s="718" t="s">
        <v>2230</v>
      </c>
      <c r="G552" s="718" t="s">
        <v>2264</v>
      </c>
      <c r="H552" s="719"/>
      <c r="I552" s="720"/>
      <c r="J552" s="720"/>
      <c r="K552" s="720"/>
      <c r="L552" s="149" t="str">
        <f t="shared" si="40"/>
        <v>78E</v>
      </c>
      <c r="M552" s="150" t="str">
        <f t="shared" si="41"/>
        <v>TRANSPORT - SERV. BMW</v>
      </c>
      <c r="N552" s="151">
        <f>+IF(OR($Q552=Parametres!$G$2,$Q552=Parametres!$G$3),I552,C552)</f>
        <v>1051.71</v>
      </c>
      <c r="O552" s="504">
        <f>+IF(OR($Q552=Parametres!$G$2,$Q552=Parametres!$G$3),J552,D552)</f>
        <v>292.77999999999997</v>
      </c>
      <c r="P552" s="151">
        <f>+IF(OR($Q552=Parametres!$G$2,$Q552=Parametres!$G$3),K552,E552)</f>
        <v>1344.49</v>
      </c>
      <c r="Q552" s="150" t="str">
        <f t="shared" si="42"/>
        <v>7-Dépenses</v>
      </c>
      <c r="R552" s="149" t="str">
        <f t="shared" si="43"/>
        <v>78</v>
      </c>
      <c r="S552" s="150">
        <f t="shared" si="44"/>
        <v>0</v>
      </c>
      <c r="T552" s="152" t="str">
        <f>+VLOOKUP($L552,Data_Validation!$A:$D,1,0)</f>
        <v>78E</v>
      </c>
      <c r="U552" s="152" t="str">
        <f>+VLOOKUP($L552,Data_Validation!$A:$D,3,0)</f>
        <v>Service</v>
      </c>
      <c r="V552" s="152" t="str">
        <f>+VLOOKUP($L552,Data_Validation!$A:$D,4,0)</f>
        <v>Frais postaux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1622</v>
      </c>
      <c r="B553" s="718" t="s">
        <v>795</v>
      </c>
      <c r="C553" s="719">
        <v>1087.4000000000001</v>
      </c>
      <c r="D553" s="719">
        <v>108.74</v>
      </c>
      <c r="E553" s="719">
        <v>1196.1400000000001</v>
      </c>
      <c r="F553" s="718" t="s">
        <v>2230</v>
      </c>
      <c r="G553" s="718" t="s">
        <v>2277</v>
      </c>
      <c r="H553" s="719"/>
      <c r="I553" s="720"/>
      <c r="J553" s="720"/>
      <c r="K553" s="720"/>
      <c r="L553" s="149" t="str">
        <f t="shared" si="40"/>
        <v>85I</v>
      </c>
      <c r="M553" s="150" t="str">
        <f t="shared" si="41"/>
        <v>ASS. BATISSE - CARROSSERIE BMW</v>
      </c>
      <c r="N553" s="151">
        <f>+IF(OR($Q553=Parametres!$G$2,$Q553=Parametres!$G$3),I553,C553)</f>
        <v>1087.4000000000001</v>
      </c>
      <c r="O553" s="504">
        <f>+IF(OR($Q553=Parametres!$G$2,$Q553=Parametres!$G$3),J553,D553)</f>
        <v>108.74</v>
      </c>
      <c r="P553" s="151">
        <f>+IF(OR($Q553=Parametres!$G$2,$Q553=Parametres!$G$3),K553,E553)</f>
        <v>1196.1400000000001</v>
      </c>
      <c r="Q553" s="150" t="str">
        <f t="shared" si="42"/>
        <v>7-Dépenses</v>
      </c>
      <c r="R553" s="149" t="str">
        <f t="shared" si="43"/>
        <v>85</v>
      </c>
      <c r="S553" s="150">
        <f t="shared" si="44"/>
        <v>0</v>
      </c>
      <c r="T553" s="152" t="str">
        <f>+VLOOKUP($L553,Data_Validation!$A:$D,1,0)</f>
        <v>85I</v>
      </c>
      <c r="U553" s="152" t="str">
        <f>+VLOOKUP($L553,Data_Validation!$A:$D,3,0)</f>
        <v>carrosserie</v>
      </c>
      <c r="V553" s="152" t="str">
        <f>+VLOOKUP($L553,Data_Validation!$A:$D,4,0)</f>
        <v>assurances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1648</v>
      </c>
      <c r="B554" s="718" t="s">
        <v>816</v>
      </c>
      <c r="C554" s="719">
        <v>1139</v>
      </c>
      <c r="D554" s="719">
        <v>186.34</v>
      </c>
      <c r="E554" s="719">
        <v>1325.34</v>
      </c>
      <c r="F554" s="718" t="s">
        <v>2230</v>
      </c>
      <c r="G554" s="718" t="s">
        <v>2261</v>
      </c>
      <c r="H554" s="719"/>
      <c r="I554" s="720"/>
      <c r="J554" s="720"/>
      <c r="K554" s="720"/>
      <c r="L554" s="149" t="str">
        <f t="shared" si="40"/>
        <v>75G</v>
      </c>
      <c r="M554" s="150" t="str">
        <f t="shared" si="41"/>
        <v>TELEPHONE - PIECE BMW</v>
      </c>
      <c r="N554" s="151">
        <f>+IF(OR($Q554=Parametres!$G$2,$Q554=Parametres!$G$3),I554,C554)</f>
        <v>1139</v>
      </c>
      <c r="O554" s="504">
        <f>+IF(OR($Q554=Parametres!$G$2,$Q554=Parametres!$G$3),J554,D554)</f>
        <v>186.34</v>
      </c>
      <c r="P554" s="151">
        <f>+IF(OR($Q554=Parametres!$G$2,$Q554=Parametres!$G$3),K554,E554)</f>
        <v>1325.34</v>
      </c>
      <c r="Q554" s="150" t="str">
        <f t="shared" si="42"/>
        <v>7-Dépenses</v>
      </c>
      <c r="R554" s="149" t="str">
        <f t="shared" si="43"/>
        <v>75</v>
      </c>
      <c r="S554" s="150">
        <f t="shared" si="44"/>
        <v>0</v>
      </c>
      <c r="T554" s="152" t="str">
        <f>+VLOOKUP($L554,Data_Validation!$A:$D,1,0)</f>
        <v>75G</v>
      </c>
      <c r="U554" s="152" t="str">
        <f>+VLOOKUP($L554,Data_Validation!$A:$D,3,0)</f>
        <v>pièces</v>
      </c>
      <c r="V554" s="152" t="str">
        <f>+VLOOKUP($L554,Data_Validation!$A:$D,4,0)</f>
        <v>Téléphone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1226</v>
      </c>
      <c r="B555" s="718" t="s">
        <v>805</v>
      </c>
      <c r="C555" s="719">
        <v>1153.7</v>
      </c>
      <c r="D555" s="719">
        <v>115.37</v>
      </c>
      <c r="E555" s="719">
        <v>1269.07</v>
      </c>
      <c r="F555" s="718" t="s">
        <v>2230</v>
      </c>
      <c r="G555" s="718" t="s">
        <v>2279</v>
      </c>
      <c r="H555" s="719"/>
      <c r="I555" s="720"/>
      <c r="J555" s="720"/>
      <c r="K555" s="720"/>
      <c r="L555" s="149" t="str">
        <f t="shared" si="40"/>
        <v>91I</v>
      </c>
      <c r="M555" s="150" t="str">
        <f t="shared" si="41"/>
        <v>DEPREC. EQUIP. - CARROSSERIE BMW</v>
      </c>
      <c r="N555" s="151">
        <f>+IF(OR($Q555=Parametres!$G$2,$Q555=Parametres!$G$3),I555,C555)</f>
        <v>1153.7</v>
      </c>
      <c r="O555" s="505">
        <f>+IF(OR($Q555=Parametres!$G$2,$Q555=Parametres!$G$3),J555,D555)</f>
        <v>115.37</v>
      </c>
      <c r="P555" s="151">
        <f>+IF(OR($Q555=Parametres!$G$2,$Q555=Parametres!$G$3),K555,E555)</f>
        <v>1269.07</v>
      </c>
      <c r="Q555" s="150" t="str">
        <f t="shared" si="42"/>
        <v>7-Dépenses</v>
      </c>
      <c r="R555" s="149" t="str">
        <f t="shared" si="43"/>
        <v>91</v>
      </c>
      <c r="S555" s="150">
        <f t="shared" si="44"/>
        <v>0</v>
      </c>
      <c r="T555" s="152" t="str">
        <f>+VLOOKUP($L555,Data_Validation!$A:$D,1,0)</f>
        <v>91I</v>
      </c>
      <c r="U555" s="152" t="str">
        <f>+VLOOKUP($L555,Data_Validation!$A:$D,3,0)</f>
        <v>carrosserie</v>
      </c>
      <c r="V555" s="152" t="str">
        <f>+VLOOKUP($L555,Data_Validation!$A:$D,4,0)</f>
        <v>amortissement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1240</v>
      </c>
      <c r="B556" s="718" t="s">
        <v>793</v>
      </c>
      <c r="C556" s="720">
        <v>1213.73</v>
      </c>
      <c r="D556" s="720">
        <v>113.06</v>
      </c>
      <c r="E556" s="720">
        <v>1326.79</v>
      </c>
      <c r="F556" s="718" t="s">
        <v>2230</v>
      </c>
      <c r="G556" s="718" t="s">
        <v>2276</v>
      </c>
      <c r="H556" s="673"/>
      <c r="I556" s="672"/>
      <c r="J556" s="672"/>
      <c r="K556" s="672"/>
      <c r="L556" s="149" t="str">
        <f t="shared" si="40"/>
        <v>87I</v>
      </c>
      <c r="M556" s="150" t="str">
        <f t="shared" si="41"/>
        <v>CHAUFF. ELECT. EAU - CARROSSERIE BMW</v>
      </c>
      <c r="N556" s="151">
        <f>+IF(OR($Q556=Parametres!$G$2,$Q556=Parametres!$G$3),I556,C556)</f>
        <v>1213.73</v>
      </c>
      <c r="O556" s="151">
        <f>+IF(OR($Q556=Parametres!$G$2,$Q556=Parametres!$G$3),J556,D556)</f>
        <v>113.06</v>
      </c>
      <c r="P556" s="151">
        <f>+IF(OR($Q556=Parametres!$G$2,$Q556=Parametres!$G$3),K556,E556)</f>
        <v>1326.79</v>
      </c>
      <c r="Q556" s="150" t="str">
        <f t="shared" si="42"/>
        <v>7-Dépenses</v>
      </c>
      <c r="R556" s="149" t="str">
        <f t="shared" si="43"/>
        <v>87</v>
      </c>
      <c r="S556" s="150">
        <f t="shared" si="44"/>
        <v>0</v>
      </c>
      <c r="T556" s="152" t="str">
        <f>+VLOOKUP($L556,Data_Validation!$A:$D,1,0)</f>
        <v>87I</v>
      </c>
      <c r="U556" s="152" t="str">
        <f>+VLOOKUP($L556,Data_Validation!$A:$D,3,0)</f>
        <v>carrosserie</v>
      </c>
      <c r="V556" s="152" t="str">
        <f>+VLOOKUP($L556,Data_Validation!$A:$D,4,0)</f>
        <v>Chauffage, éclairage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1177</v>
      </c>
      <c r="B557" s="718" t="s">
        <v>824</v>
      </c>
      <c r="C557" s="719">
        <v>1249.48</v>
      </c>
      <c r="D557" s="719">
        <v>116.3</v>
      </c>
      <c r="E557" s="719">
        <v>1365.78</v>
      </c>
      <c r="F557" s="718" t="s">
        <v>2230</v>
      </c>
      <c r="G557" s="718" t="s">
        <v>2273</v>
      </c>
      <c r="H557" s="719"/>
      <c r="I557" s="720"/>
      <c r="J557" s="720"/>
      <c r="K557" s="720"/>
      <c r="L557" s="149" t="str">
        <f t="shared" si="40"/>
        <v>77C</v>
      </c>
      <c r="M557" s="150" t="str">
        <f t="shared" si="41"/>
        <v>FRAIS DIVERS - USAGE BMW</v>
      </c>
      <c r="N557" s="151">
        <f>+IF(OR($Q557=Parametres!$G$2,$Q557=Parametres!$G$3),I557,C557)</f>
        <v>1249.48</v>
      </c>
      <c r="O557" s="151">
        <f>+IF(OR($Q557=Parametres!$G$2,$Q557=Parametres!$G$3),J557,D557)</f>
        <v>116.3</v>
      </c>
      <c r="P557" s="151">
        <f>+IF(OR($Q557=Parametres!$G$2,$Q557=Parametres!$G$3),K557,E557)</f>
        <v>1365.78</v>
      </c>
      <c r="Q557" s="150" t="str">
        <f t="shared" si="42"/>
        <v>7-Dépenses</v>
      </c>
      <c r="R557" s="149" t="str">
        <f t="shared" si="43"/>
        <v>77</v>
      </c>
      <c r="S557" s="150">
        <f t="shared" si="44"/>
        <v>0</v>
      </c>
      <c r="T557" s="152" t="str">
        <f>+VLOOKUP($L557,Data_Validation!$A:$D,1,0)</f>
        <v>77C</v>
      </c>
      <c r="U557" s="152" t="str">
        <f>+VLOOKUP($L557,Data_Validation!$A:$D,3,0)</f>
        <v>Véhicules usagés</v>
      </c>
      <c r="V557" s="152" t="str">
        <f>+VLOOKUP($L557,Data_Validation!$A:$D,4,0)</f>
        <v>divers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1641</v>
      </c>
      <c r="B558" s="718" t="s">
        <v>807</v>
      </c>
      <c r="C558" s="720">
        <v>1434.42</v>
      </c>
      <c r="D558" s="720">
        <v>138.38999999999999</v>
      </c>
      <c r="E558" s="720">
        <v>1572.81</v>
      </c>
      <c r="F558" s="718" t="s">
        <v>2230</v>
      </c>
      <c r="G558" s="718" t="s">
        <v>2282</v>
      </c>
      <c r="H558" s="673"/>
      <c r="I558" s="672"/>
      <c r="J558" s="672"/>
      <c r="K558" s="672"/>
      <c r="L558" s="149" t="str">
        <f t="shared" si="40"/>
        <v>84I</v>
      </c>
      <c r="M558" s="150" t="str">
        <f t="shared" si="41"/>
        <v>TAXES BATISSE - CARROSSERIE BMW</v>
      </c>
      <c r="N558" s="151">
        <f>+IF(OR($Q558=Parametres!$G$2,$Q558=Parametres!$G$3),I558,C558)</f>
        <v>1434.42</v>
      </c>
      <c r="O558" s="151">
        <f>+IF(OR($Q558=Parametres!$G$2,$Q558=Parametres!$G$3),J558,D558)</f>
        <v>138.38999999999999</v>
      </c>
      <c r="P558" s="151">
        <f>+IF(OR($Q558=Parametres!$G$2,$Q558=Parametres!$G$3),K558,E558)</f>
        <v>1572.81</v>
      </c>
      <c r="Q558" s="150" t="str">
        <f t="shared" si="42"/>
        <v>7-Dépenses</v>
      </c>
      <c r="R558" s="149" t="str">
        <f t="shared" si="43"/>
        <v>84</v>
      </c>
      <c r="S558" s="150">
        <f t="shared" si="44"/>
        <v>0</v>
      </c>
      <c r="T558" s="152" t="str">
        <f>+VLOOKUP($L558,Data_Validation!$A:$D,1,0)</f>
        <v>84I</v>
      </c>
      <c r="U558" s="152" t="str">
        <f>+VLOOKUP($L558,Data_Validation!$A:$D,3,0)</f>
        <v>carrosserie</v>
      </c>
      <c r="V558" s="152" t="str">
        <f>+VLOOKUP($L558,Data_Validation!$A:$D,4,0)</f>
        <v>Taxes foncières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1618</v>
      </c>
      <c r="B559" s="718" t="s">
        <v>804</v>
      </c>
      <c r="C559" s="720">
        <v>1527.03</v>
      </c>
      <c r="D559" s="720">
        <v>151.13</v>
      </c>
      <c r="E559" s="720">
        <v>1678.16</v>
      </c>
      <c r="F559" s="718" t="s">
        <v>2230</v>
      </c>
      <c r="G559" s="718" t="s">
        <v>2280</v>
      </c>
      <c r="H559" s="673"/>
      <c r="I559" s="672"/>
      <c r="J559" s="672"/>
      <c r="K559" s="672"/>
      <c r="L559" s="149" t="str">
        <f t="shared" si="40"/>
        <v>53I</v>
      </c>
      <c r="M559" s="150" t="str">
        <f t="shared" si="41"/>
        <v>VEH. COMPAGNIE - CARROSSERIE BMW</v>
      </c>
      <c r="N559" s="151">
        <f>+IF(OR($Q559=Parametres!$G$2,$Q559=Parametres!$G$3),I559,C559)</f>
        <v>1527.03</v>
      </c>
      <c r="O559" s="151">
        <f>+IF(OR($Q559=Parametres!$G$2,$Q559=Parametres!$G$3),J559,D559)</f>
        <v>151.13</v>
      </c>
      <c r="P559" s="151">
        <f>+IF(OR($Q559=Parametres!$G$2,$Q559=Parametres!$G$3),K559,E559)</f>
        <v>1678.16</v>
      </c>
      <c r="Q559" s="150" t="str">
        <f t="shared" si="42"/>
        <v>7-Dépenses</v>
      </c>
      <c r="R559" s="149" t="str">
        <f t="shared" si="43"/>
        <v>53</v>
      </c>
      <c r="S559" s="150">
        <f t="shared" si="44"/>
        <v>0</v>
      </c>
      <c r="T559" s="152" t="str">
        <f>+VLOOKUP($L559,Data_Validation!$A:$D,1,0)</f>
        <v>53I</v>
      </c>
      <c r="U559" s="152" t="str">
        <f>+VLOOKUP($L559,Data_Validation!$A:$D,3,0)</f>
        <v>carrosserie</v>
      </c>
      <c r="V559" s="152" t="str">
        <f>+VLOOKUP($L559,Data_Validation!$A:$D,4,0)</f>
        <v>Frais véhicules de cie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1621</v>
      </c>
      <c r="B560" s="718" t="s">
        <v>782</v>
      </c>
      <c r="C560" s="719">
        <v>1532.46</v>
      </c>
      <c r="D560" s="719">
        <v>198.33</v>
      </c>
      <c r="E560" s="719">
        <v>1730.79</v>
      </c>
      <c r="F560" s="718" t="s">
        <v>2230</v>
      </c>
      <c r="G560" s="718" t="s">
        <v>2264</v>
      </c>
      <c r="H560" s="719"/>
      <c r="I560" s="720"/>
      <c r="J560" s="720"/>
      <c r="K560" s="720"/>
      <c r="L560" s="149" t="str">
        <f t="shared" si="40"/>
        <v>78C</v>
      </c>
      <c r="M560" s="150" t="str">
        <f t="shared" si="41"/>
        <v>TRANSPORT - USAGE BMW</v>
      </c>
      <c r="N560" s="151">
        <f>+IF(OR($Q560=Parametres!$G$2,$Q560=Parametres!$G$3),I560,C560)</f>
        <v>1532.46</v>
      </c>
      <c r="O560" s="505">
        <f>+IF(OR($Q560=Parametres!$G$2,$Q560=Parametres!$G$3),J560,D560)</f>
        <v>198.33</v>
      </c>
      <c r="P560" s="151">
        <f>+IF(OR($Q560=Parametres!$G$2,$Q560=Parametres!$G$3),K560,E560)</f>
        <v>1730.79</v>
      </c>
      <c r="Q560" s="150" t="str">
        <f t="shared" si="42"/>
        <v>7-Dépenses</v>
      </c>
      <c r="R560" s="149" t="str">
        <f t="shared" si="43"/>
        <v>78</v>
      </c>
      <c r="S560" s="150">
        <f t="shared" si="44"/>
        <v>0</v>
      </c>
      <c r="T560" s="152" t="str">
        <f>+VLOOKUP($L560,Data_Validation!$A:$D,1,0)</f>
        <v>78C</v>
      </c>
      <c r="U560" s="152" t="str">
        <f>+VLOOKUP($L560,Data_Validation!$A:$D,3,0)</f>
        <v>Véhicules usagés</v>
      </c>
      <c r="V560" s="152" t="str">
        <f>+VLOOKUP($L560,Data_Validation!$A:$D,4,0)</f>
        <v>Frais postaux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1637</v>
      </c>
      <c r="B561" s="718" t="s">
        <v>814</v>
      </c>
      <c r="C561" s="719">
        <v>1576.7</v>
      </c>
      <c r="D561" s="719">
        <v>157.66999999999999</v>
      </c>
      <c r="E561" s="719">
        <v>1734.37</v>
      </c>
      <c r="F561" s="718" t="s">
        <v>2230</v>
      </c>
      <c r="G561" s="718" t="s">
        <v>2285</v>
      </c>
      <c r="H561" s="719"/>
      <c r="I561" s="720"/>
      <c r="J561" s="720"/>
      <c r="K561" s="720"/>
      <c r="L561" s="149" t="str">
        <f t="shared" si="40"/>
        <v>74I</v>
      </c>
      <c r="M561" s="150" t="str">
        <f t="shared" si="41"/>
        <v>FRAIS LEGAUX &amp; CTB - CARROSSERIE BMW</v>
      </c>
      <c r="N561" s="151">
        <f>+IF(OR($Q561=Parametres!$G$2,$Q561=Parametres!$G$3),I561,C561)</f>
        <v>1576.7</v>
      </c>
      <c r="O561" s="504">
        <f>+IF(OR($Q561=Parametres!$G$2,$Q561=Parametres!$G$3),J561,D561)</f>
        <v>157.66999999999999</v>
      </c>
      <c r="P561" s="151">
        <f>+IF(OR($Q561=Parametres!$G$2,$Q561=Parametres!$G$3),K561,E561)</f>
        <v>1734.37</v>
      </c>
      <c r="Q561" s="150" t="str">
        <f t="shared" si="42"/>
        <v>7-Dépenses</v>
      </c>
      <c r="R561" s="149" t="str">
        <f t="shared" si="43"/>
        <v>74</v>
      </c>
      <c r="S561" s="150">
        <f t="shared" si="44"/>
        <v>0</v>
      </c>
      <c r="T561" s="152" t="str">
        <f>+VLOOKUP($L561,Data_Validation!$A:$D,1,0)</f>
        <v>74I</v>
      </c>
      <c r="U561" s="152" t="str">
        <f>+VLOOKUP($L561,Data_Validation!$A:$D,3,0)</f>
        <v>carrosserie</v>
      </c>
      <c r="V561" s="152" t="str">
        <f>+VLOOKUP($L561,Data_Validation!$A:$D,4,0)</f>
        <v>honoraires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1632</v>
      </c>
      <c r="B562" s="718" t="s">
        <v>812</v>
      </c>
      <c r="C562" s="719">
        <v>1578.79</v>
      </c>
      <c r="D562" s="719">
        <v>306.95999999999998</v>
      </c>
      <c r="E562" s="719">
        <v>1885.75</v>
      </c>
      <c r="F562" s="718" t="s">
        <v>2230</v>
      </c>
      <c r="G562" s="718" t="s">
        <v>2271</v>
      </c>
      <c r="H562" s="719"/>
      <c r="I562" s="720"/>
      <c r="J562" s="720"/>
      <c r="K562" s="720"/>
      <c r="L562" s="149" t="str">
        <f t="shared" si="40"/>
        <v>60C</v>
      </c>
      <c r="M562" s="150" t="str">
        <f t="shared" si="41"/>
        <v>FOURNITURES BUREAU - USAGE BMW</v>
      </c>
      <c r="N562" s="151">
        <f>+IF(OR($Q562=Parametres!$G$2,$Q562=Parametres!$G$3),I562,C562)</f>
        <v>1578.79</v>
      </c>
      <c r="O562" s="151">
        <f>+IF(OR($Q562=Parametres!$G$2,$Q562=Parametres!$G$3),J562,D562)</f>
        <v>306.95999999999998</v>
      </c>
      <c r="P562" s="151">
        <f>+IF(OR($Q562=Parametres!$G$2,$Q562=Parametres!$G$3),K562,E562)</f>
        <v>1885.75</v>
      </c>
      <c r="Q562" s="150" t="str">
        <f t="shared" si="42"/>
        <v>7-Dépenses</v>
      </c>
      <c r="R562" s="149" t="str">
        <f t="shared" si="43"/>
        <v>60</v>
      </c>
      <c r="S562" s="150">
        <f t="shared" si="44"/>
        <v>0</v>
      </c>
      <c r="T562" s="152" t="str">
        <f>+VLOOKUP($L562,Data_Validation!$A:$D,1,0)</f>
        <v>60C</v>
      </c>
      <c r="U562" s="152" t="str">
        <f>+VLOOKUP($L562,Data_Validation!$A:$D,3,0)</f>
        <v>Véhicules usagés</v>
      </c>
      <c r="V562" s="152" t="str">
        <f>+VLOOKUP($L562,Data_Validation!$A:$D,4,0)</f>
        <v>papeterie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1624</v>
      </c>
      <c r="B563" s="718" t="s">
        <v>823</v>
      </c>
      <c r="C563" s="720">
        <v>1585.39</v>
      </c>
      <c r="D563" s="720">
        <v>266.06</v>
      </c>
      <c r="E563" s="720">
        <v>1851.45</v>
      </c>
      <c r="F563" s="718" t="s">
        <v>2230</v>
      </c>
      <c r="G563" s="718" t="s">
        <v>2284</v>
      </c>
      <c r="H563" s="666"/>
      <c r="I563" s="665"/>
      <c r="J563" s="665"/>
      <c r="K563" s="665"/>
      <c r="L563" s="149" t="str">
        <f t="shared" si="40"/>
        <v>73I</v>
      </c>
      <c r="M563" s="150" t="str">
        <f t="shared" si="41"/>
        <v>REMISE CARTE CREDIT - CARROSSERIE BMW</v>
      </c>
      <c r="N563" s="151">
        <f>+IF(OR($Q563=Parametres!$G$2,$Q563=Parametres!$G$3),I563,C563)</f>
        <v>1585.39</v>
      </c>
      <c r="O563" s="151">
        <f>+IF(OR($Q563=Parametres!$G$2,$Q563=Parametres!$G$3),J563,D563)</f>
        <v>266.06</v>
      </c>
      <c r="P563" s="151">
        <f>+IF(OR($Q563=Parametres!$G$2,$Q563=Parametres!$G$3),K563,E563)</f>
        <v>1851.45</v>
      </c>
      <c r="Q563" s="150" t="str">
        <f t="shared" si="42"/>
        <v>7-Dépenses</v>
      </c>
      <c r="R563" s="149" t="str">
        <f t="shared" si="43"/>
        <v>73</v>
      </c>
      <c r="S563" s="150">
        <f t="shared" si="44"/>
        <v>0</v>
      </c>
      <c r="T563" s="152" t="str">
        <f>+VLOOKUP($L563,Data_Validation!$A:$D,1,0)</f>
        <v>73I</v>
      </c>
      <c r="U563" s="152" t="str">
        <f>+VLOOKUP($L563,Data_Validation!$A:$D,3,0)</f>
        <v>carrosserie</v>
      </c>
      <c r="V563" s="152" t="str">
        <f>+VLOOKUP($L563,Data_Validation!$A:$D,4,0)</f>
        <v>frais bancaires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1233</v>
      </c>
      <c r="B564" s="718" t="s">
        <v>808</v>
      </c>
      <c r="C564" s="719">
        <v>1638</v>
      </c>
      <c r="D564" s="719">
        <v>216.45</v>
      </c>
      <c r="E564" s="719">
        <v>1854.45</v>
      </c>
      <c r="F564" s="718" t="s">
        <v>2230</v>
      </c>
      <c r="G564" s="718" t="s">
        <v>2265</v>
      </c>
      <c r="H564" s="719"/>
      <c r="I564" s="720"/>
      <c r="J564" s="720"/>
      <c r="K564" s="720"/>
      <c r="L564" s="149" t="str">
        <f t="shared" si="40"/>
        <v>72A</v>
      </c>
      <c r="M564" s="150" t="str">
        <f t="shared" si="41"/>
        <v>COTIS. &amp; ABONN. - NEUF BMW</v>
      </c>
      <c r="N564" s="151">
        <f>+IF(OR($Q564=Parametres!$G$2,$Q564=Parametres!$G$3),I564,C564)</f>
        <v>1638</v>
      </c>
      <c r="O564" s="505">
        <f>+IF(OR($Q564=Parametres!$G$2,$Q564=Parametres!$G$3),J564,D564)</f>
        <v>216.45</v>
      </c>
      <c r="P564" s="151">
        <f>+IF(OR($Q564=Parametres!$G$2,$Q564=Parametres!$G$3),K564,E564)</f>
        <v>1854.45</v>
      </c>
      <c r="Q564" s="150" t="str">
        <f t="shared" si="42"/>
        <v>7-Dépenses</v>
      </c>
      <c r="R564" s="149" t="str">
        <f t="shared" si="43"/>
        <v>72</v>
      </c>
      <c r="S564" s="150">
        <f t="shared" si="44"/>
        <v>0</v>
      </c>
      <c r="T564" s="152" t="str">
        <f>+VLOOKUP($L564,Data_Validation!$A:$D,1,0)</f>
        <v>72A</v>
      </c>
      <c r="U564" s="152" t="str">
        <f>+VLOOKUP($L564,Data_Validation!$A:$D,3,0)</f>
        <v>Véhicules neufs</v>
      </c>
      <c r="V564" s="152" t="str">
        <f>+VLOOKUP($L564,Data_Validation!$A:$D,4,0)</f>
        <v>divers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1629</v>
      </c>
      <c r="B565" s="718" t="s">
        <v>809</v>
      </c>
      <c r="C565" s="720">
        <v>1658.29</v>
      </c>
      <c r="D565" s="720">
        <v>204.79</v>
      </c>
      <c r="E565" s="720">
        <v>1863.08</v>
      </c>
      <c r="F565" s="718" t="s">
        <v>2230</v>
      </c>
      <c r="G565" s="718" t="s">
        <v>2283</v>
      </c>
      <c r="H565" s="673"/>
      <c r="I565" s="672"/>
      <c r="J565" s="672"/>
      <c r="K565" s="672"/>
      <c r="L565" s="149" t="str">
        <f t="shared" si="40"/>
        <v>70I</v>
      </c>
      <c r="M565" s="150" t="str">
        <f t="shared" si="41"/>
        <v>SERV. EXTERIEURS - CARROSSERIE BMW</v>
      </c>
      <c r="N565" s="151">
        <f>+IF(OR($Q565=Parametres!$G$2,$Q565=Parametres!$G$3),I565,C565)</f>
        <v>1658.29</v>
      </c>
      <c r="O565" s="151">
        <f>+IF(OR($Q565=Parametres!$G$2,$Q565=Parametres!$G$3),J565,D565)</f>
        <v>204.79</v>
      </c>
      <c r="P565" s="151">
        <f>+IF(OR($Q565=Parametres!$G$2,$Q565=Parametres!$G$3),K565,E565)</f>
        <v>1863.08</v>
      </c>
      <c r="Q565" s="150" t="str">
        <f t="shared" si="42"/>
        <v>7-Dépenses</v>
      </c>
      <c r="R565" s="149" t="str">
        <f t="shared" si="43"/>
        <v>70</v>
      </c>
      <c r="S565" s="150">
        <f t="shared" si="44"/>
        <v>0</v>
      </c>
      <c r="T565" s="152" t="str">
        <f>+VLOOKUP($L565,Data_Validation!$A:$D,1,0)</f>
        <v>70I</v>
      </c>
      <c r="U565" s="152" t="str">
        <f>+VLOOKUP($L565,Data_Validation!$A:$D,3,0)</f>
        <v>carrosserie</v>
      </c>
      <c r="V565" s="152" t="str">
        <f>+VLOOKUP($L565,Data_Validation!$A:$D,4,0)</f>
        <v>services extérieurs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1201</v>
      </c>
      <c r="B566" s="718" t="s">
        <v>796</v>
      </c>
      <c r="C566" s="720">
        <v>1671.37</v>
      </c>
      <c r="D566" s="720">
        <v>70.63</v>
      </c>
      <c r="E566" s="720">
        <v>1742</v>
      </c>
      <c r="F566" s="718" t="s">
        <v>2230</v>
      </c>
      <c r="G566" s="718" t="s">
        <v>2268</v>
      </c>
      <c r="H566" s="673"/>
      <c r="I566" s="672"/>
      <c r="J566" s="672"/>
      <c r="K566" s="672"/>
      <c r="L566" s="149" t="str">
        <f t="shared" si="40"/>
        <v>71C</v>
      </c>
      <c r="M566" s="150" t="str">
        <f t="shared" si="41"/>
        <v>FRAIS REPRESENTATION - USAGE BMW</v>
      </c>
      <c r="N566" s="151">
        <f>+IF(OR($Q566=Parametres!$G$2,$Q566=Parametres!$G$3),I566,C566)</f>
        <v>1671.37</v>
      </c>
      <c r="O566" s="151">
        <f>+IF(OR($Q566=Parametres!$G$2,$Q566=Parametres!$G$3),J566,D566)</f>
        <v>70.63</v>
      </c>
      <c r="P566" s="151">
        <f>+IF(OR($Q566=Parametres!$G$2,$Q566=Parametres!$G$3),K566,E566)</f>
        <v>1742</v>
      </c>
      <c r="Q566" s="150" t="str">
        <f t="shared" si="42"/>
        <v>7-Dépenses</v>
      </c>
      <c r="R566" s="149" t="str">
        <f t="shared" si="43"/>
        <v>71</v>
      </c>
      <c r="S566" s="150">
        <f t="shared" si="44"/>
        <v>0</v>
      </c>
      <c r="T566" s="152" t="str">
        <f>+VLOOKUP($L566,Data_Validation!$A:$D,1,0)</f>
        <v>71C</v>
      </c>
      <c r="U566" s="152" t="str">
        <f>+VLOOKUP($L566,Data_Validation!$A:$D,3,0)</f>
        <v>Véhicules usagés</v>
      </c>
      <c r="V566" s="152" t="str">
        <f>+VLOOKUP($L566,Data_Validation!$A:$D,4,0)</f>
        <v>Frais de déplacement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1655</v>
      </c>
      <c r="B567" s="718" t="s">
        <v>818</v>
      </c>
      <c r="C567" s="720">
        <v>1725.55</v>
      </c>
      <c r="D567" s="720">
        <v>55.24</v>
      </c>
      <c r="E567" s="720">
        <v>1780.79</v>
      </c>
      <c r="F567" s="718" t="s">
        <v>2230</v>
      </c>
      <c r="G567" s="718" t="s">
        <v>2264</v>
      </c>
      <c r="H567" s="673"/>
      <c r="I567" s="672"/>
      <c r="J567" s="672"/>
      <c r="K567" s="672"/>
      <c r="L567" s="149" t="str">
        <f t="shared" si="40"/>
        <v>78A</v>
      </c>
      <c r="M567" s="150" t="str">
        <f t="shared" si="41"/>
        <v>TRANSPORT - NEUF BMW</v>
      </c>
      <c r="N567" s="151">
        <f>+IF(OR($Q567=Parametres!$G$2,$Q567=Parametres!$G$3),I567,C567)</f>
        <v>1725.55</v>
      </c>
      <c r="O567" s="151">
        <f>+IF(OR($Q567=Parametres!$G$2,$Q567=Parametres!$G$3),J567,D567)</f>
        <v>55.24</v>
      </c>
      <c r="P567" s="151">
        <f>+IF(OR($Q567=Parametres!$G$2,$Q567=Parametres!$G$3),K567,E567)</f>
        <v>1780.79</v>
      </c>
      <c r="Q567" s="150" t="str">
        <f t="shared" si="42"/>
        <v>7-Dépenses</v>
      </c>
      <c r="R567" s="149" t="str">
        <f t="shared" si="43"/>
        <v>78</v>
      </c>
      <c r="S567" s="150">
        <f t="shared" si="44"/>
        <v>0</v>
      </c>
      <c r="T567" s="152" t="str">
        <f>+VLOOKUP($L567,Data_Validation!$A:$D,1,0)</f>
        <v>78A</v>
      </c>
      <c r="U567" s="152" t="str">
        <f>+VLOOKUP($L567,Data_Validation!$A:$D,3,0)</f>
        <v>Véhicules neufs</v>
      </c>
      <c r="V567" s="152" t="str">
        <f>+VLOOKUP($L567,Data_Validation!$A:$D,4,0)</f>
        <v>Frais postaux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1145</v>
      </c>
      <c r="B568" s="718" t="s">
        <v>889</v>
      </c>
      <c r="C568" s="720">
        <v>2024.79</v>
      </c>
      <c r="D568" s="720">
        <v>1301.5899999999999</v>
      </c>
      <c r="E568" s="720">
        <v>3326.38</v>
      </c>
      <c r="F568" s="718" t="s">
        <v>2230</v>
      </c>
      <c r="G568" s="718" t="s">
        <v>2272</v>
      </c>
      <c r="H568" s="607"/>
      <c r="I568" s="153"/>
      <c r="J568" s="153"/>
      <c r="K568" s="153"/>
      <c r="L568" s="149" t="str">
        <f t="shared" si="40"/>
        <v>76A</v>
      </c>
      <c r="M568" s="150" t="str">
        <f t="shared" si="41"/>
        <v>FORMATION - NEUF BMW</v>
      </c>
      <c r="N568" s="151">
        <f>+IF(OR($Q568=Parametres!$G$2,$Q568=Parametres!$G$3),I568,C568)</f>
        <v>2024.79</v>
      </c>
      <c r="O568" s="151">
        <f>+IF(OR($Q568=Parametres!$G$2,$Q568=Parametres!$G$3),J568,D568)</f>
        <v>1301.5899999999999</v>
      </c>
      <c r="P568" s="151">
        <f>+IF(OR($Q568=Parametres!$G$2,$Q568=Parametres!$G$3),K568,E568)</f>
        <v>3326.38</v>
      </c>
      <c r="Q568" s="150" t="str">
        <f t="shared" si="42"/>
        <v>7-Dépenses</v>
      </c>
      <c r="R568" s="149" t="str">
        <f t="shared" si="43"/>
        <v>76</v>
      </c>
      <c r="S568" s="150">
        <f t="shared" si="44"/>
        <v>0</v>
      </c>
      <c r="T568" s="152" t="str">
        <f>+VLOOKUP($L568,Data_Validation!$A:$D,1,0)</f>
        <v>76A</v>
      </c>
      <c r="U568" s="152" t="str">
        <f>+VLOOKUP($L568,Data_Validation!$A:$D,3,0)</f>
        <v>Véhicules neufs</v>
      </c>
      <c r="V568" s="152" t="str">
        <f>+VLOOKUP($L568,Data_Validation!$A:$D,4,0)</f>
        <v>Formation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1241</v>
      </c>
      <c r="B569" s="718" t="s">
        <v>854</v>
      </c>
      <c r="C569" s="720">
        <v>2155.15</v>
      </c>
      <c r="D569" s="720">
        <v>214.63</v>
      </c>
      <c r="E569" s="720">
        <v>2369.7800000000002</v>
      </c>
      <c r="F569" s="718" t="s">
        <v>2230</v>
      </c>
      <c r="G569" s="718" t="s">
        <v>2286</v>
      </c>
      <c r="H569" s="607"/>
      <c r="I569" s="153"/>
      <c r="J569" s="153"/>
      <c r="K569" s="153"/>
      <c r="L569" s="149" t="str">
        <f t="shared" si="40"/>
        <v>69I</v>
      </c>
      <c r="M569" s="150" t="str">
        <f t="shared" si="41"/>
        <v>FRAIS INFORMATIQUE - CARROSSERIE BMW</v>
      </c>
      <c r="N569" s="151">
        <f>+IF(OR($Q569=Parametres!$G$2,$Q569=Parametres!$G$3),I569,C569)</f>
        <v>2155.15</v>
      </c>
      <c r="O569" s="151">
        <f>+IF(OR($Q569=Parametres!$G$2,$Q569=Parametres!$G$3),J569,D569)</f>
        <v>214.63</v>
      </c>
      <c r="P569" s="151">
        <f>+IF(OR($Q569=Parametres!$G$2,$Q569=Parametres!$G$3),K569,E569)</f>
        <v>2369.7800000000002</v>
      </c>
      <c r="Q569" s="150" t="str">
        <f t="shared" si="42"/>
        <v>7-Dépenses</v>
      </c>
      <c r="R569" s="149" t="str">
        <f t="shared" si="43"/>
        <v>69</v>
      </c>
      <c r="S569" s="150">
        <f t="shared" si="44"/>
        <v>0</v>
      </c>
      <c r="T569" s="152" t="str">
        <f>+VLOOKUP($L569,Data_Validation!$A:$D,1,0)</f>
        <v>69I</v>
      </c>
      <c r="U569" s="152" t="str">
        <f>+VLOOKUP($L569,Data_Validation!$A:$D,3,0)</f>
        <v>carrosserie</v>
      </c>
      <c r="V569" s="152" t="str">
        <f>+VLOOKUP($L569,Data_Validation!$A:$D,4,0)</f>
        <v>informatique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1671</v>
      </c>
      <c r="B570" s="718" t="s">
        <v>834</v>
      </c>
      <c r="C570" s="720">
        <v>2313.2199999999998</v>
      </c>
      <c r="D570" s="720">
        <v>387.42</v>
      </c>
      <c r="E570" s="720">
        <v>2700.64</v>
      </c>
      <c r="F570" s="718" t="s">
        <v>2230</v>
      </c>
      <c r="G570" s="718" t="s">
        <v>2261</v>
      </c>
      <c r="H570" s="673"/>
      <c r="I570" s="672"/>
      <c r="J570" s="672"/>
      <c r="K570" s="672"/>
      <c r="L570" s="149" t="str">
        <f t="shared" si="40"/>
        <v>75A</v>
      </c>
      <c r="M570" s="508" t="str">
        <f t="shared" si="41"/>
        <v>TELEPHONE - NEUF BMW</v>
      </c>
      <c r="N570" s="151">
        <f>+IF(OR($Q570=Parametres!$G$2,$Q570=Parametres!$G$3),I570,C570)</f>
        <v>2313.2199999999998</v>
      </c>
      <c r="O570" s="509">
        <f>+IF(OR($Q570=Parametres!$G$2,$Q570=Parametres!$G$3),J570,D570)</f>
        <v>387.42</v>
      </c>
      <c r="P570" s="510">
        <f>+IF(OR($Q570=Parametres!$G$2,$Q570=Parametres!$G$3),K570,E570)</f>
        <v>2700.64</v>
      </c>
      <c r="Q570" s="150" t="str">
        <f t="shared" si="42"/>
        <v>7-Dépenses</v>
      </c>
      <c r="R570" s="149" t="str">
        <f t="shared" si="43"/>
        <v>75</v>
      </c>
      <c r="S570" s="150">
        <f t="shared" si="44"/>
        <v>0</v>
      </c>
      <c r="T570" s="152" t="str">
        <f>+VLOOKUP($L570,Data_Validation!$A:$D,1,0)</f>
        <v>75A</v>
      </c>
      <c r="U570" s="152" t="str">
        <f>+VLOOKUP($L570,Data_Validation!$A:$D,3,0)</f>
        <v>Véhicules neufs</v>
      </c>
      <c r="V570" s="152" t="str">
        <f>+VLOOKUP($L570,Data_Validation!$A:$D,4,0)</f>
        <v>Téléphone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1660</v>
      </c>
      <c r="B571" s="718" t="s">
        <v>817</v>
      </c>
      <c r="C571" s="720">
        <v>2458.92</v>
      </c>
      <c r="D571" s="720">
        <v>237.24</v>
      </c>
      <c r="E571" s="720">
        <v>2696.16</v>
      </c>
      <c r="F571" s="718" t="s">
        <v>2230</v>
      </c>
      <c r="G571" s="718" t="s">
        <v>2274</v>
      </c>
      <c r="H571" s="673"/>
      <c r="I571" s="673"/>
      <c r="J571" s="673"/>
      <c r="K571" s="673"/>
      <c r="L571" s="149" t="str">
        <f t="shared" si="40"/>
        <v>89C</v>
      </c>
      <c r="M571" s="150" t="str">
        <f t="shared" si="41"/>
        <v>TAXES &amp; PERMIS - USAGE BMW</v>
      </c>
      <c r="N571" s="151">
        <f>+IF(OR($Q571=Parametres!$G$2,$Q571=Parametres!$G$3),I571,C571)</f>
        <v>2458.92</v>
      </c>
      <c r="O571" s="504">
        <f>+IF(OR($Q571=Parametres!$G$2,$Q571=Parametres!$G$3),J571,D571)</f>
        <v>237.24</v>
      </c>
      <c r="P571" s="151">
        <f>+IF(OR($Q571=Parametres!$G$2,$Q571=Parametres!$G$3),K571,E571)</f>
        <v>2696.16</v>
      </c>
      <c r="Q571" s="150" t="str">
        <f t="shared" si="42"/>
        <v>7-Dépenses</v>
      </c>
      <c r="R571" s="149" t="str">
        <f t="shared" si="43"/>
        <v>89</v>
      </c>
      <c r="S571" s="150">
        <f t="shared" si="44"/>
        <v>0</v>
      </c>
      <c r="T571" s="152" t="str">
        <f>+VLOOKUP($L571,Data_Validation!$A:$D,1,0)</f>
        <v>89C</v>
      </c>
      <c r="U571" s="152" t="str">
        <f>+VLOOKUP($L571,Data_Validation!$A:$D,3,0)</f>
        <v>Véhicules usagés</v>
      </c>
      <c r="V571" s="152" t="str">
        <f>+VLOOKUP($L571,Data_Validation!$A:$D,4,0)</f>
        <v>Taxes d`affaires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1155</v>
      </c>
      <c r="B572" s="718" t="s">
        <v>847</v>
      </c>
      <c r="C572" s="720">
        <v>2498.96</v>
      </c>
      <c r="D572" s="720">
        <v>232.6</v>
      </c>
      <c r="E572" s="720">
        <v>2731.56</v>
      </c>
      <c r="F572" s="718" t="s">
        <v>2230</v>
      </c>
      <c r="G572" s="718" t="s">
        <v>2273</v>
      </c>
      <c r="H572" s="673"/>
      <c r="I572" s="672"/>
      <c r="J572" s="672"/>
      <c r="K572" s="672"/>
      <c r="L572" s="149" t="str">
        <f t="shared" si="40"/>
        <v>77G</v>
      </c>
      <c r="M572" s="150" t="str">
        <f t="shared" si="41"/>
        <v>FRAIS DIVERS - PIECE BMW</v>
      </c>
      <c r="N572" s="151">
        <f>+IF(OR($Q572=Parametres!$G$2,$Q572=Parametres!$G$3),I572,C572)</f>
        <v>2498.96</v>
      </c>
      <c r="O572" s="151">
        <f>+IF(OR($Q572=Parametres!$G$2,$Q572=Parametres!$G$3),J572,D572)</f>
        <v>232.6</v>
      </c>
      <c r="P572" s="151">
        <f>+IF(OR($Q572=Parametres!$G$2,$Q572=Parametres!$G$3),K572,E572)</f>
        <v>2731.56</v>
      </c>
      <c r="Q572" s="150" t="str">
        <f t="shared" si="42"/>
        <v>7-Dépenses</v>
      </c>
      <c r="R572" s="149" t="str">
        <f t="shared" si="43"/>
        <v>77</v>
      </c>
      <c r="S572" s="150">
        <f t="shared" si="44"/>
        <v>0</v>
      </c>
      <c r="T572" s="152" t="str">
        <f>+VLOOKUP($L572,Data_Validation!$A:$D,1,0)</f>
        <v>77G</v>
      </c>
      <c r="U572" s="152" t="str">
        <f>+VLOOKUP($L572,Data_Validation!$A:$D,3,0)</f>
        <v>pièces</v>
      </c>
      <c r="V572" s="152" t="str">
        <f>+VLOOKUP($L572,Data_Validation!$A:$D,4,0)</f>
        <v>divers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1180</v>
      </c>
      <c r="B573" s="718" t="s">
        <v>778</v>
      </c>
      <c r="C573" s="720">
        <v>2620.4299999999998</v>
      </c>
      <c r="D573" s="720">
        <v>141.25</v>
      </c>
      <c r="E573" s="720">
        <v>2761.68</v>
      </c>
      <c r="F573" s="718" t="s">
        <v>2230</v>
      </c>
      <c r="G573" s="718" t="s">
        <v>2268</v>
      </c>
      <c r="H573" s="673"/>
      <c r="I573" s="672"/>
      <c r="J573" s="672"/>
      <c r="K573" s="672"/>
      <c r="L573" s="149" t="str">
        <f t="shared" si="40"/>
        <v>71G</v>
      </c>
      <c r="M573" s="150" t="str">
        <f t="shared" si="41"/>
        <v>FRAIS REPRESENTATION - PIECE BMW</v>
      </c>
      <c r="N573" s="151">
        <f>+IF(OR($Q573=Parametres!$G$2,$Q573=Parametres!$G$3),I573,C573)</f>
        <v>2620.4299999999998</v>
      </c>
      <c r="O573" s="506">
        <f>+IF(OR($Q573=Parametres!$G$2,$Q573=Parametres!$G$3),J573,D573)</f>
        <v>141.25</v>
      </c>
      <c r="P573" s="151">
        <f>+IF(OR($Q573=Parametres!$G$2,$Q573=Parametres!$G$3),K573,E573)</f>
        <v>2761.68</v>
      </c>
      <c r="Q573" s="150" t="str">
        <f t="shared" si="42"/>
        <v>7-Dépenses</v>
      </c>
      <c r="R573" s="149" t="str">
        <f t="shared" si="43"/>
        <v>71</v>
      </c>
      <c r="S573" s="150">
        <f t="shared" si="44"/>
        <v>0</v>
      </c>
      <c r="T573" s="152" t="str">
        <f>+VLOOKUP($L573,Data_Validation!$A:$D,1,0)</f>
        <v>71G</v>
      </c>
      <c r="U573" s="152" t="str">
        <f>+VLOOKUP($L573,Data_Validation!$A:$D,3,0)</f>
        <v>pièces</v>
      </c>
      <c r="V573" s="152" t="str">
        <f>+VLOOKUP($L573,Data_Validation!$A:$D,4,0)</f>
        <v>Frais de déplacement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1644</v>
      </c>
      <c r="B574" s="718" t="s">
        <v>1645</v>
      </c>
      <c r="C574" s="720">
        <v>2677.5</v>
      </c>
      <c r="D574" s="720">
        <v>267.75</v>
      </c>
      <c r="E574" s="720">
        <v>2945.25</v>
      </c>
      <c r="F574" s="718" t="s">
        <v>2230</v>
      </c>
      <c r="G574" s="718" t="s">
        <v>2287</v>
      </c>
      <c r="H574" s="673"/>
      <c r="I574" s="672"/>
      <c r="J574" s="672"/>
      <c r="K574" s="672"/>
      <c r="L574" s="149" t="str">
        <f t="shared" si="40"/>
        <v>81I</v>
      </c>
      <c r="M574" s="150" t="str">
        <f t="shared" si="41"/>
        <v>AMORT. LOC. - CARROSSERIE BMW</v>
      </c>
      <c r="N574" s="151">
        <f>+IF(OR($Q574=Parametres!$G$2,$Q574=Parametres!$G$3),I574,C574)</f>
        <v>2677.5</v>
      </c>
      <c r="O574" s="151">
        <f>+IF(OR($Q574=Parametres!$G$2,$Q574=Parametres!$G$3),J574,D574)</f>
        <v>267.75</v>
      </c>
      <c r="P574" s="151">
        <f>+IF(OR($Q574=Parametres!$G$2,$Q574=Parametres!$G$3),K574,E574)</f>
        <v>2945.25</v>
      </c>
      <c r="Q574" s="150" t="str">
        <f t="shared" si="42"/>
        <v>7-Dépenses</v>
      </c>
      <c r="R574" s="149" t="str">
        <f t="shared" si="43"/>
        <v>81</v>
      </c>
      <c r="S574" s="150">
        <f t="shared" si="44"/>
        <v>0</v>
      </c>
      <c r="T574" s="152" t="str">
        <f>+VLOOKUP($L574,Data_Validation!$A:$D,1,0)</f>
        <v>81I</v>
      </c>
      <c r="U574" s="152" t="str">
        <f>+VLOOKUP($L574,Data_Validation!$A:$D,3,0)</f>
        <v>carrosserie</v>
      </c>
      <c r="V574" s="152" t="str">
        <f>+VLOOKUP($L574,Data_Validation!$A:$D,4,0)</f>
        <v>Amortissement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1656</v>
      </c>
      <c r="B575" s="718" t="s">
        <v>832</v>
      </c>
      <c r="C575" s="720">
        <v>2828.15</v>
      </c>
      <c r="D575" s="720">
        <v>216.21</v>
      </c>
      <c r="E575" s="720">
        <v>3044.36</v>
      </c>
      <c r="F575" s="718" t="s">
        <v>2230</v>
      </c>
      <c r="G575" s="718" t="s">
        <v>2281</v>
      </c>
      <c r="H575" s="673"/>
      <c r="I575" s="672"/>
      <c r="J575" s="672"/>
      <c r="K575" s="672"/>
      <c r="L575" s="149" t="str">
        <f t="shared" si="40"/>
        <v>25I</v>
      </c>
      <c r="M575" s="150" t="str">
        <f t="shared" si="41"/>
        <v>TAXES PAYE - CARROSSERIE BMW</v>
      </c>
      <c r="N575" s="151">
        <f>+IF(OR($Q575=Parametres!$G$2,$Q575=Parametres!$G$3),I575,C575)</f>
        <v>2828.15</v>
      </c>
      <c r="O575" s="151">
        <f>+IF(OR($Q575=Parametres!$G$2,$Q575=Parametres!$G$3),J575,D575)</f>
        <v>216.21</v>
      </c>
      <c r="P575" s="151">
        <f>+IF(OR($Q575=Parametres!$G$2,$Q575=Parametres!$G$3),K575,E575)</f>
        <v>3044.36</v>
      </c>
      <c r="Q575" s="150" t="str">
        <f t="shared" si="42"/>
        <v>7-Dépenses</v>
      </c>
      <c r="R575" s="149" t="str">
        <f t="shared" si="43"/>
        <v>25</v>
      </c>
      <c r="S575" s="150">
        <f t="shared" si="44"/>
        <v>0</v>
      </c>
      <c r="T575" s="152" t="str">
        <f>+VLOOKUP($L575,Data_Validation!$A:$D,1,0)</f>
        <v>25I</v>
      </c>
      <c r="U575" s="152" t="str">
        <f>+VLOOKUP($L575,Data_Validation!$A:$D,3,0)</f>
        <v>Carrosserie</v>
      </c>
      <c r="V575" s="152" t="str">
        <f>+VLOOKUP($L575,Data_Validation!$A:$D,4,0)</f>
        <v>Déduction à la source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1739</v>
      </c>
      <c r="B576" s="718" t="s">
        <v>830</v>
      </c>
      <c r="C576" s="720">
        <v>2937.24</v>
      </c>
      <c r="D576" s="720">
        <v>256.94</v>
      </c>
      <c r="E576" s="720">
        <v>3194.18</v>
      </c>
      <c r="F576" s="718" t="s">
        <v>2230</v>
      </c>
      <c r="G576" s="718" t="s">
        <v>2266</v>
      </c>
      <c r="H576" s="609"/>
      <c r="I576" s="608"/>
      <c r="J576" s="608"/>
      <c r="K576" s="608"/>
      <c r="L576" s="149" t="str">
        <f t="shared" si="40"/>
        <v>29G</v>
      </c>
      <c r="M576" s="150" t="str">
        <f t="shared" si="41"/>
        <v>FONDS PENSIONS - PIECE BMW</v>
      </c>
      <c r="N576" s="151">
        <f>+IF(OR($Q576=Parametres!$G$2,$Q576=Parametres!$G$3),I576,C576)</f>
        <v>2937.24</v>
      </c>
      <c r="O576" s="504">
        <f>+IF(OR($Q576=Parametres!$G$2,$Q576=Parametres!$G$3),J576,D576)</f>
        <v>256.94</v>
      </c>
      <c r="P576" s="151">
        <f>+IF(OR($Q576=Parametres!$G$2,$Q576=Parametres!$G$3),K576,E576)</f>
        <v>3194.18</v>
      </c>
      <c r="Q576" s="150" t="str">
        <f t="shared" si="42"/>
        <v>7-Dépenses</v>
      </c>
      <c r="R576" s="149" t="str">
        <f t="shared" si="43"/>
        <v>29</v>
      </c>
      <c r="S576" s="150">
        <f t="shared" si="44"/>
        <v>0</v>
      </c>
      <c r="T576" s="152" t="str">
        <f>+VLOOKUP($L576,Data_Validation!$A:$D,1,0)</f>
        <v>29G</v>
      </c>
      <c r="U576" s="152" t="str">
        <f>+VLOOKUP($L576,Data_Validation!$A:$D,3,0)</f>
        <v>Pièces</v>
      </c>
      <c r="V576" s="152" t="str">
        <f>+VLOOKUP($L576,Data_Validation!$A:$D,4,0)</f>
        <v>csst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1630</v>
      </c>
      <c r="B577" s="718" t="s">
        <v>799</v>
      </c>
      <c r="C577" s="719">
        <v>3042.7</v>
      </c>
      <c r="D577" s="719">
        <v>304.27</v>
      </c>
      <c r="E577" s="719">
        <v>3346.97</v>
      </c>
      <c r="F577" s="718" t="s">
        <v>2230</v>
      </c>
      <c r="G577" s="718" t="s">
        <v>2289</v>
      </c>
      <c r="H577" s="719"/>
      <c r="I577" s="720"/>
      <c r="J577" s="720"/>
      <c r="K577" s="720"/>
      <c r="L577" s="149" t="str">
        <f t="shared" si="40"/>
        <v>21I</v>
      </c>
      <c r="M577" s="150" t="str">
        <f t="shared" si="41"/>
        <v>SAL. SUPERVISION - CARROSSERIE BMW</v>
      </c>
      <c r="N577" s="151">
        <f>+IF(OR($Q577=Parametres!$G$2,$Q577=Parametres!$G$3),I577,C577)</f>
        <v>3042.7</v>
      </c>
      <c r="O577" s="151">
        <f>+IF(OR($Q577=Parametres!$G$2,$Q577=Parametres!$G$3),J577,D577)</f>
        <v>304.27</v>
      </c>
      <c r="P577" s="151">
        <f>+IF(OR($Q577=Parametres!$G$2,$Q577=Parametres!$G$3),K577,E577)</f>
        <v>3346.97</v>
      </c>
      <c r="Q577" s="150" t="str">
        <f t="shared" si="42"/>
        <v>7-Dépenses</v>
      </c>
      <c r="R577" s="149" t="str">
        <f t="shared" si="43"/>
        <v>21</v>
      </c>
      <c r="S577" s="150">
        <f t="shared" si="44"/>
        <v>0</v>
      </c>
      <c r="T577" s="152" t="str">
        <f>+VLOOKUP($L577,Data_Validation!$A:$D,1,0)</f>
        <v>21I</v>
      </c>
      <c r="U577" s="152" t="str">
        <f>+VLOOKUP($L577,Data_Validation!$A:$D,3,0)</f>
        <v>Carrosserie</v>
      </c>
      <c r="V577" s="152" t="str">
        <f>+VLOOKUP($L577,Data_Validation!$A:$D,4,0)</f>
        <v>Salaires cadres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1662</v>
      </c>
      <c r="B578" s="718" t="s">
        <v>829</v>
      </c>
      <c r="C578" s="720">
        <v>3093.24</v>
      </c>
      <c r="D578" s="720">
        <v>227.93</v>
      </c>
      <c r="E578" s="720">
        <v>3321.17</v>
      </c>
      <c r="F578" s="718" t="s">
        <v>2230</v>
      </c>
      <c r="G578" s="718" t="s">
        <v>2271</v>
      </c>
      <c r="H578" s="673"/>
      <c r="I578" s="673"/>
      <c r="J578" s="673"/>
      <c r="K578" s="673"/>
      <c r="L578" s="149" t="str">
        <f t="shared" ref="L578:L641" si="45">+B578</f>
        <v>60G</v>
      </c>
      <c r="M578" s="150" t="str">
        <f t="shared" ref="M578:M641" si="46">+A578</f>
        <v>FOURNITURES BUREAU - PIECE BMW</v>
      </c>
      <c r="N578" s="151">
        <f>+IF(OR($Q578=Parametres!$G$2,$Q578=Parametres!$G$3),I578,C578)</f>
        <v>3093.24</v>
      </c>
      <c r="O578" s="151">
        <f>+IF(OR($Q578=Parametres!$G$2,$Q578=Parametres!$G$3),J578,D578)</f>
        <v>227.93</v>
      </c>
      <c r="P578" s="151">
        <f>+IF(OR($Q578=Parametres!$G$2,$Q578=Parametres!$G$3),K578,E578)</f>
        <v>3321.17</v>
      </c>
      <c r="Q578" s="150" t="str">
        <f t="shared" ref="Q578:Q641" si="47">+F578</f>
        <v>7-Dépenses</v>
      </c>
      <c r="R578" s="149" t="str">
        <f t="shared" ref="R578:R641" si="48">+G578</f>
        <v>60</v>
      </c>
      <c r="S578" s="150">
        <f t="shared" ref="S578:S641" si="49">+H578</f>
        <v>0</v>
      </c>
      <c r="T578" s="152" t="str">
        <f>+VLOOKUP($L578,Data_Validation!$A:$D,1,0)</f>
        <v>60G</v>
      </c>
      <c r="U578" s="152" t="str">
        <f>+VLOOKUP($L578,Data_Validation!$A:$D,3,0)</f>
        <v>pièces</v>
      </c>
      <c r="V578" s="152" t="str">
        <f>+VLOOKUP($L578,Data_Validation!$A:$D,4,0)</f>
        <v>papeterie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1460</v>
      </c>
      <c r="B579" s="718" t="s">
        <v>797</v>
      </c>
      <c r="C579" s="720">
        <v>3290.44</v>
      </c>
      <c r="D579" s="720">
        <v>0</v>
      </c>
      <c r="E579" s="720">
        <v>3290.44</v>
      </c>
      <c r="F579" s="718" t="s">
        <v>2230</v>
      </c>
      <c r="G579" s="718" t="s">
        <v>2267</v>
      </c>
      <c r="H579" s="673"/>
      <c r="I579" s="672"/>
      <c r="J579" s="672"/>
      <c r="K579" s="672"/>
      <c r="L579" s="149" t="str">
        <f t="shared" si="45"/>
        <v>63G</v>
      </c>
      <c r="M579" s="150" t="str">
        <f t="shared" si="46"/>
        <v>AJUST. GARANTIE - PIECE BMW</v>
      </c>
      <c r="N579" s="151">
        <f>+IF(OR($Q579=Parametres!$G$2,$Q579=Parametres!$G$3),I579,C579)</f>
        <v>3290.44</v>
      </c>
      <c r="O579" s="151">
        <f>+IF(OR($Q579=Parametres!$G$2,$Q579=Parametres!$G$3),J579,D579)</f>
        <v>0</v>
      </c>
      <c r="P579" s="151">
        <f>+IF(OR($Q579=Parametres!$G$2,$Q579=Parametres!$G$3),K579,E579)</f>
        <v>3290.44</v>
      </c>
      <c r="Q579" s="150" t="str">
        <f t="shared" si="47"/>
        <v>7-Dépenses</v>
      </c>
      <c r="R579" s="149" t="str">
        <f t="shared" si="48"/>
        <v>63</v>
      </c>
      <c r="S579" s="150">
        <f t="shared" si="49"/>
        <v>0</v>
      </c>
      <c r="T579" s="152" t="str">
        <f>+VLOOKUP($L579,Data_Validation!$A:$D,1,0)</f>
        <v>63G</v>
      </c>
      <c r="U579" s="152" t="str">
        <f>+VLOOKUP($L579,Data_Validation!$A:$D,3,0)</f>
        <v>pièces</v>
      </c>
      <c r="V579" s="152" t="str">
        <f>+VLOOKUP($L579,Data_Validation!$A:$D,4,0)</f>
        <v>service gratuit 2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1675</v>
      </c>
      <c r="B580" s="718" t="s">
        <v>825</v>
      </c>
      <c r="C580" s="720">
        <v>3352.68</v>
      </c>
      <c r="D580" s="720">
        <v>333.55</v>
      </c>
      <c r="E580" s="720">
        <v>3686.23</v>
      </c>
      <c r="F580" s="718" t="s">
        <v>2230</v>
      </c>
      <c r="G580" s="718" t="s">
        <v>2290</v>
      </c>
      <c r="H580" s="673"/>
      <c r="I580" s="672"/>
      <c r="J580" s="672"/>
      <c r="K580" s="672"/>
      <c r="L580" s="149" t="str">
        <f t="shared" si="45"/>
        <v>20I</v>
      </c>
      <c r="M580" s="150" t="str">
        <f t="shared" si="46"/>
        <v>SAL. PROPRIETAIRE - CARROSSERIE BMW</v>
      </c>
      <c r="N580" s="151">
        <f>+IF(OR($Q580=Parametres!$G$2,$Q580=Parametres!$G$3),I580,C580)</f>
        <v>3352.68</v>
      </c>
      <c r="O580" s="151">
        <f>+IF(OR($Q580=Parametres!$G$2,$Q580=Parametres!$G$3),J580,D580)</f>
        <v>333.55</v>
      </c>
      <c r="P580" s="151">
        <f>+IF(OR($Q580=Parametres!$G$2,$Q580=Parametres!$G$3),K580,E580)</f>
        <v>3686.23</v>
      </c>
      <c r="Q580" s="150" t="str">
        <f t="shared" si="47"/>
        <v>7-Dépenses</v>
      </c>
      <c r="R580" s="149" t="str">
        <f t="shared" si="48"/>
        <v>20</v>
      </c>
      <c r="S580" s="150">
        <f t="shared" si="49"/>
        <v>0</v>
      </c>
      <c r="T580" s="152" t="str">
        <f>+VLOOKUP($L580,Data_Validation!$A:$D,1,0)</f>
        <v>20I</v>
      </c>
      <c r="U580" s="152" t="str">
        <f>+VLOOKUP($L580,Data_Validation!$A:$D,3,0)</f>
        <v>Carrosserie</v>
      </c>
      <c r="V580" s="152" t="str">
        <f>+VLOOKUP($L580,Data_Validation!$A:$D,4,0)</f>
        <v>Salaires propriétaire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1654</v>
      </c>
      <c r="B581" s="718" t="s">
        <v>820</v>
      </c>
      <c r="C581" s="719">
        <v>3369.01</v>
      </c>
      <c r="D581" s="719">
        <v>351.44</v>
      </c>
      <c r="E581" s="719">
        <v>3720.45</v>
      </c>
      <c r="F581" s="718" t="s">
        <v>2230</v>
      </c>
      <c r="G581" s="718" t="s">
        <v>2288</v>
      </c>
      <c r="H581" s="719"/>
      <c r="I581" s="720"/>
      <c r="J581" s="720"/>
      <c r="K581" s="720"/>
      <c r="L581" s="149" t="str">
        <f t="shared" si="45"/>
        <v>22I</v>
      </c>
      <c r="M581" s="150" t="str">
        <f t="shared" si="46"/>
        <v>SAL. ADMIN. - CARROSSERIE BMW</v>
      </c>
      <c r="N581" s="151">
        <f>+IF(OR($Q581=Parametres!$G$2,$Q581=Parametres!$G$3),I581,C581)</f>
        <v>3369.01</v>
      </c>
      <c r="O581" s="151">
        <f>+IF(OR($Q581=Parametres!$G$2,$Q581=Parametres!$G$3),J581,D581)</f>
        <v>351.44</v>
      </c>
      <c r="P581" s="151">
        <f>+IF(OR($Q581=Parametres!$G$2,$Q581=Parametres!$G$3),K581,E581)</f>
        <v>3720.45</v>
      </c>
      <c r="Q581" s="150" t="str">
        <f t="shared" si="47"/>
        <v>7-Dépenses</v>
      </c>
      <c r="R581" s="149" t="str">
        <f t="shared" si="48"/>
        <v>22</v>
      </c>
      <c r="S581" s="150">
        <f t="shared" si="49"/>
        <v>0</v>
      </c>
      <c r="T581" s="152" t="str">
        <f>+VLOOKUP($L581,Data_Validation!$A:$D,1,0)</f>
        <v>22I</v>
      </c>
      <c r="U581" s="152" t="str">
        <f>+VLOOKUP($L581,Data_Validation!$A:$D,3,0)</f>
        <v>Carrosserie</v>
      </c>
      <c r="V581" s="152" t="str">
        <f>+VLOOKUP($L581,Data_Validation!$A:$D,4,0)</f>
        <v>Salaires commis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1670</v>
      </c>
      <c r="B582" s="718" t="s">
        <v>910</v>
      </c>
      <c r="C582" s="719">
        <v>3420</v>
      </c>
      <c r="D582" s="719">
        <v>342</v>
      </c>
      <c r="E582" s="719">
        <v>3762</v>
      </c>
      <c r="F582" s="718" t="s">
        <v>2230</v>
      </c>
      <c r="G582" s="718" t="s">
        <v>2270</v>
      </c>
      <c r="H582" s="719"/>
      <c r="I582" s="720"/>
      <c r="J582" s="720"/>
      <c r="K582" s="720"/>
      <c r="L582" s="149" t="str">
        <f t="shared" si="45"/>
        <v>23A</v>
      </c>
      <c r="M582" s="150" t="str">
        <f t="shared" si="46"/>
        <v>SAL. AUTRES - NEUF BMW</v>
      </c>
      <c r="N582" s="151">
        <f>+IF(OR($Q582=Parametres!$G$2,$Q582=Parametres!$G$3),I582,C582)</f>
        <v>3420</v>
      </c>
      <c r="O582" s="151">
        <f>+IF(OR($Q582=Parametres!$G$2,$Q582=Parametres!$G$3),J582,D582)</f>
        <v>342</v>
      </c>
      <c r="P582" s="151">
        <f>+IF(OR($Q582=Parametres!$G$2,$Q582=Parametres!$G$3),K582,E582)</f>
        <v>3762</v>
      </c>
      <c r="Q582" s="150" t="str">
        <f t="shared" si="47"/>
        <v>7-Dépenses</v>
      </c>
      <c r="R582" s="149" t="str">
        <f t="shared" si="48"/>
        <v>23</v>
      </c>
      <c r="S582" s="150">
        <f t="shared" si="49"/>
        <v>0</v>
      </c>
      <c r="T582" s="152" t="str">
        <f>+VLOOKUP($L582,Data_Validation!$A:$D,1,0)</f>
        <v>23A</v>
      </c>
      <c r="U582" s="152" t="str">
        <f>+VLOOKUP($L582,Data_Validation!$A:$D,3,0)</f>
        <v>Véhicules neufs</v>
      </c>
      <c r="V582" s="152" t="str">
        <f>+VLOOKUP($L582,Data_Validation!$A:$D,4,0)</f>
        <v>salaires autres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1638</v>
      </c>
      <c r="B583" s="718" t="s">
        <v>873</v>
      </c>
      <c r="C583" s="719">
        <v>3468.59</v>
      </c>
      <c r="D583" s="719">
        <v>817.42</v>
      </c>
      <c r="E583" s="719">
        <v>4286.01</v>
      </c>
      <c r="F583" s="718" t="s">
        <v>2230</v>
      </c>
      <c r="G583" s="718" t="s">
        <v>2259</v>
      </c>
      <c r="H583" s="719"/>
      <c r="I583" s="720"/>
      <c r="J583" s="720"/>
      <c r="K583" s="720"/>
      <c r="L583" s="149" t="str">
        <f t="shared" si="45"/>
        <v>68G</v>
      </c>
      <c r="M583" s="150" t="str">
        <f t="shared" si="46"/>
        <v>TRAV. GRACIEUX - PIECE BMW</v>
      </c>
      <c r="N583" s="151">
        <f>+IF(OR($Q583=Parametres!$G$2,$Q583=Parametres!$G$3),I583,C583)</f>
        <v>3468.59</v>
      </c>
      <c r="O583" s="151">
        <f>+IF(OR($Q583=Parametres!$G$2,$Q583=Parametres!$G$3),J583,D583)</f>
        <v>817.42</v>
      </c>
      <c r="P583" s="151">
        <f>+IF(OR($Q583=Parametres!$G$2,$Q583=Parametres!$G$3),K583,E583)</f>
        <v>4286.01</v>
      </c>
      <c r="Q583" s="150" t="str">
        <f t="shared" si="47"/>
        <v>7-Dépenses</v>
      </c>
      <c r="R583" s="149" t="str">
        <f t="shared" si="48"/>
        <v>68</v>
      </c>
      <c r="S583" s="150">
        <f t="shared" si="49"/>
        <v>0</v>
      </c>
      <c r="T583" s="152" t="str">
        <f>+VLOOKUP($L583,Data_Validation!$A:$D,1,0)</f>
        <v>68G</v>
      </c>
      <c r="U583" s="152" t="str">
        <f>+VLOOKUP($L583,Data_Validation!$A:$D,3,0)</f>
        <v>pièces</v>
      </c>
      <c r="V583" s="152" t="str">
        <f>+VLOOKUP($L583,Data_Validation!$A:$D,4,0)</f>
        <v>service gratuit 2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1183</v>
      </c>
      <c r="B584" s="718" t="s">
        <v>687</v>
      </c>
      <c r="C584" s="720">
        <v>3585.61</v>
      </c>
      <c r="D584" s="720">
        <v>371.68</v>
      </c>
      <c r="E584" s="720">
        <v>3957.29</v>
      </c>
      <c r="F584" s="718" t="s">
        <v>2230</v>
      </c>
      <c r="G584" s="718" t="s">
        <v>2291</v>
      </c>
      <c r="H584" s="673"/>
      <c r="I584" s="672"/>
      <c r="J584" s="672"/>
      <c r="K584" s="672"/>
      <c r="L584" s="149" t="str">
        <f t="shared" si="45"/>
        <v>90E</v>
      </c>
      <c r="M584" s="150" t="str">
        <f t="shared" si="46"/>
        <v>REP. EQUIPEMENT - SERV. BMW</v>
      </c>
      <c r="N584" s="151">
        <f>+IF(OR($Q584=Parametres!$G$2,$Q584=Parametres!$G$3),I584,C584)</f>
        <v>3585.61</v>
      </c>
      <c r="O584" s="151">
        <f>+IF(OR($Q584=Parametres!$G$2,$Q584=Parametres!$G$3),J584,D584)</f>
        <v>371.68</v>
      </c>
      <c r="P584" s="151">
        <f>+IF(OR($Q584=Parametres!$G$2,$Q584=Parametres!$G$3),K584,E584)</f>
        <v>3957.29</v>
      </c>
      <c r="Q584" s="150" t="str">
        <f t="shared" si="47"/>
        <v>7-Dépenses</v>
      </c>
      <c r="R584" s="149" t="str">
        <f t="shared" si="48"/>
        <v>90</v>
      </c>
      <c r="S584" s="150">
        <f t="shared" si="49"/>
        <v>0</v>
      </c>
      <c r="T584" s="152" t="str">
        <f>+VLOOKUP($L584,Data_Validation!$A:$D,1,0)</f>
        <v>90E</v>
      </c>
      <c r="U584" s="152" t="str">
        <f>+VLOOKUP($L584,Data_Validation!$A:$D,3,0)</f>
        <v>Service</v>
      </c>
      <c r="V584" s="152" t="str">
        <f>+VLOOKUP($L584,Data_Validation!$A:$D,4,0)</f>
        <v>Réparation équipement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1668</v>
      </c>
      <c r="B585" s="718" t="s">
        <v>826</v>
      </c>
      <c r="C585" s="720">
        <v>3596.6</v>
      </c>
      <c r="D585" s="720">
        <v>278.7</v>
      </c>
      <c r="E585" s="720">
        <v>3875.3</v>
      </c>
      <c r="F585" s="718" t="s">
        <v>2230</v>
      </c>
      <c r="G585" s="718" t="s">
        <v>2271</v>
      </c>
      <c r="H585" s="666"/>
      <c r="I585" s="665"/>
      <c r="J585" s="665"/>
      <c r="K585" s="665"/>
      <c r="L585" s="149" t="str">
        <f t="shared" si="45"/>
        <v>60E</v>
      </c>
      <c r="M585" s="150" t="str">
        <f t="shared" si="46"/>
        <v>FOURNITURES BUREAU - SERV. BMW</v>
      </c>
      <c r="N585" s="151">
        <f>+IF(OR($Q585=Parametres!$G$2,$Q585=Parametres!$G$3),I585,C585)</f>
        <v>3596.6</v>
      </c>
      <c r="O585" s="151">
        <f>+IF(OR($Q585=Parametres!$G$2,$Q585=Parametres!$G$3),J585,D585)</f>
        <v>278.7</v>
      </c>
      <c r="P585" s="151">
        <f>+IF(OR($Q585=Parametres!$G$2,$Q585=Parametres!$G$3),K585,E585)</f>
        <v>3875.3</v>
      </c>
      <c r="Q585" s="150" t="str">
        <f t="shared" si="47"/>
        <v>7-Dépenses</v>
      </c>
      <c r="R585" s="149" t="str">
        <f t="shared" si="48"/>
        <v>60</v>
      </c>
      <c r="S585" s="150">
        <f t="shared" si="49"/>
        <v>0</v>
      </c>
      <c r="T585" s="152" t="str">
        <f>+VLOOKUP($L585,Data_Validation!$A:$D,1,0)</f>
        <v>60E</v>
      </c>
      <c r="U585" s="152" t="str">
        <f>+VLOOKUP($L585,Data_Validation!$A:$D,3,0)</f>
        <v>Service</v>
      </c>
      <c r="V585" s="152" t="str">
        <f>+VLOOKUP($L585,Data_Validation!$A:$D,4,0)</f>
        <v>papeterie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1152</v>
      </c>
      <c r="B586" s="718" t="s">
        <v>843</v>
      </c>
      <c r="C586" s="720">
        <v>3701.38</v>
      </c>
      <c r="D586" s="720">
        <v>261.68</v>
      </c>
      <c r="E586" s="720">
        <v>3963.06</v>
      </c>
      <c r="F586" s="718" t="s">
        <v>2230</v>
      </c>
      <c r="G586" s="718" t="s">
        <v>2273</v>
      </c>
      <c r="H586" s="673"/>
      <c r="I586" s="672"/>
      <c r="J586" s="672"/>
      <c r="K586" s="672"/>
      <c r="L586" s="149" t="str">
        <f t="shared" si="45"/>
        <v>77E</v>
      </c>
      <c r="M586" s="150" t="str">
        <f t="shared" si="46"/>
        <v>FRAIS DIVERS - SERV. BMW</v>
      </c>
      <c r="N586" s="151">
        <f>+IF(OR($Q586=Parametres!$G$2,$Q586=Parametres!$G$3),I586,C586)</f>
        <v>3701.38</v>
      </c>
      <c r="O586" s="151">
        <f>+IF(OR($Q586=Parametres!$G$2,$Q586=Parametres!$G$3),J586,D586)</f>
        <v>261.68</v>
      </c>
      <c r="P586" s="151">
        <f>+IF(OR($Q586=Parametres!$G$2,$Q586=Parametres!$G$3),K586,E586)</f>
        <v>3963.06</v>
      </c>
      <c r="Q586" s="150" t="str">
        <f t="shared" si="47"/>
        <v>7-Dépenses</v>
      </c>
      <c r="R586" s="149" t="str">
        <f t="shared" si="48"/>
        <v>77</v>
      </c>
      <c r="S586" s="150">
        <f t="shared" si="49"/>
        <v>0</v>
      </c>
      <c r="T586" s="152" t="str">
        <f>+VLOOKUP($L586,Data_Validation!$A:$D,1,0)</f>
        <v>77E</v>
      </c>
      <c r="U586" s="152" t="str">
        <f>+VLOOKUP($L586,Data_Validation!$A:$D,3,0)</f>
        <v>Service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1702</v>
      </c>
      <c r="B587" s="718" t="s">
        <v>815</v>
      </c>
      <c r="C587" s="720">
        <v>4039.32</v>
      </c>
      <c r="D587" s="720">
        <v>66.73</v>
      </c>
      <c r="E587" s="720">
        <v>4106.05</v>
      </c>
      <c r="F587" s="718" t="s">
        <v>2230</v>
      </c>
      <c r="G587" s="718" t="s">
        <v>2266</v>
      </c>
      <c r="H587" s="673"/>
      <c r="I587" s="672"/>
      <c r="J587" s="672"/>
      <c r="K587" s="672"/>
      <c r="L587" s="149" t="str">
        <f t="shared" si="45"/>
        <v>29C</v>
      </c>
      <c r="M587" s="150" t="str">
        <f t="shared" si="46"/>
        <v>FONDS PENSIONS - USAGE BMW</v>
      </c>
      <c r="N587" s="151">
        <f>+IF(OR($Q587=Parametres!$G$2,$Q587=Parametres!$G$3),I587,C587)</f>
        <v>4039.32</v>
      </c>
      <c r="O587" s="151">
        <f>+IF(OR($Q587=Parametres!$G$2,$Q587=Parametres!$G$3),J587,D587)</f>
        <v>66.73</v>
      </c>
      <c r="P587" s="151">
        <f>+IF(OR($Q587=Parametres!$G$2,$Q587=Parametres!$G$3),K587,E587)</f>
        <v>4106.05</v>
      </c>
      <c r="Q587" s="150" t="str">
        <f t="shared" si="47"/>
        <v>7-Dépenses</v>
      </c>
      <c r="R587" s="149" t="str">
        <f t="shared" si="48"/>
        <v>29</v>
      </c>
      <c r="S587" s="150">
        <f t="shared" si="49"/>
        <v>0</v>
      </c>
      <c r="T587" s="152" t="str">
        <f>+VLOOKUP($L587,Data_Validation!$A:$D,1,0)</f>
        <v>29C</v>
      </c>
      <c r="U587" s="152" t="str">
        <f>+VLOOKUP($L587,Data_Validation!$A:$D,3,0)</f>
        <v>Véhicules usagés</v>
      </c>
      <c r="V587" s="152" t="str">
        <f>+VLOOKUP($L587,Data_Validation!$A:$D,4,0)</f>
        <v>csst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1659</v>
      </c>
      <c r="B588" s="718" t="s">
        <v>828</v>
      </c>
      <c r="C588" s="720">
        <v>4349.8</v>
      </c>
      <c r="D588" s="720">
        <v>434.98</v>
      </c>
      <c r="E588" s="720">
        <v>4784.78</v>
      </c>
      <c r="F588" s="718" t="s">
        <v>2230</v>
      </c>
      <c r="G588" s="718" t="s">
        <v>2277</v>
      </c>
      <c r="H588" s="673"/>
      <c r="I588" s="672"/>
      <c r="J588" s="672"/>
      <c r="K588" s="672"/>
      <c r="L588" s="149" t="str">
        <f t="shared" si="45"/>
        <v>85C</v>
      </c>
      <c r="M588" s="150" t="str">
        <f t="shared" si="46"/>
        <v>ASS. BATISSE - USAGE BMW</v>
      </c>
      <c r="N588" s="151">
        <f>+IF(OR($Q588=Parametres!$G$2,$Q588=Parametres!$G$3),I588,C588)</f>
        <v>4349.8</v>
      </c>
      <c r="O588" s="151">
        <f>+IF(OR($Q588=Parametres!$G$2,$Q588=Parametres!$G$3),J588,D588)</f>
        <v>434.98</v>
      </c>
      <c r="P588" s="151">
        <f>+IF(OR($Q588=Parametres!$G$2,$Q588=Parametres!$G$3),K588,E588)</f>
        <v>4784.78</v>
      </c>
      <c r="Q588" s="150" t="str">
        <f t="shared" si="47"/>
        <v>7-Dépenses</v>
      </c>
      <c r="R588" s="149" t="str">
        <f t="shared" si="48"/>
        <v>85</v>
      </c>
      <c r="S588" s="150">
        <f t="shared" si="49"/>
        <v>0</v>
      </c>
      <c r="T588" s="152" t="str">
        <f>+VLOOKUP($L588,Data_Validation!$A:$D,1,0)</f>
        <v>85C</v>
      </c>
      <c r="U588" s="152" t="str">
        <f>+VLOOKUP($L588,Data_Validation!$A:$D,3,0)</f>
        <v>Véhicules usagés</v>
      </c>
      <c r="V588" s="152" t="str">
        <f>+VLOOKUP($L588,Data_Validation!$A:$D,4,0)</f>
        <v>assurances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1214</v>
      </c>
      <c r="B589" s="718" t="s">
        <v>836</v>
      </c>
      <c r="C589" s="720">
        <v>4615</v>
      </c>
      <c r="D589" s="720">
        <v>461.5</v>
      </c>
      <c r="E589" s="720">
        <v>5076.5</v>
      </c>
      <c r="F589" s="718" t="s">
        <v>2230</v>
      </c>
      <c r="G589" s="718" t="s">
        <v>2279</v>
      </c>
      <c r="H589" s="673"/>
      <c r="I589" s="672"/>
      <c r="J589" s="672"/>
      <c r="K589" s="672"/>
      <c r="L589" s="149" t="str">
        <f t="shared" si="45"/>
        <v>91C</v>
      </c>
      <c r="M589" s="150" t="str">
        <f t="shared" si="46"/>
        <v>DEPREC. EQUIP. - USAGE BMW</v>
      </c>
      <c r="N589" s="151">
        <f>+IF(OR($Q589=Parametres!$G$2,$Q589=Parametres!$G$3),I589,C589)</f>
        <v>4615</v>
      </c>
      <c r="O589" s="151">
        <f>+IF(OR($Q589=Parametres!$G$2,$Q589=Parametres!$G$3),J589,D589)</f>
        <v>461.5</v>
      </c>
      <c r="P589" s="151">
        <f>+IF(OR($Q589=Parametres!$G$2,$Q589=Parametres!$G$3),K589,E589)</f>
        <v>5076.5</v>
      </c>
      <c r="Q589" s="150" t="str">
        <f t="shared" si="47"/>
        <v>7-Dépenses</v>
      </c>
      <c r="R589" s="149" t="str">
        <f t="shared" si="48"/>
        <v>91</v>
      </c>
      <c r="S589" s="150">
        <f t="shared" si="49"/>
        <v>0</v>
      </c>
      <c r="T589" s="152" t="str">
        <f>+VLOOKUP($L589,Data_Validation!$A:$D,1,0)</f>
        <v>91C</v>
      </c>
      <c r="U589" s="152" t="str">
        <f>+VLOOKUP($L589,Data_Validation!$A:$D,3,0)</f>
        <v>Véhicules usagés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1235</v>
      </c>
      <c r="B590" s="718" t="s">
        <v>827</v>
      </c>
      <c r="C590" s="719">
        <v>4855.1499999999996</v>
      </c>
      <c r="D590" s="719">
        <v>452.25</v>
      </c>
      <c r="E590" s="719">
        <v>5307.4</v>
      </c>
      <c r="F590" s="718" t="s">
        <v>2230</v>
      </c>
      <c r="G590" s="718" t="s">
        <v>2276</v>
      </c>
      <c r="H590" s="719"/>
      <c r="I590" s="720"/>
      <c r="J590" s="720"/>
      <c r="K590" s="720"/>
      <c r="L590" s="149" t="str">
        <f t="shared" si="45"/>
        <v>87C</v>
      </c>
      <c r="M590" s="150" t="str">
        <f t="shared" si="46"/>
        <v>CHAUFF. ELECT. EAU - USAGE BMW</v>
      </c>
      <c r="N590" s="151">
        <f>+IF(OR($Q590=Parametres!$G$2,$Q590=Parametres!$G$3),I590,C590)</f>
        <v>4855.1499999999996</v>
      </c>
      <c r="O590" s="504">
        <f>+IF(OR($Q590=Parametres!$G$2,$Q590=Parametres!$G$3),J590,D590)</f>
        <v>452.25</v>
      </c>
      <c r="P590" s="151">
        <f>+IF(OR($Q590=Parametres!$G$2,$Q590=Parametres!$G$3),K590,E590)</f>
        <v>5307.4</v>
      </c>
      <c r="Q590" s="150" t="str">
        <f t="shared" si="47"/>
        <v>7-Dépenses</v>
      </c>
      <c r="R590" s="149" t="str">
        <f t="shared" si="48"/>
        <v>87</v>
      </c>
      <c r="S590" s="150">
        <f t="shared" si="49"/>
        <v>0</v>
      </c>
      <c r="T590" s="152" t="str">
        <f>+VLOOKUP($L590,Data_Validation!$A:$D,1,0)</f>
        <v>87C</v>
      </c>
      <c r="U590" s="152" t="str">
        <f>+VLOOKUP($L590,Data_Validation!$A:$D,3,0)</f>
        <v>Véhicules usagés</v>
      </c>
      <c r="V590" s="152" t="str">
        <f>+VLOOKUP($L590,Data_Validation!$A:$D,4,0)</f>
        <v>Chauffage, éclairage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1678</v>
      </c>
      <c r="B591" s="718" t="s">
        <v>835</v>
      </c>
      <c r="C591" s="719">
        <v>4917.8599999999997</v>
      </c>
      <c r="D591" s="719">
        <v>474.47</v>
      </c>
      <c r="E591" s="719">
        <v>5392.33</v>
      </c>
      <c r="F591" s="718" t="s">
        <v>2230</v>
      </c>
      <c r="G591" s="718" t="s">
        <v>2274</v>
      </c>
      <c r="H591" s="719"/>
      <c r="I591" s="720"/>
      <c r="J591" s="720"/>
      <c r="K591" s="720"/>
      <c r="L591" s="149" t="str">
        <f t="shared" si="45"/>
        <v>89G</v>
      </c>
      <c r="M591" s="150" t="str">
        <f t="shared" si="46"/>
        <v>TAXES &amp; PERMIS - PIECE BMW</v>
      </c>
      <c r="N591" s="151">
        <f>+IF(OR($Q591=Parametres!$G$2,$Q591=Parametres!$G$3),I591,C591)</f>
        <v>4917.8599999999997</v>
      </c>
      <c r="O591" s="505">
        <f>+IF(OR($Q591=Parametres!$G$2,$Q591=Parametres!$G$3),J591,D591)</f>
        <v>474.47</v>
      </c>
      <c r="P591" s="151">
        <f>+IF(OR($Q591=Parametres!$G$2,$Q591=Parametres!$G$3),K591,E591)</f>
        <v>5392.33</v>
      </c>
      <c r="Q591" s="150" t="str">
        <f t="shared" si="47"/>
        <v>7-Dépenses</v>
      </c>
      <c r="R591" s="149" t="str">
        <f t="shared" si="48"/>
        <v>89</v>
      </c>
      <c r="S591" s="150">
        <f t="shared" si="49"/>
        <v>0</v>
      </c>
      <c r="T591" s="152" t="str">
        <f>+VLOOKUP($L591,Data_Validation!$A:$D,1,0)</f>
        <v>89G</v>
      </c>
      <c r="U591" s="152" t="str">
        <f>+VLOOKUP($L591,Data_Validation!$A:$D,3,0)</f>
        <v>pièces</v>
      </c>
      <c r="V591" s="152" t="str">
        <f>+VLOOKUP($L591,Data_Validation!$A:$D,4,0)</f>
        <v>Taxes d`affaires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1619</v>
      </c>
      <c r="B592" s="718" t="s">
        <v>788</v>
      </c>
      <c r="C592" s="719">
        <v>5161.8599999999997</v>
      </c>
      <c r="D592" s="719">
        <v>383.89</v>
      </c>
      <c r="E592" s="719">
        <v>5545.75</v>
      </c>
      <c r="F592" s="718" t="s">
        <v>2230</v>
      </c>
      <c r="G592" s="718" t="s">
        <v>2264</v>
      </c>
      <c r="H592" s="719"/>
      <c r="I592" s="720"/>
      <c r="J592" s="720"/>
      <c r="K592" s="720"/>
      <c r="L592" s="149" t="str">
        <f t="shared" si="45"/>
        <v>78G</v>
      </c>
      <c r="M592" s="150" t="str">
        <f t="shared" si="46"/>
        <v>TRANSPORT - PIECE BMW</v>
      </c>
      <c r="N592" s="151">
        <f>+IF(OR($Q592=Parametres!$G$2,$Q592=Parametres!$G$3),I592,C592)</f>
        <v>5161.8599999999997</v>
      </c>
      <c r="O592" s="504">
        <f>+IF(OR($Q592=Parametres!$G$2,$Q592=Parametres!$G$3),J592,D592)</f>
        <v>383.89</v>
      </c>
      <c r="P592" s="151">
        <f>+IF(OR($Q592=Parametres!$G$2,$Q592=Parametres!$G$3),K592,E592)</f>
        <v>5545.75</v>
      </c>
      <c r="Q592" s="150" t="str">
        <f t="shared" si="47"/>
        <v>7-Dépenses</v>
      </c>
      <c r="R592" s="149" t="str">
        <f t="shared" si="48"/>
        <v>78</v>
      </c>
      <c r="S592" s="150">
        <f t="shared" si="49"/>
        <v>0</v>
      </c>
      <c r="T592" s="152" t="str">
        <f>+VLOOKUP($L592,Data_Validation!$A:$D,1,0)</f>
        <v>78G</v>
      </c>
      <c r="U592" s="152" t="str">
        <f>+VLOOKUP($L592,Data_Validation!$A:$D,3,0)</f>
        <v>pièces</v>
      </c>
      <c r="V592" s="152" t="str">
        <f>+VLOOKUP($L592,Data_Validation!$A:$D,4,0)</f>
        <v>Frais postaux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2863</v>
      </c>
      <c r="B593" s="718" t="s">
        <v>2852</v>
      </c>
      <c r="C593" s="719">
        <v>5250</v>
      </c>
      <c r="D593" s="719">
        <v>225</v>
      </c>
      <c r="E593" s="719">
        <v>5475</v>
      </c>
      <c r="F593" s="718" t="s">
        <v>2230</v>
      </c>
      <c r="G593" s="718" t="s">
        <v>2283</v>
      </c>
      <c r="H593" s="719"/>
      <c r="I593" s="720"/>
      <c r="J593" s="720"/>
      <c r="K593" s="720"/>
      <c r="L593" s="149" t="str">
        <f t="shared" si="45"/>
        <v>70L</v>
      </c>
      <c r="M593" s="150" t="str">
        <f t="shared" si="46"/>
        <v>CAMION PIECES - PIECES BMW</v>
      </c>
      <c r="N593" s="151">
        <f>+IF(OR($Q593=Parametres!$G$2,$Q593=Parametres!$G$3),I593,C593)</f>
        <v>5250</v>
      </c>
      <c r="O593" s="505">
        <f>+IF(OR($Q593=Parametres!$G$2,$Q593=Parametres!$G$3),J593,D593)</f>
        <v>225</v>
      </c>
      <c r="P593" s="151">
        <f>+IF(OR($Q593=Parametres!$G$2,$Q593=Parametres!$G$3),K593,E593)</f>
        <v>5475</v>
      </c>
      <c r="Q593" s="150" t="str">
        <f t="shared" si="47"/>
        <v>7-Dépenses</v>
      </c>
      <c r="R593" s="149" t="str">
        <f t="shared" si="48"/>
        <v>70</v>
      </c>
      <c r="S593" s="150">
        <f t="shared" si="49"/>
        <v>0</v>
      </c>
      <c r="T593" s="152" t="str">
        <f>+VLOOKUP($L593,Data_Validation!$A:$D,1,0)</f>
        <v>70L</v>
      </c>
      <c r="U593" s="152" t="str">
        <f>+VLOOKUP($L593,Data_Validation!$A:$D,3,0)</f>
        <v>Pièces</v>
      </c>
      <c r="V593" s="152" t="str">
        <f>+VLOOKUP($L593,Data_Validation!$A:$D,4,0)</f>
        <v>Services extérieurs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1684</v>
      </c>
      <c r="B594" s="718" t="s">
        <v>839</v>
      </c>
      <c r="C594" s="720">
        <v>5532.56</v>
      </c>
      <c r="D594" s="720">
        <v>533.78</v>
      </c>
      <c r="E594" s="720">
        <v>6066.34</v>
      </c>
      <c r="F594" s="718" t="s">
        <v>2230</v>
      </c>
      <c r="G594" s="718" t="s">
        <v>2274</v>
      </c>
      <c r="H594" s="673"/>
      <c r="I594" s="672"/>
      <c r="J594" s="672"/>
      <c r="K594" s="672"/>
      <c r="L594" s="149" t="str">
        <f t="shared" si="45"/>
        <v>89E</v>
      </c>
      <c r="M594" s="150" t="str">
        <f t="shared" si="46"/>
        <v>TAXES &amp; PERMIS - SERV. BMW</v>
      </c>
      <c r="N594" s="151">
        <f>+IF(OR($Q594=Parametres!$G$2,$Q594=Parametres!$G$3),I594,C594)</f>
        <v>5532.56</v>
      </c>
      <c r="O594" s="151">
        <f>+IF(OR($Q594=Parametres!$G$2,$Q594=Parametres!$G$3),J594,D594)</f>
        <v>533.78</v>
      </c>
      <c r="P594" s="151">
        <f>+IF(OR($Q594=Parametres!$G$2,$Q594=Parametres!$G$3),K594,E594)</f>
        <v>6066.34</v>
      </c>
      <c r="Q594" s="150" t="str">
        <f t="shared" si="47"/>
        <v>7-Dépenses</v>
      </c>
      <c r="R594" s="149" t="str">
        <f t="shared" si="48"/>
        <v>89</v>
      </c>
      <c r="S594" s="150">
        <f t="shared" si="49"/>
        <v>0</v>
      </c>
      <c r="T594" s="152" t="str">
        <f>+VLOOKUP($L594,Data_Validation!$A:$D,1,0)</f>
        <v>89E</v>
      </c>
      <c r="U594" s="152" t="str">
        <f>+VLOOKUP($L594,Data_Validation!$A:$D,3,0)</f>
        <v>Service</v>
      </c>
      <c r="V594" s="152" t="str">
        <f>+VLOOKUP($L594,Data_Validation!$A:$D,4,0)</f>
        <v>Taxes d`affaires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1137</v>
      </c>
      <c r="B595" s="718" t="s">
        <v>869</v>
      </c>
      <c r="C595" s="720">
        <v>5622.67</v>
      </c>
      <c r="D595" s="720">
        <v>523.35</v>
      </c>
      <c r="E595" s="720">
        <v>6146.02</v>
      </c>
      <c r="F595" s="718" t="s">
        <v>2230</v>
      </c>
      <c r="G595" s="718" t="s">
        <v>2273</v>
      </c>
      <c r="H595" s="673"/>
      <c r="I595" s="672"/>
      <c r="J595" s="672"/>
      <c r="K595" s="672"/>
      <c r="L595" s="149" t="str">
        <f t="shared" si="45"/>
        <v>77A</v>
      </c>
      <c r="M595" s="150" t="str">
        <f t="shared" si="46"/>
        <v>FRAIS DIVERS - NEUF BMW</v>
      </c>
      <c r="N595" s="151">
        <f>+IF(OR($Q595=Parametres!$G$2,$Q595=Parametres!$G$3),I595,C595)</f>
        <v>5622.67</v>
      </c>
      <c r="O595" s="151">
        <f>+IF(OR($Q595=Parametres!$G$2,$Q595=Parametres!$G$3),J595,D595)</f>
        <v>523.35</v>
      </c>
      <c r="P595" s="151">
        <f>+IF(OR($Q595=Parametres!$G$2,$Q595=Parametres!$G$3),K595,E595)</f>
        <v>6146.02</v>
      </c>
      <c r="Q595" s="150" t="str">
        <f t="shared" si="47"/>
        <v>7-Dépenses</v>
      </c>
      <c r="R595" s="149" t="str">
        <f t="shared" si="48"/>
        <v>77</v>
      </c>
      <c r="S595" s="150">
        <f t="shared" si="49"/>
        <v>0</v>
      </c>
      <c r="T595" s="152" t="str">
        <f>+VLOOKUP($L595,Data_Validation!$A:$D,1,0)</f>
        <v>77A</v>
      </c>
      <c r="U595" s="152" t="str">
        <f>+VLOOKUP($L595,Data_Validation!$A:$D,3,0)</f>
        <v>Véhicules neufs</v>
      </c>
      <c r="V595" s="152" t="str">
        <f>+VLOOKUP($L595,Data_Validation!$A:$D,4,0)</f>
        <v>divers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1686</v>
      </c>
      <c r="B596" s="718" t="s">
        <v>840</v>
      </c>
      <c r="C596" s="720">
        <v>5737.46</v>
      </c>
      <c r="D596" s="720">
        <v>553.54999999999995</v>
      </c>
      <c r="E596" s="720">
        <v>6291.01</v>
      </c>
      <c r="F596" s="718" t="s">
        <v>2230</v>
      </c>
      <c r="G596" s="718" t="s">
        <v>2282</v>
      </c>
      <c r="H596" s="607"/>
      <c r="I596" s="153"/>
      <c r="J596" s="153"/>
      <c r="K596" s="153"/>
      <c r="L596" s="149" t="str">
        <f t="shared" si="45"/>
        <v>84C</v>
      </c>
      <c r="M596" s="150" t="str">
        <f t="shared" si="46"/>
        <v>TAXES BATISSE - USAGE BMW</v>
      </c>
      <c r="N596" s="151">
        <f>+IF(OR($Q596=Parametres!$G$2,$Q596=Parametres!$G$3),I596,C596)</f>
        <v>5737.46</v>
      </c>
      <c r="O596" s="151">
        <f>+IF(OR($Q596=Parametres!$G$2,$Q596=Parametres!$G$3),J596,D596)</f>
        <v>553.54999999999995</v>
      </c>
      <c r="P596" s="151">
        <f>+IF(OR($Q596=Parametres!$G$2,$Q596=Parametres!$G$3),K596,E596)</f>
        <v>6291.01</v>
      </c>
      <c r="Q596" s="150" t="str">
        <f t="shared" si="47"/>
        <v>7-Dépenses</v>
      </c>
      <c r="R596" s="149" t="str">
        <f t="shared" si="48"/>
        <v>84</v>
      </c>
      <c r="S596" s="150">
        <f t="shared" si="49"/>
        <v>0</v>
      </c>
      <c r="T596" s="152" t="str">
        <f>+VLOOKUP($L596,Data_Validation!$A:$D,1,0)</f>
        <v>84C</v>
      </c>
      <c r="U596" s="152" t="str">
        <f>+VLOOKUP($L596,Data_Validation!$A:$D,3,0)</f>
        <v>Véhicules usagés</v>
      </c>
      <c r="V596" s="152" t="str">
        <f>+VLOOKUP($L596,Data_Validation!$A:$D,4,0)</f>
        <v>Taxes foncières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1691</v>
      </c>
      <c r="B597" s="718" t="s">
        <v>855</v>
      </c>
      <c r="C597" s="720">
        <v>5973.58</v>
      </c>
      <c r="D597" s="720">
        <v>802.33</v>
      </c>
      <c r="E597" s="720">
        <v>6775.91</v>
      </c>
      <c r="F597" s="718" t="s">
        <v>2230</v>
      </c>
      <c r="G597" s="718" t="s">
        <v>2271</v>
      </c>
      <c r="H597" s="719"/>
      <c r="I597" s="719"/>
      <c r="J597" s="719"/>
      <c r="K597" s="719"/>
      <c r="L597" s="149" t="str">
        <f t="shared" si="45"/>
        <v>60A</v>
      </c>
      <c r="M597" s="150" t="str">
        <f t="shared" si="46"/>
        <v>FOURNITURES BUREAU - NEUF BMW</v>
      </c>
      <c r="N597" s="151">
        <f>+IF(OR($Q597=Parametres!$G$2,$Q597=Parametres!$G$3),I597,C597)</f>
        <v>5973.58</v>
      </c>
      <c r="O597" s="151">
        <f>+IF(OR($Q597=Parametres!$G$2,$Q597=Parametres!$G$3),J597,D597)</f>
        <v>802.33</v>
      </c>
      <c r="P597" s="151">
        <f>+IF(OR($Q597=Parametres!$G$2,$Q597=Parametres!$G$3),K597,E597)</f>
        <v>6775.91</v>
      </c>
      <c r="Q597" s="150" t="str">
        <f t="shared" si="47"/>
        <v>7-Dépenses</v>
      </c>
      <c r="R597" s="149" t="str">
        <f t="shared" si="48"/>
        <v>60</v>
      </c>
      <c r="S597" s="150">
        <f t="shared" si="49"/>
        <v>0</v>
      </c>
      <c r="T597" s="152" t="str">
        <f>+VLOOKUP($L597,Data_Validation!$A:$D,1,0)</f>
        <v>60A</v>
      </c>
      <c r="U597" s="152" t="str">
        <f>+VLOOKUP($L597,Data_Validation!$A:$D,3,0)</f>
        <v>Véhicules neufs</v>
      </c>
      <c r="V597" s="152" t="str">
        <f>+VLOOKUP($L597,Data_Validation!$A:$D,4,0)</f>
        <v>papeterie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1682</v>
      </c>
      <c r="B598" s="718" t="s">
        <v>853</v>
      </c>
      <c r="C598" s="720">
        <v>6307.3</v>
      </c>
      <c r="D598" s="720">
        <v>630.73</v>
      </c>
      <c r="E598" s="720">
        <v>6938.03</v>
      </c>
      <c r="F598" s="718" t="s">
        <v>2230</v>
      </c>
      <c r="G598" s="718" t="s">
        <v>2285</v>
      </c>
      <c r="H598" s="719"/>
      <c r="I598" s="719"/>
      <c r="J598" s="719"/>
      <c r="K598" s="719"/>
      <c r="L598" s="149" t="str">
        <f t="shared" si="45"/>
        <v>74C</v>
      </c>
      <c r="M598" s="150" t="str">
        <f t="shared" si="46"/>
        <v>FRAIS LEGAUX &amp; CTB - USAGE BMW</v>
      </c>
      <c r="N598" s="151">
        <f>+IF(OR($Q598=Parametres!$G$2,$Q598=Parametres!$G$3),I598,C598)</f>
        <v>6307.3</v>
      </c>
      <c r="O598" s="504">
        <f>+IF(OR($Q598=Parametres!$G$2,$Q598=Parametres!$G$3),J598,D598)</f>
        <v>630.73</v>
      </c>
      <c r="P598" s="151">
        <f>+IF(OR($Q598=Parametres!$G$2,$Q598=Parametres!$G$3),K598,E598)</f>
        <v>6938.03</v>
      </c>
      <c r="Q598" s="150" t="str">
        <f t="shared" si="47"/>
        <v>7-Dépenses</v>
      </c>
      <c r="R598" s="149" t="str">
        <f t="shared" si="48"/>
        <v>74</v>
      </c>
      <c r="S598" s="150">
        <f t="shared" si="49"/>
        <v>0</v>
      </c>
      <c r="T598" s="152" t="str">
        <f>+VLOOKUP($L598,Data_Validation!$A:$D,1,0)</f>
        <v>74C</v>
      </c>
      <c r="U598" s="152" t="str">
        <f>+VLOOKUP($L598,Data_Validation!$A:$D,3,0)</f>
        <v>Véhicules usagés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1667</v>
      </c>
      <c r="B599" s="718" t="s">
        <v>863</v>
      </c>
      <c r="C599" s="720">
        <v>6341.67</v>
      </c>
      <c r="D599" s="720">
        <v>1064.24</v>
      </c>
      <c r="E599" s="720">
        <v>7405.91</v>
      </c>
      <c r="F599" s="718" t="s">
        <v>2230</v>
      </c>
      <c r="G599" s="718" t="s">
        <v>2284</v>
      </c>
      <c r="H599" s="719"/>
      <c r="I599" s="719"/>
      <c r="J599" s="719"/>
      <c r="K599" s="719"/>
      <c r="L599" s="149" t="str">
        <f t="shared" si="45"/>
        <v>73C</v>
      </c>
      <c r="M599" s="150" t="str">
        <f t="shared" si="46"/>
        <v>REMISE CARTE CREDIT - USAGE BMW</v>
      </c>
      <c r="N599" s="151">
        <f>+IF(OR($Q599=Parametres!$G$2,$Q599=Parametres!$G$3),I599,C599)</f>
        <v>6341.67</v>
      </c>
      <c r="O599" s="151">
        <f>+IF(OR($Q599=Parametres!$G$2,$Q599=Parametres!$G$3),J599,D599)</f>
        <v>1064.24</v>
      </c>
      <c r="P599" s="151">
        <f>+IF(OR($Q599=Parametres!$G$2,$Q599=Parametres!$G$3),K599,E599)</f>
        <v>7405.91</v>
      </c>
      <c r="Q599" s="150" t="str">
        <f t="shared" si="47"/>
        <v>7-Dépenses</v>
      </c>
      <c r="R599" s="149" t="str">
        <f t="shared" si="48"/>
        <v>73</v>
      </c>
      <c r="S599" s="150">
        <f t="shared" si="49"/>
        <v>0</v>
      </c>
      <c r="T599" s="152" t="str">
        <f>+VLOOKUP($L599,Data_Validation!$A:$D,1,0)</f>
        <v>73C</v>
      </c>
      <c r="U599" s="152" t="str">
        <f>+VLOOKUP($L599,Data_Validation!$A:$D,3,0)</f>
        <v>Véhicules usagés</v>
      </c>
      <c r="V599" s="152" t="str">
        <f>+VLOOKUP($L599,Data_Validation!$A:$D,4,0)</f>
        <v>frais bancaires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1182</v>
      </c>
      <c r="B600" s="718" t="s">
        <v>790</v>
      </c>
      <c r="C600" s="720">
        <v>6764.11</v>
      </c>
      <c r="D600" s="720">
        <v>491.23</v>
      </c>
      <c r="E600" s="720">
        <v>7255.34</v>
      </c>
      <c r="F600" s="718" t="s">
        <v>2230</v>
      </c>
      <c r="G600" s="718" t="s">
        <v>2268</v>
      </c>
      <c r="H600" s="607"/>
      <c r="I600" s="153"/>
      <c r="J600" s="153"/>
      <c r="K600" s="153"/>
      <c r="L600" s="149" t="str">
        <f t="shared" si="45"/>
        <v>71E</v>
      </c>
      <c r="M600" s="150" t="str">
        <f t="shared" si="46"/>
        <v>FRAIS REPRESENTATION - SERV. BMW</v>
      </c>
      <c r="N600" s="151">
        <f>+IF(OR($Q600=Parametres!$G$2,$Q600=Parametres!$G$3),I600,C600)</f>
        <v>6764.11</v>
      </c>
      <c r="O600" s="151">
        <f>+IF(OR($Q600=Parametres!$G$2,$Q600=Parametres!$G$3),J600,D600)</f>
        <v>491.23</v>
      </c>
      <c r="P600" s="151">
        <f>+IF(OR($Q600=Parametres!$G$2,$Q600=Parametres!$G$3),K600,E600)</f>
        <v>7255.34</v>
      </c>
      <c r="Q600" s="150" t="str">
        <f t="shared" si="47"/>
        <v>7-Dépenses</v>
      </c>
      <c r="R600" s="149" t="str">
        <f t="shared" si="48"/>
        <v>71</v>
      </c>
      <c r="S600" s="150">
        <f t="shared" si="49"/>
        <v>0</v>
      </c>
      <c r="T600" s="152" t="str">
        <f>+VLOOKUP($L600,Data_Validation!$A:$D,1,0)</f>
        <v>71E</v>
      </c>
      <c r="U600" s="152" t="str">
        <f>+VLOOKUP($L600,Data_Validation!$A:$D,3,0)</f>
        <v>Service</v>
      </c>
      <c r="V600" s="152" t="str">
        <f>+VLOOKUP($L600,Data_Validation!$A:$D,4,0)</f>
        <v>Frais de déplacement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1639</v>
      </c>
      <c r="B601" s="718" t="s">
        <v>896</v>
      </c>
      <c r="C601" s="720">
        <v>7620.28</v>
      </c>
      <c r="D601" s="720">
        <v>1765.91</v>
      </c>
      <c r="E601" s="720">
        <v>9386.19</v>
      </c>
      <c r="F601" s="718" t="s">
        <v>2230</v>
      </c>
      <c r="G601" s="718" t="s">
        <v>2259</v>
      </c>
      <c r="H601" s="607"/>
      <c r="I601" s="153"/>
      <c r="J601" s="153"/>
      <c r="K601" s="153"/>
      <c r="L601" s="149" t="str">
        <f t="shared" si="45"/>
        <v>68A</v>
      </c>
      <c r="M601" s="150" t="str">
        <f t="shared" si="46"/>
        <v>TRAV. GRACIEUX - NEUF BMW</v>
      </c>
      <c r="N601" s="151">
        <f>+IF(OR($Q601=Parametres!$G$2,$Q601=Parametres!$G$3),I601,C601)</f>
        <v>7620.28</v>
      </c>
      <c r="O601" s="504">
        <f>+IF(OR($Q601=Parametres!$G$2,$Q601=Parametres!$G$3),J601,D601)</f>
        <v>1765.91</v>
      </c>
      <c r="P601" s="151">
        <f>+IF(OR($Q601=Parametres!$G$2,$Q601=Parametres!$G$3),K601,E601)</f>
        <v>9386.19</v>
      </c>
      <c r="Q601" s="150" t="str">
        <f t="shared" si="47"/>
        <v>7-Dépenses</v>
      </c>
      <c r="R601" s="149" t="str">
        <f t="shared" si="48"/>
        <v>68</v>
      </c>
      <c r="S601" s="150">
        <f t="shared" si="49"/>
        <v>0</v>
      </c>
      <c r="T601" s="152" t="str">
        <f>+VLOOKUP($L601,Data_Validation!$A:$D,1,0)</f>
        <v>68A</v>
      </c>
      <c r="U601" s="152" t="str">
        <f>+VLOOKUP($L601,Data_Validation!$A:$D,3,0)</f>
        <v>Véhicules neufs</v>
      </c>
      <c r="V601" s="152" t="str">
        <f>+VLOOKUP($L601,Data_Validation!$A:$D,4,0)</f>
        <v>service gratuit 1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1786</v>
      </c>
      <c r="B602" s="718" t="s">
        <v>859</v>
      </c>
      <c r="C602" s="720">
        <v>7997.38</v>
      </c>
      <c r="D602" s="720">
        <v>157.28</v>
      </c>
      <c r="E602" s="720">
        <v>8154.66</v>
      </c>
      <c r="F602" s="718" t="s">
        <v>2230</v>
      </c>
      <c r="G602" s="718" t="s">
        <v>2266</v>
      </c>
      <c r="H602" s="719"/>
      <c r="I602" s="719"/>
      <c r="J602" s="719"/>
      <c r="K602" s="719"/>
      <c r="L602" s="149" t="str">
        <f t="shared" si="45"/>
        <v>29A</v>
      </c>
      <c r="M602" s="150" t="str">
        <f t="shared" si="46"/>
        <v>FONDS PENSIONS - NEUF BMW</v>
      </c>
      <c r="N602" s="151">
        <f>+IF(OR($Q602=Parametres!$G$2,$Q602=Parametres!$G$3),I602,C602)</f>
        <v>7997.38</v>
      </c>
      <c r="O602" s="504">
        <f>+IF(OR($Q602=Parametres!$G$2,$Q602=Parametres!$G$3),J602,D602)</f>
        <v>157.28</v>
      </c>
      <c r="P602" s="151">
        <f>+IF(OR($Q602=Parametres!$G$2,$Q602=Parametres!$G$3),K602,E602)</f>
        <v>8154.66</v>
      </c>
      <c r="Q602" s="150" t="str">
        <f t="shared" si="47"/>
        <v>7-Dépenses</v>
      </c>
      <c r="R602" s="149" t="str">
        <f t="shared" si="48"/>
        <v>29</v>
      </c>
      <c r="S602" s="150">
        <f t="shared" si="49"/>
        <v>0</v>
      </c>
      <c r="T602" s="152" t="str">
        <f>+VLOOKUP($L602,Data_Validation!$A:$D,1,0)</f>
        <v>29A</v>
      </c>
      <c r="U602" s="152" t="str">
        <f>+VLOOKUP($L602,Data_Validation!$A:$D,3,0)</f>
        <v>Véhicules neufs</v>
      </c>
      <c r="V602" s="152" t="str">
        <f>+VLOOKUP($L602,Data_Validation!$A:$D,4,0)</f>
        <v>csst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1197</v>
      </c>
      <c r="B603" s="718" t="s">
        <v>842</v>
      </c>
      <c r="C603" s="720">
        <v>8483.66</v>
      </c>
      <c r="D603" s="720">
        <v>-484.18</v>
      </c>
      <c r="E603" s="720">
        <v>7999.48</v>
      </c>
      <c r="F603" s="718" t="s">
        <v>2230</v>
      </c>
      <c r="G603" s="718" t="s">
        <v>2267</v>
      </c>
      <c r="H603" s="719"/>
      <c r="I603" s="719"/>
      <c r="J603" s="719"/>
      <c r="K603" s="719"/>
      <c r="L603" s="149" t="str">
        <f t="shared" si="45"/>
        <v>63E</v>
      </c>
      <c r="M603" s="150" t="str">
        <f t="shared" si="46"/>
        <v>AJUST. GARANTIE - SERV. BMW</v>
      </c>
      <c r="N603" s="151">
        <f>+IF(OR($Q603=Parametres!$G$2,$Q603=Parametres!$G$3),I603,C603)</f>
        <v>8483.66</v>
      </c>
      <c r="O603" s="504">
        <f>+IF(OR($Q603=Parametres!$G$2,$Q603=Parametres!$G$3),J603,D603)</f>
        <v>-484.18</v>
      </c>
      <c r="P603" s="151">
        <f>+IF(OR($Q603=Parametres!$G$2,$Q603=Parametres!$G$3),K603,E603)</f>
        <v>7999.48</v>
      </c>
      <c r="Q603" s="150" t="str">
        <f t="shared" si="47"/>
        <v>7-Dépenses</v>
      </c>
      <c r="R603" s="149" t="str">
        <f t="shared" si="48"/>
        <v>63</v>
      </c>
      <c r="S603" s="150">
        <f t="shared" si="49"/>
        <v>0</v>
      </c>
      <c r="T603" s="152" t="str">
        <f>+VLOOKUP($L603,Data_Validation!$A:$D,1,0)</f>
        <v>63E</v>
      </c>
      <c r="U603" s="152" t="str">
        <f>+VLOOKUP($L603,Data_Validation!$A:$D,3,0)</f>
        <v>Service</v>
      </c>
      <c r="V603" s="152" t="str">
        <f>+VLOOKUP($L603,Data_Validation!$A:$D,4,0)</f>
        <v>service gratuit 2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1674</v>
      </c>
      <c r="B604" s="718" t="s">
        <v>851</v>
      </c>
      <c r="C604" s="720">
        <v>8689.44</v>
      </c>
      <c r="D604" s="720">
        <v>848.97</v>
      </c>
      <c r="E604" s="720">
        <v>9538.41</v>
      </c>
      <c r="F604" s="718" t="s">
        <v>2230</v>
      </c>
      <c r="G604" s="718" t="s">
        <v>2283</v>
      </c>
      <c r="H604" s="607"/>
      <c r="I604" s="608"/>
      <c r="J604" s="608"/>
      <c r="K604" s="608"/>
      <c r="L604" s="149" t="str">
        <f t="shared" si="45"/>
        <v>70C</v>
      </c>
      <c r="M604" s="150" t="str">
        <f t="shared" si="46"/>
        <v>SERV. EXTERIEURS - USAGE BMW</v>
      </c>
      <c r="N604" s="151">
        <f>+IF(OR($Q604=Parametres!$G$2,$Q604=Parametres!$G$3),I604,C604)</f>
        <v>8689.44</v>
      </c>
      <c r="O604" s="151">
        <f>+IF(OR($Q604=Parametres!$G$2,$Q604=Parametres!$G$3),J604,D604)</f>
        <v>848.97</v>
      </c>
      <c r="P604" s="151">
        <f>+IF(OR($Q604=Parametres!$G$2,$Q604=Parametres!$G$3),K604,E604)</f>
        <v>9538.41</v>
      </c>
      <c r="Q604" s="150" t="str">
        <f t="shared" si="47"/>
        <v>7-Dépenses</v>
      </c>
      <c r="R604" s="149" t="str">
        <f t="shared" si="48"/>
        <v>70</v>
      </c>
      <c r="S604" s="150">
        <f t="shared" si="49"/>
        <v>0</v>
      </c>
      <c r="T604" s="152" t="str">
        <f>+VLOOKUP($L604,Data_Validation!$A:$D,1,0)</f>
        <v>70C</v>
      </c>
      <c r="U604" s="152" t="str">
        <f>+VLOOKUP($L604,Data_Validation!$A:$D,3,0)</f>
        <v>Véhicules usagés</v>
      </c>
      <c r="V604" s="152" t="str">
        <f>+VLOOKUP($L604,Data_Validation!$A:$D,4,0)</f>
        <v>services extérieurs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1676</v>
      </c>
      <c r="B605" s="718" t="s">
        <v>848</v>
      </c>
      <c r="C605" s="720">
        <v>8699.5</v>
      </c>
      <c r="D605" s="720">
        <v>869.95</v>
      </c>
      <c r="E605" s="720">
        <v>9569.4500000000007</v>
      </c>
      <c r="F605" s="718" t="s">
        <v>2230</v>
      </c>
      <c r="G605" s="718" t="s">
        <v>2277</v>
      </c>
      <c r="H605" s="607"/>
      <c r="I605" s="608"/>
      <c r="J605" s="608"/>
      <c r="K605" s="608"/>
      <c r="L605" s="149" t="str">
        <f t="shared" si="45"/>
        <v>85G</v>
      </c>
      <c r="M605" s="150" t="str">
        <f t="shared" si="46"/>
        <v>ASS. BATISSE - PIECE BMW</v>
      </c>
      <c r="N605" s="151">
        <f>+IF(OR($Q605=Parametres!$G$2,$Q605=Parametres!$G$3),I605,C605)</f>
        <v>8699.5</v>
      </c>
      <c r="O605" s="151">
        <f>+IF(OR($Q605=Parametres!$G$2,$Q605=Parametres!$G$3),J605,D605)</f>
        <v>869.95</v>
      </c>
      <c r="P605" s="151">
        <f>+IF(OR($Q605=Parametres!$G$2,$Q605=Parametres!$G$3),K605,E605)</f>
        <v>9569.4500000000007</v>
      </c>
      <c r="Q605" s="150" t="str">
        <f t="shared" si="47"/>
        <v>7-Dépenses</v>
      </c>
      <c r="R605" s="149" t="str">
        <f t="shared" si="48"/>
        <v>85</v>
      </c>
      <c r="S605" s="150">
        <f t="shared" si="49"/>
        <v>0</v>
      </c>
      <c r="T605" s="152" t="str">
        <f>+VLOOKUP($L605,Data_Validation!$A:$D,1,0)</f>
        <v>85G</v>
      </c>
      <c r="U605" s="152" t="str">
        <f>+VLOOKUP($L605,Data_Validation!$A:$D,3,0)</f>
        <v>pièces</v>
      </c>
      <c r="V605" s="152" t="str">
        <f>+VLOOKUP($L605,Data_Validation!$A:$D,4,0)</f>
        <v>assurances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1232</v>
      </c>
      <c r="B606" s="718" t="s">
        <v>846</v>
      </c>
      <c r="C606" s="720">
        <v>9710.2800000000007</v>
      </c>
      <c r="D606" s="720">
        <v>904.5</v>
      </c>
      <c r="E606" s="720">
        <v>10614.78</v>
      </c>
      <c r="F606" s="718" t="s">
        <v>2230</v>
      </c>
      <c r="G606" s="718" t="s">
        <v>2276</v>
      </c>
      <c r="H606" s="607"/>
      <c r="I606" s="153"/>
      <c r="J606" s="153"/>
      <c r="K606" s="153"/>
      <c r="L606" s="149" t="str">
        <f t="shared" si="45"/>
        <v>87G</v>
      </c>
      <c r="M606" s="150" t="str">
        <f t="shared" si="46"/>
        <v>CHAUFF. ELECT. EAU - PIECE BMW</v>
      </c>
      <c r="N606" s="151">
        <f>+IF(OR($Q606=Parametres!$G$2,$Q606=Parametres!$G$3),I606,C606)</f>
        <v>9710.2800000000007</v>
      </c>
      <c r="O606" s="151">
        <f>+IF(OR($Q606=Parametres!$G$2,$Q606=Parametres!$G$3),J606,D606)</f>
        <v>904.5</v>
      </c>
      <c r="P606" s="151">
        <f>+IF(OR($Q606=Parametres!$G$2,$Q606=Parametres!$G$3),K606,E606)</f>
        <v>10614.78</v>
      </c>
      <c r="Q606" s="150" t="str">
        <f t="shared" si="47"/>
        <v>7-Dépenses</v>
      </c>
      <c r="R606" s="149" t="str">
        <f t="shared" si="48"/>
        <v>87</v>
      </c>
      <c r="S606" s="150">
        <f t="shared" si="49"/>
        <v>0</v>
      </c>
      <c r="T606" s="152" t="str">
        <f>+VLOOKUP($L606,Data_Validation!$A:$D,1,0)</f>
        <v>87G</v>
      </c>
      <c r="U606" s="152" t="str">
        <f>+VLOOKUP($L606,Data_Validation!$A:$D,3,0)</f>
        <v>pièces</v>
      </c>
      <c r="V606" s="152" t="str">
        <f>+VLOOKUP($L606,Data_Validation!$A:$D,4,0)</f>
        <v>Chauffage, éclairage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1679</v>
      </c>
      <c r="B607" s="718" t="s">
        <v>850</v>
      </c>
      <c r="C607" s="720">
        <v>9786.9</v>
      </c>
      <c r="D607" s="720">
        <v>978.69</v>
      </c>
      <c r="E607" s="720">
        <v>10765.59</v>
      </c>
      <c r="F607" s="718" t="s">
        <v>2230</v>
      </c>
      <c r="G607" s="718" t="s">
        <v>2277</v>
      </c>
      <c r="H607" s="673"/>
      <c r="I607" s="672"/>
      <c r="J607" s="672"/>
      <c r="K607" s="672"/>
      <c r="L607" s="149" t="str">
        <f t="shared" si="45"/>
        <v>85E</v>
      </c>
      <c r="M607" s="150" t="str">
        <f t="shared" si="46"/>
        <v>ASS. BATISSE - SERV. BMW</v>
      </c>
      <c r="N607" s="151">
        <f>+IF(OR($Q607=Parametres!$G$2,$Q607=Parametres!$G$3),I607,C607)</f>
        <v>9786.9</v>
      </c>
      <c r="O607" s="151">
        <f>+IF(OR($Q607=Parametres!$G$2,$Q607=Parametres!$G$3),J607,D607)</f>
        <v>978.69</v>
      </c>
      <c r="P607" s="151">
        <f>+IF(OR($Q607=Parametres!$G$2,$Q607=Parametres!$G$3),K607,E607)</f>
        <v>10765.59</v>
      </c>
      <c r="Q607" s="150" t="str">
        <f t="shared" si="47"/>
        <v>7-Dépenses</v>
      </c>
      <c r="R607" s="149" t="str">
        <f t="shared" si="48"/>
        <v>85</v>
      </c>
      <c r="S607" s="150">
        <f t="shared" si="49"/>
        <v>0</v>
      </c>
      <c r="T607" s="152" t="str">
        <f>+VLOOKUP($L607,Data_Validation!$A:$D,1,0)</f>
        <v>85E</v>
      </c>
      <c r="U607" s="152" t="str">
        <f>+VLOOKUP($L607,Data_Validation!$A:$D,3,0)</f>
        <v>Service</v>
      </c>
      <c r="V607" s="152" t="str">
        <f>+VLOOKUP($L607,Data_Validation!$A:$D,4,0)</f>
        <v>assurances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1677</v>
      </c>
      <c r="B608" s="718" t="s">
        <v>908</v>
      </c>
      <c r="C608" s="720">
        <v>10274.51</v>
      </c>
      <c r="D608" s="720">
        <v>2026.62</v>
      </c>
      <c r="E608" s="720">
        <v>12301.13</v>
      </c>
      <c r="F608" s="718" t="s">
        <v>2230</v>
      </c>
      <c r="G608" s="718" t="s">
        <v>2263</v>
      </c>
      <c r="H608" s="673"/>
      <c r="I608" s="672"/>
      <c r="J608" s="672"/>
      <c r="K608" s="672"/>
      <c r="L608" s="149" t="str">
        <f t="shared" si="45"/>
        <v>51E</v>
      </c>
      <c r="M608" s="150" t="str">
        <f t="shared" si="46"/>
        <v>UNIFORMES - SERV. BMW</v>
      </c>
      <c r="N608" s="151">
        <f>+IF(OR($Q608=Parametres!$G$2,$Q608=Parametres!$G$3),I608,C608)</f>
        <v>10274.51</v>
      </c>
      <c r="O608" s="504">
        <f>+IF(OR($Q608=Parametres!$G$2,$Q608=Parametres!$G$3),J608,D608)</f>
        <v>2026.62</v>
      </c>
      <c r="P608" s="151">
        <f>+IF(OR($Q608=Parametres!$G$2,$Q608=Parametres!$G$3),K608,E608)</f>
        <v>12301.13</v>
      </c>
      <c r="Q608" s="150" t="str">
        <f t="shared" si="47"/>
        <v>7-Dépenses</v>
      </c>
      <c r="R608" s="149" t="str">
        <f t="shared" si="48"/>
        <v>51</v>
      </c>
      <c r="S608" s="150">
        <f t="shared" si="49"/>
        <v>0</v>
      </c>
      <c r="T608" s="152" t="str">
        <f>+VLOOKUP($L608,Data_Validation!$A:$D,1,0)</f>
        <v>51E</v>
      </c>
      <c r="U608" s="152" t="str">
        <f>+VLOOKUP($L608,Data_Validation!$A:$D,3,0)</f>
        <v>Service</v>
      </c>
      <c r="V608" s="152" t="str">
        <f>+VLOOKUP($L608,Data_Validation!$A:$D,4,0)</f>
        <v>Uniformes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1188</v>
      </c>
      <c r="B609" s="718" t="s">
        <v>866</v>
      </c>
      <c r="C609" s="720">
        <v>10680</v>
      </c>
      <c r="D609" s="720">
        <v>1068</v>
      </c>
      <c r="E609" s="720">
        <v>11748</v>
      </c>
      <c r="F609" s="718" t="s">
        <v>2230</v>
      </c>
      <c r="G609" s="718" t="s">
        <v>2279</v>
      </c>
      <c r="H609" s="719"/>
      <c r="I609" s="719"/>
      <c r="J609" s="719"/>
      <c r="K609" s="719"/>
      <c r="L609" s="149" t="str">
        <f t="shared" si="45"/>
        <v>91G</v>
      </c>
      <c r="M609" s="150" t="str">
        <f t="shared" si="46"/>
        <v>DEPREC. EQUIP. - PIECE BMW</v>
      </c>
      <c r="N609" s="151">
        <f>+IF(OR($Q609=Parametres!$G$2,$Q609=Parametres!$G$3),I609,C609)</f>
        <v>10680</v>
      </c>
      <c r="O609" s="504">
        <f>+IF(OR($Q609=Parametres!$G$2,$Q609=Parametres!$G$3),J609,D609)</f>
        <v>1068</v>
      </c>
      <c r="P609" s="151">
        <f>+IF(OR($Q609=Parametres!$G$2,$Q609=Parametres!$G$3),K609,E609)</f>
        <v>11748</v>
      </c>
      <c r="Q609" s="150" t="str">
        <f t="shared" si="47"/>
        <v>7-Dépenses</v>
      </c>
      <c r="R609" s="149" t="str">
        <f t="shared" si="48"/>
        <v>91</v>
      </c>
      <c r="S609" s="150">
        <f t="shared" si="49"/>
        <v>0</v>
      </c>
      <c r="T609" s="152" t="str">
        <f>+VLOOKUP($L609,Data_Validation!$A:$D,1,0)</f>
        <v>91G</v>
      </c>
      <c r="U609" s="152" t="str">
        <f>+VLOOKUP($L609,Data_Validation!$A:$D,3,0)</f>
        <v>pièces</v>
      </c>
      <c r="V609" s="152" t="str">
        <f>+VLOOKUP($L609,Data_Validation!$A:$D,4,0)</f>
        <v>amortissement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1694</v>
      </c>
      <c r="B610" s="671" t="s">
        <v>1695</v>
      </c>
      <c r="C610" s="672">
        <v>10710</v>
      </c>
      <c r="D610" s="672">
        <v>1071</v>
      </c>
      <c r="E610" s="672">
        <v>11781</v>
      </c>
      <c r="F610" s="671" t="s">
        <v>2230</v>
      </c>
      <c r="G610" s="671" t="s">
        <v>2287</v>
      </c>
      <c r="H610" s="666"/>
      <c r="I610" s="665"/>
      <c r="J610" s="665"/>
      <c r="K610" s="665"/>
      <c r="L610" s="149" t="str">
        <f t="shared" si="45"/>
        <v>81C</v>
      </c>
      <c r="M610" s="150" t="str">
        <f t="shared" si="46"/>
        <v>AMORT. AMEL. LOC. - USAGE BMW</v>
      </c>
      <c r="N610" s="151">
        <f>+IF(OR($Q610=Parametres!$G$2,$Q610=Parametres!$G$3),I610,C610)</f>
        <v>10710</v>
      </c>
      <c r="O610" s="151">
        <f>+IF(OR($Q610=Parametres!$G$2,$Q610=Parametres!$G$3),J610,D610)</f>
        <v>1071</v>
      </c>
      <c r="P610" s="151">
        <f>+IF(OR($Q610=Parametres!$G$2,$Q610=Parametres!$G$3),K610,E610)</f>
        <v>11781</v>
      </c>
      <c r="Q610" s="150" t="str">
        <f t="shared" si="47"/>
        <v>7-Dépenses</v>
      </c>
      <c r="R610" s="149" t="str">
        <f t="shared" si="48"/>
        <v>81</v>
      </c>
      <c r="S610" s="150">
        <f t="shared" si="49"/>
        <v>0</v>
      </c>
      <c r="T610" s="152" t="str">
        <f>+VLOOKUP($L610,Data_Validation!$A:$D,1,0)</f>
        <v>81C</v>
      </c>
      <c r="U610" s="152" t="str">
        <f>+VLOOKUP($L610,Data_Validation!$A:$D,3,0)</f>
        <v>Véhicules usagés</v>
      </c>
      <c r="V610" s="152" t="str">
        <f>+VLOOKUP($L610,Data_Validation!$A:$D,4,0)</f>
        <v>Amortissement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1705</v>
      </c>
      <c r="B611" s="671" t="s">
        <v>864</v>
      </c>
      <c r="C611" s="672">
        <v>10744.34</v>
      </c>
      <c r="D611" s="672">
        <v>1118.01</v>
      </c>
      <c r="E611" s="672">
        <v>11862.35</v>
      </c>
      <c r="F611" s="671" t="s">
        <v>2230</v>
      </c>
      <c r="G611" s="671" t="s">
        <v>2280</v>
      </c>
      <c r="H611" s="666"/>
      <c r="I611" s="665"/>
      <c r="J611" s="665"/>
      <c r="K611" s="665"/>
      <c r="L611" s="149" t="str">
        <f t="shared" si="45"/>
        <v>53C</v>
      </c>
      <c r="M611" s="150" t="str">
        <f t="shared" si="46"/>
        <v>VEH. COMPAGNIE - USAGE BMW</v>
      </c>
      <c r="N611" s="151">
        <f>+IF(OR($Q611=Parametres!$G$2,$Q611=Parametres!$G$3),I611,C611)</f>
        <v>10744.34</v>
      </c>
      <c r="O611" s="151">
        <f>+IF(OR($Q611=Parametres!$G$2,$Q611=Parametres!$G$3),J611,D611)</f>
        <v>1118.01</v>
      </c>
      <c r="P611" s="151">
        <f>+IF(OR($Q611=Parametres!$G$2,$Q611=Parametres!$G$3),K611,E611)</f>
        <v>11862.35</v>
      </c>
      <c r="Q611" s="150" t="str">
        <f t="shared" si="47"/>
        <v>7-Dépenses</v>
      </c>
      <c r="R611" s="149" t="str">
        <f t="shared" si="48"/>
        <v>53</v>
      </c>
      <c r="S611" s="150">
        <f t="shared" si="49"/>
        <v>0</v>
      </c>
      <c r="T611" s="152" t="str">
        <f>+VLOOKUP($L611,Data_Validation!$A:$D,1,0)</f>
        <v>53C</v>
      </c>
      <c r="U611" s="152" t="str">
        <f>+VLOOKUP($L611,Data_Validation!$A:$D,3,0)</f>
        <v>Véhicules usagés</v>
      </c>
      <c r="V611" s="152" t="str">
        <f>+VLOOKUP($L611,Data_Validation!$A:$D,4,0)</f>
        <v>Frais véhicules de cie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1231</v>
      </c>
      <c r="B612" s="671" t="s">
        <v>849</v>
      </c>
      <c r="C612" s="672">
        <v>10924.06</v>
      </c>
      <c r="D612" s="672">
        <v>1017.57</v>
      </c>
      <c r="E612" s="672">
        <v>11941.63</v>
      </c>
      <c r="F612" s="671" t="s">
        <v>2230</v>
      </c>
      <c r="G612" s="671" t="s">
        <v>2276</v>
      </c>
      <c r="H612" s="666"/>
      <c r="I612" s="665"/>
      <c r="J612" s="665"/>
      <c r="K612" s="665"/>
      <c r="L612" s="149" t="str">
        <f t="shared" si="45"/>
        <v>87E</v>
      </c>
      <c r="M612" s="150" t="str">
        <f t="shared" si="46"/>
        <v>CHAUFF. ELECT. EAU - SERV. BMW</v>
      </c>
      <c r="N612" s="151">
        <f>+IF(OR($Q612=Parametres!$G$2,$Q612=Parametres!$G$3),I612,C612)</f>
        <v>10924.06</v>
      </c>
      <c r="O612" s="151">
        <f>+IF(OR($Q612=Parametres!$G$2,$Q612=Parametres!$G$3),J612,D612)</f>
        <v>1017.57</v>
      </c>
      <c r="P612" s="151">
        <f>+IF(OR($Q612=Parametres!$G$2,$Q612=Parametres!$G$3),K612,E612)</f>
        <v>11941.63</v>
      </c>
      <c r="Q612" s="150" t="str">
        <f t="shared" si="47"/>
        <v>7-Dépenses</v>
      </c>
      <c r="R612" s="149" t="str">
        <f t="shared" si="48"/>
        <v>87</v>
      </c>
      <c r="S612" s="150">
        <f t="shared" si="49"/>
        <v>0</v>
      </c>
      <c r="T612" s="152" t="str">
        <f>+VLOOKUP($L612,Data_Validation!$A:$D,1,0)</f>
        <v>87E</v>
      </c>
      <c r="U612" s="152" t="str">
        <f>+VLOOKUP($L612,Data_Validation!$A:$D,3,0)</f>
        <v>Service</v>
      </c>
      <c r="V612" s="152" t="str">
        <f>+VLOOKUP($L612,Data_Validation!$A:$D,4,0)</f>
        <v>Chauffage, éclairage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1724</v>
      </c>
      <c r="B613" s="671" t="s">
        <v>791</v>
      </c>
      <c r="C613" s="672">
        <v>10951.62</v>
      </c>
      <c r="D613" s="672">
        <v>527.96</v>
      </c>
      <c r="E613" s="672">
        <v>11479.58</v>
      </c>
      <c r="F613" s="671" t="s">
        <v>2230</v>
      </c>
      <c r="G613" s="671" t="s">
        <v>2260</v>
      </c>
      <c r="H613" s="666"/>
      <c r="I613" s="665"/>
      <c r="J613" s="665"/>
      <c r="K613" s="665"/>
      <c r="L613" s="149" t="str">
        <f t="shared" si="45"/>
        <v>61E</v>
      </c>
      <c r="M613" s="150" t="str">
        <f t="shared" si="46"/>
        <v>AUTRES FOURNITURES - SERV. BMW</v>
      </c>
      <c r="N613" s="151">
        <f>+IF(OR($Q613=Parametres!$G$2,$Q613=Parametres!$G$3),I613,C613)</f>
        <v>10951.62</v>
      </c>
      <c r="O613" s="151">
        <f>+IF(OR($Q613=Parametres!$G$2,$Q613=Parametres!$G$3),J613,D613)</f>
        <v>527.96</v>
      </c>
      <c r="P613" s="151">
        <f>+IF(OR($Q613=Parametres!$G$2,$Q613=Parametres!$G$3),K613,E613)</f>
        <v>11479.58</v>
      </c>
      <c r="Q613" s="150" t="str">
        <f t="shared" si="47"/>
        <v>7-Dépenses</v>
      </c>
      <c r="R613" s="149" t="str">
        <f t="shared" si="48"/>
        <v>61</v>
      </c>
      <c r="S613" s="150">
        <f t="shared" si="49"/>
        <v>0</v>
      </c>
      <c r="T613" s="152" t="str">
        <f>+VLOOKUP($L613,Data_Validation!$A:$D,1,0)</f>
        <v>61E</v>
      </c>
      <c r="U613" s="152" t="str">
        <f>+VLOOKUP($L613,Data_Validation!$A:$D,3,0)</f>
        <v>Service</v>
      </c>
      <c r="V613" s="152" t="str">
        <f>+VLOOKUP($L613,Data_Validation!$A:$D,4,0)</f>
        <v>fournitures autres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1719</v>
      </c>
      <c r="B614" s="671" t="s">
        <v>865</v>
      </c>
      <c r="C614" s="672">
        <v>11065.12</v>
      </c>
      <c r="D614" s="672">
        <v>1067.56</v>
      </c>
      <c r="E614" s="672">
        <v>12132.68</v>
      </c>
      <c r="F614" s="671" t="s">
        <v>2230</v>
      </c>
      <c r="G614" s="671" t="s">
        <v>2274</v>
      </c>
      <c r="H614" s="666"/>
      <c r="I614" s="665"/>
      <c r="J614" s="665"/>
      <c r="K614" s="665"/>
      <c r="L614" s="149" t="str">
        <f t="shared" si="45"/>
        <v>89A</v>
      </c>
      <c r="M614" s="150" t="str">
        <f t="shared" si="46"/>
        <v>TAXES &amp; PERMIS - NEUF BMW</v>
      </c>
      <c r="N614" s="151">
        <f>+IF(OR($Q614=Parametres!$G$2,$Q614=Parametres!$G$3),I614,C614)</f>
        <v>11065.12</v>
      </c>
      <c r="O614" s="151">
        <f>+IF(OR($Q614=Parametres!$G$2,$Q614=Parametres!$G$3),J614,D614)</f>
        <v>1067.56</v>
      </c>
      <c r="P614" s="151">
        <f>+IF(OR($Q614=Parametres!$G$2,$Q614=Parametres!$G$3),K614,E614)</f>
        <v>12132.68</v>
      </c>
      <c r="Q614" s="150" t="str">
        <f t="shared" si="47"/>
        <v>7-Dépenses</v>
      </c>
      <c r="R614" s="149" t="str">
        <f t="shared" si="48"/>
        <v>89</v>
      </c>
      <c r="S614" s="150">
        <f t="shared" si="49"/>
        <v>0</v>
      </c>
      <c r="T614" s="152" t="str">
        <f>+VLOOKUP($L614,Data_Validation!$A:$D,1,0)</f>
        <v>89A</v>
      </c>
      <c r="U614" s="152" t="str">
        <f>+VLOOKUP($L614,Data_Validation!$A:$D,3,0)</f>
        <v>Véhicules neufs</v>
      </c>
      <c r="V614" s="152" t="str">
        <f>+VLOOKUP($L614,Data_Validation!$A:$D,4,0)</f>
        <v>Taxes d`affaires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1172</v>
      </c>
      <c r="B615" s="671" t="s">
        <v>868</v>
      </c>
      <c r="C615" s="672">
        <v>11239.1</v>
      </c>
      <c r="D615" s="672">
        <v>1253.26</v>
      </c>
      <c r="E615" s="672">
        <v>12492.36</v>
      </c>
      <c r="F615" s="671" t="s">
        <v>2230</v>
      </c>
      <c r="G615" s="671" t="s">
        <v>2272</v>
      </c>
      <c r="H615" s="666"/>
      <c r="I615" s="665"/>
      <c r="J615" s="665"/>
      <c r="K615" s="665"/>
      <c r="L615" s="149" t="str">
        <f t="shared" si="45"/>
        <v>76E</v>
      </c>
      <c r="M615" s="150" t="str">
        <f t="shared" si="46"/>
        <v>FORMATION - SERV. BMW</v>
      </c>
      <c r="N615" s="151">
        <f>+IF(OR($Q615=Parametres!$G$2,$Q615=Parametres!$G$3),I615,C615)</f>
        <v>11239.1</v>
      </c>
      <c r="O615" s="151">
        <f>+IF(OR($Q615=Parametres!$G$2,$Q615=Parametres!$G$3),J615,D615)</f>
        <v>1253.26</v>
      </c>
      <c r="P615" s="151">
        <f>+IF(OR($Q615=Parametres!$G$2,$Q615=Parametres!$G$3),K615,E615)</f>
        <v>12492.36</v>
      </c>
      <c r="Q615" s="150" t="str">
        <f t="shared" si="47"/>
        <v>7-Dépenses</v>
      </c>
      <c r="R615" s="149" t="str">
        <f t="shared" si="48"/>
        <v>76</v>
      </c>
      <c r="S615" s="150">
        <f t="shared" si="49"/>
        <v>0</v>
      </c>
      <c r="T615" s="152" t="str">
        <f>+VLOOKUP($L615,Data_Validation!$A:$D,1,0)</f>
        <v>76E</v>
      </c>
      <c r="U615" s="152" t="str">
        <f>+VLOOKUP($L615,Data_Validation!$A:$D,3,0)</f>
        <v>Service</v>
      </c>
      <c r="V615" s="152" t="str">
        <f>+VLOOKUP($L615,Data_Validation!$A:$D,4,0)</f>
        <v>Formation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1720</v>
      </c>
      <c r="B616" s="671" t="s">
        <v>867</v>
      </c>
      <c r="C616" s="672">
        <v>11474.98</v>
      </c>
      <c r="D616" s="672">
        <v>1107.0999999999999</v>
      </c>
      <c r="E616" s="672">
        <v>12582.08</v>
      </c>
      <c r="F616" s="671" t="s">
        <v>2230</v>
      </c>
      <c r="G616" s="671" t="s">
        <v>2282</v>
      </c>
      <c r="H616" s="666"/>
      <c r="I616" s="665"/>
      <c r="J616" s="665"/>
      <c r="K616" s="665"/>
      <c r="L616" s="149" t="str">
        <f t="shared" si="45"/>
        <v>84G</v>
      </c>
      <c r="M616" s="150" t="str">
        <f t="shared" si="46"/>
        <v>TAXES BATISSE - PIECE BMW</v>
      </c>
      <c r="N616" s="151">
        <f>+IF(OR($Q616=Parametres!$G$2,$Q616=Parametres!$G$3),I616,C616)</f>
        <v>11474.98</v>
      </c>
      <c r="O616" s="151">
        <f>+IF(OR($Q616=Parametres!$G$2,$Q616=Parametres!$G$3),J616,D616)</f>
        <v>1107.0999999999999</v>
      </c>
      <c r="P616" s="151">
        <f>+IF(OR($Q616=Parametres!$G$2,$Q616=Parametres!$G$3),K616,E616)</f>
        <v>12582.08</v>
      </c>
      <c r="Q616" s="150" t="str">
        <f t="shared" si="47"/>
        <v>7-Dépenses</v>
      </c>
      <c r="R616" s="149" t="str">
        <f t="shared" si="48"/>
        <v>84</v>
      </c>
      <c r="S616" s="150">
        <f t="shared" si="49"/>
        <v>0</v>
      </c>
      <c r="T616" s="152" t="str">
        <f>+VLOOKUP($L616,Data_Validation!$A:$D,1,0)</f>
        <v>84G</v>
      </c>
      <c r="U616" s="152" t="str">
        <f>+VLOOKUP($L616,Data_Validation!$A:$D,3,0)</f>
        <v>pièces</v>
      </c>
      <c r="V616" s="152" t="str">
        <f>+VLOOKUP($L616,Data_Validation!$A:$D,4,0)</f>
        <v>Taxes foncières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1744</v>
      </c>
      <c r="B617" s="671" t="s">
        <v>838</v>
      </c>
      <c r="C617" s="672">
        <v>11846.5</v>
      </c>
      <c r="D617" s="672">
        <v>1482.15</v>
      </c>
      <c r="E617" s="672">
        <v>13328.65</v>
      </c>
      <c r="F617" s="671" t="s">
        <v>2230</v>
      </c>
      <c r="G617" s="671" t="s">
        <v>2266</v>
      </c>
      <c r="H617" s="666"/>
      <c r="I617" s="665"/>
      <c r="J617" s="665"/>
      <c r="K617" s="665"/>
      <c r="L617" s="149" t="str">
        <f t="shared" si="45"/>
        <v>29E</v>
      </c>
      <c r="M617" s="150" t="str">
        <f t="shared" si="46"/>
        <v>FONDS PENSIONS - SERV. BMW</v>
      </c>
      <c r="N617" s="151">
        <f>+IF(OR($Q617=Parametres!$G$2,$Q617=Parametres!$G$3),I617,C617)</f>
        <v>11846.5</v>
      </c>
      <c r="O617" s="151">
        <f>+IF(OR($Q617=Parametres!$G$2,$Q617=Parametres!$G$3),J617,D617)</f>
        <v>1482.15</v>
      </c>
      <c r="P617" s="151">
        <f>+IF(OR($Q617=Parametres!$G$2,$Q617=Parametres!$G$3),K617,E617)</f>
        <v>13328.65</v>
      </c>
      <c r="Q617" s="150" t="str">
        <f t="shared" si="47"/>
        <v>7-Dépenses</v>
      </c>
      <c r="R617" s="149" t="str">
        <f t="shared" si="48"/>
        <v>29</v>
      </c>
      <c r="S617" s="150">
        <f t="shared" si="49"/>
        <v>0</v>
      </c>
      <c r="T617" s="152" t="str">
        <f>+VLOOKUP($L617,Data_Validation!$A:$D,1,0)</f>
        <v>29E</v>
      </c>
      <c r="U617" s="152" t="str">
        <f>+VLOOKUP($L617,Data_Validation!$A:$D,3,0)</f>
        <v>Service</v>
      </c>
      <c r="V617" s="152" t="str">
        <f>+VLOOKUP($L617,Data_Validation!$A:$D,4,0)</f>
        <v>csst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1666</v>
      </c>
      <c r="B618" s="671" t="s">
        <v>870</v>
      </c>
      <c r="C618" s="672">
        <v>12217.41</v>
      </c>
      <c r="D618" s="672">
        <v>1209.1500000000001</v>
      </c>
      <c r="E618" s="672">
        <v>13426.56</v>
      </c>
      <c r="F618" s="671" t="s">
        <v>2230</v>
      </c>
      <c r="G618" s="671" t="s">
        <v>2280</v>
      </c>
      <c r="H618" s="666"/>
      <c r="I618" s="665"/>
      <c r="J618" s="665"/>
      <c r="K618" s="665"/>
      <c r="L618" s="149" t="str">
        <f t="shared" si="45"/>
        <v>53G</v>
      </c>
      <c r="M618" s="150" t="str">
        <f t="shared" si="46"/>
        <v>VEH. COMPAGNIE - PIECE BMW</v>
      </c>
      <c r="N618" s="151">
        <f>+IF(OR($Q618=Parametres!$G$2,$Q618=Parametres!$G$3),I618,C618)</f>
        <v>12217.41</v>
      </c>
      <c r="O618" s="151">
        <f>+IF(OR($Q618=Parametres!$G$2,$Q618=Parametres!$G$3),J618,D618)</f>
        <v>1209.1500000000001</v>
      </c>
      <c r="P618" s="151">
        <f>+IF(OR($Q618=Parametres!$G$2,$Q618=Parametres!$G$3),K618,E618)</f>
        <v>13426.56</v>
      </c>
      <c r="Q618" s="150" t="str">
        <f t="shared" si="47"/>
        <v>7-Dépenses</v>
      </c>
      <c r="R618" s="149" t="str">
        <f t="shared" si="48"/>
        <v>53</v>
      </c>
      <c r="S618" s="150">
        <f t="shared" si="49"/>
        <v>0</v>
      </c>
      <c r="T618" s="152" t="str">
        <f>+VLOOKUP($L618,Data_Validation!$A:$D,1,0)</f>
        <v>53G</v>
      </c>
      <c r="U618" s="152" t="str">
        <f>+VLOOKUP($L618,Data_Validation!$A:$D,3,0)</f>
        <v>pièces</v>
      </c>
      <c r="V618" s="152" t="str">
        <f>+VLOOKUP($L618,Data_Validation!$A:$D,4,0)</f>
        <v>Frais véhicules de cie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1734</v>
      </c>
      <c r="B619" s="671" t="s">
        <v>920</v>
      </c>
      <c r="C619" s="672">
        <v>12297.43</v>
      </c>
      <c r="D619" s="672">
        <v>1588.58</v>
      </c>
      <c r="E619" s="672">
        <v>13886.01</v>
      </c>
      <c r="F619" s="671" t="s">
        <v>2230</v>
      </c>
      <c r="G619" s="671" t="s">
        <v>2283</v>
      </c>
      <c r="H619" s="666"/>
      <c r="I619" s="665"/>
      <c r="J619" s="665"/>
      <c r="K619" s="665"/>
      <c r="L619" s="149" t="str">
        <f t="shared" si="45"/>
        <v>70G</v>
      </c>
      <c r="M619" s="150" t="str">
        <f t="shared" si="46"/>
        <v>SERV. EXTERIEURS - PIECE BMW</v>
      </c>
      <c r="N619" s="151">
        <f>+IF(OR($Q619=Parametres!$G$2,$Q619=Parametres!$G$3),I619,C619)</f>
        <v>12297.43</v>
      </c>
      <c r="O619" s="151">
        <f>+IF(OR($Q619=Parametres!$G$2,$Q619=Parametres!$G$3),J619,D619)</f>
        <v>1588.58</v>
      </c>
      <c r="P619" s="151">
        <f>+IF(OR($Q619=Parametres!$G$2,$Q619=Parametres!$G$3),K619,E619)</f>
        <v>13886.01</v>
      </c>
      <c r="Q619" s="150" t="str">
        <f t="shared" si="47"/>
        <v>7-Dépenses</v>
      </c>
      <c r="R619" s="149" t="str">
        <f t="shared" si="48"/>
        <v>70</v>
      </c>
      <c r="S619" s="150">
        <f t="shared" si="49"/>
        <v>0</v>
      </c>
      <c r="T619" s="152" t="str">
        <f>+VLOOKUP($L619,Data_Validation!$A:$D,1,0)</f>
        <v>70G</v>
      </c>
      <c r="U619" s="152" t="str">
        <f>+VLOOKUP($L619,Data_Validation!$A:$D,3,0)</f>
        <v>pièces</v>
      </c>
      <c r="V619" s="152" t="str">
        <f>+VLOOKUP($L619,Data_Validation!$A:$D,4,0)</f>
        <v>services extérieurs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1716</v>
      </c>
      <c r="B620" s="671" t="s">
        <v>871</v>
      </c>
      <c r="C620" s="672">
        <v>12500</v>
      </c>
      <c r="D620" s="672">
        <v>1250</v>
      </c>
      <c r="E620" s="672">
        <v>13750</v>
      </c>
      <c r="F620" s="671" t="s">
        <v>2230</v>
      </c>
      <c r="G620" s="671" t="s">
        <v>2294</v>
      </c>
      <c r="H620" s="666"/>
      <c r="I620" s="665"/>
      <c r="J620" s="665"/>
      <c r="K620" s="665"/>
      <c r="L620" s="149" t="str">
        <f t="shared" si="45"/>
        <v>80I</v>
      </c>
      <c r="M620" s="150" t="str">
        <f t="shared" si="46"/>
        <v>LOYER OU EQUEV. - CARROSSERIE BMW</v>
      </c>
      <c r="N620" s="151">
        <f>+IF(OR($Q620=Parametres!$G$2,$Q620=Parametres!$G$3),I620,C620)</f>
        <v>12500</v>
      </c>
      <c r="O620" s="151">
        <f>+IF(OR($Q620=Parametres!$G$2,$Q620=Parametres!$G$3),J620,D620)</f>
        <v>1250</v>
      </c>
      <c r="P620" s="151">
        <f>+IF(OR($Q620=Parametres!$G$2,$Q620=Parametres!$G$3),K620,E620)</f>
        <v>13750</v>
      </c>
      <c r="Q620" s="150" t="str">
        <f t="shared" si="47"/>
        <v>7-Dépenses</v>
      </c>
      <c r="R620" s="149" t="str">
        <f t="shared" si="48"/>
        <v>80</v>
      </c>
      <c r="S620" s="150">
        <f t="shared" si="49"/>
        <v>0</v>
      </c>
      <c r="T620" s="152" t="str">
        <f>+VLOOKUP($L620,Data_Validation!$A:$D,1,0)</f>
        <v>80I</v>
      </c>
      <c r="U620" s="152" t="str">
        <f>+VLOOKUP($L620,Data_Validation!$A:$D,3,0)</f>
        <v>carrosserie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1718</v>
      </c>
      <c r="B621" s="671" t="s">
        <v>882</v>
      </c>
      <c r="C621" s="672">
        <v>12614.7</v>
      </c>
      <c r="D621" s="672">
        <v>1261.47</v>
      </c>
      <c r="E621" s="672">
        <v>13876.17</v>
      </c>
      <c r="F621" s="671" t="s">
        <v>2230</v>
      </c>
      <c r="G621" s="671" t="s">
        <v>2285</v>
      </c>
      <c r="H621" s="666"/>
      <c r="I621" s="665"/>
      <c r="J621" s="665"/>
      <c r="K621" s="665"/>
      <c r="L621" s="149" t="str">
        <f t="shared" si="45"/>
        <v>74G</v>
      </c>
      <c r="M621" s="150" t="str">
        <f t="shared" si="46"/>
        <v>FRAIS LEGAUX &amp; CTB - PIECE BMW</v>
      </c>
      <c r="N621" s="151">
        <f>+IF(OR($Q621=Parametres!$G$2,$Q621=Parametres!$G$3),I621,C621)</f>
        <v>12614.7</v>
      </c>
      <c r="O621" s="151">
        <f>+IF(OR($Q621=Parametres!$G$2,$Q621=Parametres!$G$3),J621,D621)</f>
        <v>1261.47</v>
      </c>
      <c r="P621" s="151">
        <f>+IF(OR($Q621=Parametres!$G$2,$Q621=Parametres!$G$3),K621,E621)</f>
        <v>13876.17</v>
      </c>
      <c r="Q621" s="150" t="str">
        <f t="shared" si="47"/>
        <v>7-Dépenses</v>
      </c>
      <c r="R621" s="149" t="str">
        <f t="shared" si="48"/>
        <v>74</v>
      </c>
      <c r="S621" s="150">
        <f t="shared" si="49"/>
        <v>0</v>
      </c>
      <c r="T621" s="152" t="str">
        <f>+VLOOKUP($L621,Data_Validation!$A:$D,1,0)</f>
        <v>74G</v>
      </c>
      <c r="U621" s="152" t="str">
        <f>+VLOOKUP($L621,Data_Validation!$A:$D,3,0)</f>
        <v>pièces</v>
      </c>
      <c r="V621" s="152" t="str">
        <f>+VLOOKUP($L621,Data_Validation!$A:$D,4,0)</f>
        <v>honoraires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1690</v>
      </c>
      <c r="B622" s="671" t="s">
        <v>891</v>
      </c>
      <c r="C622" s="672">
        <v>12683.33</v>
      </c>
      <c r="D622" s="672">
        <v>2128.4699999999998</v>
      </c>
      <c r="E622" s="672">
        <v>14811.8</v>
      </c>
      <c r="F622" s="671" t="s">
        <v>2230</v>
      </c>
      <c r="G622" s="671" t="s">
        <v>2284</v>
      </c>
      <c r="H622" s="666"/>
      <c r="I622" s="665"/>
      <c r="J622" s="665"/>
      <c r="K622" s="665"/>
      <c r="L622" s="149" t="str">
        <f t="shared" si="45"/>
        <v>73G</v>
      </c>
      <c r="M622" s="150" t="str">
        <f t="shared" si="46"/>
        <v>REMISE CARTE CREDIT - PIECE BMW</v>
      </c>
      <c r="N622" s="151">
        <f>+IF(OR($Q622=Parametres!$G$2,$Q622=Parametres!$G$3),I622,C622)</f>
        <v>12683.33</v>
      </c>
      <c r="O622" s="151">
        <f>+IF(OR($Q622=Parametres!$G$2,$Q622=Parametres!$G$3),J622,D622)</f>
        <v>2128.4699999999998</v>
      </c>
      <c r="P622" s="151">
        <f>+IF(OR($Q622=Parametres!$G$2,$Q622=Parametres!$G$3),K622,E622)</f>
        <v>14811.8</v>
      </c>
      <c r="Q622" s="150" t="str">
        <f t="shared" si="47"/>
        <v>7-Dépenses</v>
      </c>
      <c r="R622" s="149" t="str">
        <f t="shared" si="48"/>
        <v>73</v>
      </c>
      <c r="S622" s="150">
        <f t="shared" si="49"/>
        <v>0</v>
      </c>
      <c r="T622" s="152" t="str">
        <f>+VLOOKUP($L622,Data_Validation!$A:$D,1,0)</f>
        <v>73G</v>
      </c>
      <c r="U622" s="152" t="str">
        <f>+VLOOKUP($L622,Data_Validation!$A:$D,3,0)</f>
        <v>pièces</v>
      </c>
      <c r="V622" s="152" t="str">
        <f>+VLOOKUP($L622,Data_Validation!$A:$D,4,0)</f>
        <v>frais bancaires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1156</v>
      </c>
      <c r="B623" s="671" t="s">
        <v>800</v>
      </c>
      <c r="C623" s="672">
        <v>12735.17</v>
      </c>
      <c r="D623" s="672">
        <v>1199.4000000000001</v>
      </c>
      <c r="E623" s="672">
        <v>13934.57</v>
      </c>
      <c r="F623" s="671" t="s">
        <v>2230</v>
      </c>
      <c r="G623" s="671" t="s">
        <v>2268</v>
      </c>
      <c r="H623" s="666"/>
      <c r="I623" s="665"/>
      <c r="J623" s="665"/>
      <c r="K623" s="665"/>
      <c r="L623" s="149" t="str">
        <f t="shared" si="45"/>
        <v>71A</v>
      </c>
      <c r="M623" s="150" t="str">
        <f t="shared" si="46"/>
        <v>FRAIS REPRESENTATION - NEUF BMW</v>
      </c>
      <c r="N623" s="151">
        <f>+IF(OR($Q623=Parametres!$G$2,$Q623=Parametres!$G$3),I623,C623)</f>
        <v>12735.17</v>
      </c>
      <c r="O623" s="151">
        <f>+IF(OR($Q623=Parametres!$G$2,$Q623=Parametres!$G$3),J623,D623)</f>
        <v>1199.4000000000001</v>
      </c>
      <c r="P623" s="151">
        <f>+IF(OR($Q623=Parametres!$G$2,$Q623=Parametres!$G$3),K623,E623)</f>
        <v>13934.57</v>
      </c>
      <c r="Q623" s="150" t="str">
        <f t="shared" si="47"/>
        <v>7-Dépenses</v>
      </c>
      <c r="R623" s="149" t="str">
        <f t="shared" si="48"/>
        <v>71</v>
      </c>
      <c r="S623" s="150">
        <f t="shared" si="49"/>
        <v>0</v>
      </c>
      <c r="T623" s="152" t="str">
        <f>+VLOOKUP($L623,Data_Validation!$A:$D,1,0)</f>
        <v>71A</v>
      </c>
      <c r="U623" s="152" t="str">
        <f>+VLOOKUP($L623,Data_Validation!$A:$D,3,0)</f>
        <v>Véhicules neufs</v>
      </c>
      <c r="V623" s="152" t="str">
        <f>+VLOOKUP($L623,Data_Validation!$A:$D,4,0)</f>
        <v>Frais de déplacement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389</v>
      </c>
      <c r="B624" s="671" t="s">
        <v>890</v>
      </c>
      <c r="C624" s="672">
        <v>12789.49</v>
      </c>
      <c r="D624" s="672">
        <v>2474.13</v>
      </c>
      <c r="E624" s="672">
        <v>15263.62</v>
      </c>
      <c r="F624" s="671" t="s">
        <v>2230</v>
      </c>
      <c r="G624" s="671" t="s">
        <v>2295</v>
      </c>
      <c r="H624" s="666"/>
      <c r="I624" s="665"/>
      <c r="J624" s="665"/>
      <c r="K624" s="665"/>
      <c r="L624" s="149" t="str">
        <f t="shared" si="45"/>
        <v>14A</v>
      </c>
      <c r="M624" s="150" t="str">
        <f t="shared" si="46"/>
        <v>ENTRETIEN INVENTAIRE NEUF</v>
      </c>
      <c r="N624" s="151">
        <f>+IF(OR($Q624=Parametres!$G$2,$Q624=Parametres!$G$3),I624,C624)</f>
        <v>12789.49</v>
      </c>
      <c r="O624" s="151">
        <f>+IF(OR($Q624=Parametres!$G$2,$Q624=Parametres!$G$3),J624,D624)</f>
        <v>2474.13</v>
      </c>
      <c r="P624" s="151">
        <f>+IF(OR($Q624=Parametres!$G$2,$Q624=Parametres!$G$3),K624,E624)</f>
        <v>15263.62</v>
      </c>
      <c r="Q624" s="150" t="str">
        <f t="shared" si="47"/>
        <v>7-Dépenses</v>
      </c>
      <c r="R624" s="149" t="str">
        <f t="shared" si="48"/>
        <v>14</v>
      </c>
      <c r="S624" s="150">
        <f t="shared" si="49"/>
        <v>0</v>
      </c>
      <c r="T624" s="152" t="str">
        <f>+VLOOKUP($L624,Data_Validation!$A:$D,1,0)</f>
        <v>14A</v>
      </c>
      <c r="U624" s="152" t="str">
        <f>+VLOOKUP($L624,Data_Validation!$A:$D,3,0)</f>
        <v>Véhicules neufs</v>
      </c>
      <c r="V624" s="152" t="str">
        <f>+VLOOKUP($L624,Data_Validation!$A:$D,4,0)</f>
        <v>Entretien stock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1729</v>
      </c>
      <c r="B625" s="671" t="s">
        <v>872</v>
      </c>
      <c r="C625" s="672">
        <v>12909.34</v>
      </c>
      <c r="D625" s="672">
        <v>1245.49</v>
      </c>
      <c r="E625" s="672">
        <v>14154.83</v>
      </c>
      <c r="F625" s="671" t="s">
        <v>2230</v>
      </c>
      <c r="G625" s="671" t="s">
        <v>2282</v>
      </c>
      <c r="H625" s="666"/>
      <c r="I625" s="665"/>
      <c r="J625" s="665"/>
      <c r="K625" s="665"/>
      <c r="L625" s="149" t="str">
        <f t="shared" si="45"/>
        <v>84E</v>
      </c>
      <c r="M625" s="150" t="str">
        <f t="shared" si="46"/>
        <v>TAXES BATISSE - SERV. BMW</v>
      </c>
      <c r="N625" s="151">
        <f>+IF(OR($Q625=Parametres!$G$2,$Q625=Parametres!$G$3),I625,C625)</f>
        <v>12909.34</v>
      </c>
      <c r="O625" s="151">
        <f>+IF(OR($Q625=Parametres!$G$2,$Q625=Parametres!$G$3),J625,D625)</f>
        <v>1245.49</v>
      </c>
      <c r="P625" s="151">
        <f>+IF(OR($Q625=Parametres!$G$2,$Q625=Parametres!$G$3),K625,E625)</f>
        <v>14154.83</v>
      </c>
      <c r="Q625" s="150" t="str">
        <f t="shared" si="47"/>
        <v>7-Dépenses</v>
      </c>
      <c r="R625" s="149" t="str">
        <f t="shared" si="48"/>
        <v>84</v>
      </c>
      <c r="S625" s="150">
        <f t="shared" si="49"/>
        <v>0</v>
      </c>
      <c r="T625" s="152" t="str">
        <f>+VLOOKUP($L625,Data_Validation!$A:$D,1,0)</f>
        <v>84E</v>
      </c>
      <c r="U625" s="152" t="str">
        <f>+VLOOKUP($L625,Data_Validation!$A:$D,3,0)</f>
        <v>Service</v>
      </c>
      <c r="V625" s="152" t="str">
        <f>+VLOOKUP($L625,Data_Validation!$A:$D,4,0)</f>
        <v>Taxes foncières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1797</v>
      </c>
      <c r="B626" s="671" t="s">
        <v>907</v>
      </c>
      <c r="C626" s="672">
        <v>13411.21</v>
      </c>
      <c r="D626" s="672">
        <v>1334.35</v>
      </c>
      <c r="E626" s="672">
        <v>14745.56</v>
      </c>
      <c r="F626" s="671" t="s">
        <v>2230</v>
      </c>
      <c r="G626" s="671" t="s">
        <v>2290</v>
      </c>
      <c r="H626" s="666"/>
      <c r="I626" s="665"/>
      <c r="J626" s="665"/>
      <c r="K626" s="665"/>
      <c r="L626" s="149" t="str">
        <f t="shared" si="45"/>
        <v>20C</v>
      </c>
      <c r="M626" s="150" t="str">
        <f t="shared" si="46"/>
        <v>SAL. PROPRIETAIRE - USAGE BMW</v>
      </c>
      <c r="N626" s="151">
        <f>+IF(OR($Q626=Parametres!$G$2,$Q626=Parametres!$G$3),I626,C626)</f>
        <v>13411.21</v>
      </c>
      <c r="O626" s="151">
        <f>+IF(OR($Q626=Parametres!$G$2,$Q626=Parametres!$G$3),J626,D626)</f>
        <v>1334.35</v>
      </c>
      <c r="P626" s="151">
        <f>+IF(OR($Q626=Parametres!$G$2,$Q626=Parametres!$G$3),K626,E626)</f>
        <v>14745.56</v>
      </c>
      <c r="Q626" s="150" t="str">
        <f t="shared" si="47"/>
        <v>7-Dépenses</v>
      </c>
      <c r="R626" s="149" t="str">
        <f t="shared" si="48"/>
        <v>20</v>
      </c>
      <c r="S626" s="150">
        <f t="shared" si="49"/>
        <v>0</v>
      </c>
      <c r="T626" s="152" t="str">
        <f>+VLOOKUP($L626,Data_Validation!$A:$D,1,0)</f>
        <v>20C</v>
      </c>
      <c r="U626" s="152" t="str">
        <f>+VLOOKUP($L626,Data_Validation!$A:$D,3,0)</f>
        <v>Véhicules usagés</v>
      </c>
      <c r="V626" s="152" t="str">
        <f>+VLOOKUP($L626,Data_Validation!$A:$D,4,0)</f>
        <v>Salaires propriétaire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1726</v>
      </c>
      <c r="B627" s="671" t="s">
        <v>888</v>
      </c>
      <c r="C627" s="672">
        <v>14191.6</v>
      </c>
      <c r="D627" s="672">
        <v>1419.16</v>
      </c>
      <c r="E627" s="672">
        <v>15610.76</v>
      </c>
      <c r="F627" s="671" t="s">
        <v>2230</v>
      </c>
      <c r="G627" s="671" t="s">
        <v>2285</v>
      </c>
      <c r="H627" s="666"/>
      <c r="I627" s="665"/>
      <c r="J627" s="665"/>
      <c r="K627" s="665"/>
      <c r="L627" s="149" t="str">
        <f t="shared" si="45"/>
        <v>74E</v>
      </c>
      <c r="M627" s="150" t="str">
        <f t="shared" si="46"/>
        <v>FRAIS LEGAUX &amp; CTB - SERV. BMW</v>
      </c>
      <c r="N627" s="151">
        <f>+IF(OR($Q627=Parametres!$G$2,$Q627=Parametres!$G$3),I627,C627)</f>
        <v>14191.6</v>
      </c>
      <c r="O627" s="151">
        <f>+IF(OR($Q627=Parametres!$G$2,$Q627=Parametres!$G$3),J627,D627)</f>
        <v>1419.16</v>
      </c>
      <c r="P627" s="151">
        <f>+IF(OR($Q627=Parametres!$G$2,$Q627=Parametres!$G$3),K627,E627)</f>
        <v>15610.76</v>
      </c>
      <c r="Q627" s="150" t="str">
        <f t="shared" si="47"/>
        <v>7-Dépenses</v>
      </c>
      <c r="R627" s="149" t="str">
        <f t="shared" si="48"/>
        <v>74</v>
      </c>
      <c r="S627" s="150">
        <f t="shared" si="49"/>
        <v>0</v>
      </c>
      <c r="T627" s="152" t="str">
        <f>+VLOOKUP($L627,Data_Validation!$A:$D,1,0)</f>
        <v>74E</v>
      </c>
      <c r="U627" s="152" t="str">
        <f>+VLOOKUP($L627,Data_Validation!$A:$D,3,0)</f>
        <v>Service</v>
      </c>
      <c r="V627" s="152" t="str">
        <f>+VLOOKUP($L627,Data_Validation!$A:$D,4,0)</f>
        <v>honoraires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1692</v>
      </c>
      <c r="B628" s="671" t="s">
        <v>899</v>
      </c>
      <c r="C628" s="672">
        <v>14268.81</v>
      </c>
      <c r="D628" s="672">
        <v>2394.5300000000002</v>
      </c>
      <c r="E628" s="672">
        <v>16663.34</v>
      </c>
      <c r="F628" s="671" t="s">
        <v>2230</v>
      </c>
      <c r="G628" s="671" t="s">
        <v>2284</v>
      </c>
      <c r="H628" s="666"/>
      <c r="I628" s="665"/>
      <c r="J628" s="665"/>
      <c r="K628" s="665"/>
      <c r="L628" s="149" t="str">
        <f t="shared" si="45"/>
        <v>73E</v>
      </c>
      <c r="M628" s="150" t="str">
        <f t="shared" si="46"/>
        <v>REMISE CARTE CREDIT - SERV. BMW</v>
      </c>
      <c r="N628" s="151">
        <f>+IF(OR($Q628=Parametres!$G$2,$Q628=Parametres!$G$3),I628,C628)</f>
        <v>14268.81</v>
      </c>
      <c r="O628" s="151">
        <f>+IF(OR($Q628=Parametres!$G$2,$Q628=Parametres!$G$3),J628,D628)</f>
        <v>2394.5300000000002</v>
      </c>
      <c r="P628" s="151">
        <f>+IF(OR($Q628=Parametres!$G$2,$Q628=Parametres!$G$3),K628,E628)</f>
        <v>16663.34</v>
      </c>
      <c r="Q628" s="150" t="str">
        <f t="shared" si="47"/>
        <v>7-Dépenses</v>
      </c>
      <c r="R628" s="149" t="str">
        <f t="shared" si="48"/>
        <v>73</v>
      </c>
      <c r="S628" s="150">
        <f t="shared" si="49"/>
        <v>0</v>
      </c>
      <c r="T628" s="152" t="str">
        <f>+VLOOKUP($L628,Data_Validation!$A:$D,1,0)</f>
        <v>73E</v>
      </c>
      <c r="U628" s="152" t="str">
        <f>+VLOOKUP($L628,Data_Validation!$A:$D,3,0)</f>
        <v>Service</v>
      </c>
      <c r="V628" s="152" t="str">
        <f>+VLOOKUP($L628,Data_Validation!$A:$D,4,0)</f>
        <v>frais bancaires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1631</v>
      </c>
      <c r="B629" s="671" t="s">
        <v>876</v>
      </c>
      <c r="C629" s="672">
        <v>14965.31</v>
      </c>
      <c r="D629" s="672">
        <v>1497.55</v>
      </c>
      <c r="E629" s="672">
        <v>16462.86</v>
      </c>
      <c r="F629" s="671" t="s">
        <v>2230</v>
      </c>
      <c r="G629" s="671" t="s">
        <v>2286</v>
      </c>
      <c r="H629" s="666"/>
      <c r="I629" s="665"/>
      <c r="J629" s="665"/>
      <c r="K629" s="665"/>
      <c r="L629" s="149" t="str">
        <f t="shared" si="45"/>
        <v>69C</v>
      </c>
      <c r="M629" s="150" t="str">
        <f t="shared" si="46"/>
        <v>FRAIS INFORMATIQUE - USAGE BMW</v>
      </c>
      <c r="N629" s="151">
        <f>+IF(OR($Q629=Parametres!$G$2,$Q629=Parametres!$G$3),I629,C629)</f>
        <v>14965.31</v>
      </c>
      <c r="O629" s="151">
        <f>+IF(OR($Q629=Parametres!$G$2,$Q629=Parametres!$G$3),J629,D629)</f>
        <v>1497.55</v>
      </c>
      <c r="P629" s="151">
        <f>+IF(OR($Q629=Parametres!$G$2,$Q629=Parametres!$G$3),K629,E629)</f>
        <v>16462.86</v>
      </c>
      <c r="Q629" s="150" t="str">
        <f t="shared" si="47"/>
        <v>7-Dépenses</v>
      </c>
      <c r="R629" s="149" t="str">
        <f t="shared" si="48"/>
        <v>69</v>
      </c>
      <c r="S629" s="150">
        <f t="shared" si="49"/>
        <v>0</v>
      </c>
      <c r="T629" s="152" t="str">
        <f>+VLOOKUP($L629,Data_Validation!$A:$D,1,0)</f>
        <v>69C</v>
      </c>
      <c r="U629" s="152" t="str">
        <f>+VLOOKUP($L629,Data_Validation!$A:$D,3,0)</f>
        <v>Véhicules usagés</v>
      </c>
      <c r="V629" s="152" t="str">
        <f>+VLOOKUP($L629,Data_Validation!$A:$D,4,0)</f>
        <v>informatique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1673</v>
      </c>
      <c r="B630" s="671" t="s">
        <v>857</v>
      </c>
      <c r="C630" s="672">
        <v>15863.38</v>
      </c>
      <c r="D630" s="672">
        <v>1527.56</v>
      </c>
      <c r="E630" s="672">
        <v>17390.939999999999</v>
      </c>
      <c r="F630" s="671" t="s">
        <v>2230</v>
      </c>
      <c r="G630" s="671" t="s">
        <v>2293</v>
      </c>
      <c r="H630" s="666"/>
      <c r="I630" s="665"/>
      <c r="J630" s="665"/>
      <c r="K630" s="665"/>
      <c r="L630" s="149" t="str">
        <f t="shared" si="45"/>
        <v>13C</v>
      </c>
      <c r="M630" s="150" t="str">
        <f t="shared" si="46"/>
        <v>FRAIS LIVRAISON - USAGE BMW</v>
      </c>
      <c r="N630" s="151">
        <f>+IF(OR($Q630=Parametres!$G$2,$Q630=Parametres!$G$3),I630,C630)</f>
        <v>15863.38</v>
      </c>
      <c r="O630" s="151">
        <f>+IF(OR($Q630=Parametres!$G$2,$Q630=Parametres!$G$3),J630,D630)</f>
        <v>1527.56</v>
      </c>
      <c r="P630" s="151">
        <f>+IF(OR($Q630=Parametres!$G$2,$Q630=Parametres!$G$3),K630,E630)</f>
        <v>17390.939999999999</v>
      </c>
      <c r="Q630" s="150" t="str">
        <f t="shared" si="47"/>
        <v>7-Dépenses</v>
      </c>
      <c r="R630" s="149" t="str">
        <f t="shared" si="48"/>
        <v>13</v>
      </c>
      <c r="S630" s="150">
        <f t="shared" si="49"/>
        <v>0</v>
      </c>
      <c r="T630" s="152" t="str">
        <f>+VLOOKUP($L630,Data_Validation!$A:$D,1,0)</f>
        <v>13C</v>
      </c>
      <c r="U630" s="152" t="str">
        <f>+VLOOKUP($L630,Data_Validation!$A:$D,3,0)</f>
        <v>Véhicules usagés</v>
      </c>
      <c r="V630" s="152" t="str">
        <f>+VLOOKUP($L630,Data_Validation!$A:$D,4,0)</f>
        <v>Frais de livraison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1649</v>
      </c>
      <c r="B631" s="671" t="s">
        <v>893</v>
      </c>
      <c r="C631" s="672">
        <v>16779.919999999998</v>
      </c>
      <c r="D631" s="672">
        <v>2136.73</v>
      </c>
      <c r="E631" s="672">
        <v>18916.650000000001</v>
      </c>
      <c r="F631" s="671" t="s">
        <v>2230</v>
      </c>
      <c r="G631" s="671" t="s">
        <v>2259</v>
      </c>
      <c r="H631" s="666"/>
      <c r="I631" s="665"/>
      <c r="J631" s="665"/>
      <c r="K631" s="665"/>
      <c r="L631" s="149" t="str">
        <f t="shared" si="45"/>
        <v>68C</v>
      </c>
      <c r="M631" s="150" t="str">
        <f t="shared" si="46"/>
        <v>TRAV. GRACIEUX - USAGE BMW</v>
      </c>
      <c r="N631" s="151">
        <f>+IF(OR($Q631=Parametres!$G$2,$Q631=Parametres!$G$3),I631,C631)</f>
        <v>16779.919999999998</v>
      </c>
      <c r="O631" s="151">
        <f>+IF(OR($Q631=Parametres!$G$2,$Q631=Parametres!$G$3),J631,D631)</f>
        <v>2136.73</v>
      </c>
      <c r="P631" s="151">
        <f>+IF(OR($Q631=Parametres!$G$2,$Q631=Parametres!$G$3),K631,E631)</f>
        <v>18916.650000000001</v>
      </c>
      <c r="Q631" s="150" t="str">
        <f t="shared" si="47"/>
        <v>7-Dépenses</v>
      </c>
      <c r="R631" s="149" t="str">
        <f t="shared" si="48"/>
        <v>68</v>
      </c>
      <c r="S631" s="150">
        <f t="shared" si="49"/>
        <v>0</v>
      </c>
      <c r="T631" s="152" t="str">
        <f>+VLOOKUP($L631,Data_Validation!$A:$D,1,0)</f>
        <v>68C</v>
      </c>
      <c r="U631" s="152" t="str">
        <f>+VLOOKUP($L631,Data_Validation!$A:$D,3,0)</f>
        <v>Véhicules usagés</v>
      </c>
      <c r="V631" s="152" t="str">
        <f>+VLOOKUP($L631,Data_Validation!$A:$D,4,0)</f>
        <v>service gratuit 1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1693</v>
      </c>
      <c r="B632" s="671" t="s">
        <v>895</v>
      </c>
      <c r="C632" s="672">
        <v>17707.77</v>
      </c>
      <c r="D632" s="672">
        <v>1812.6</v>
      </c>
      <c r="E632" s="672">
        <v>19520.37</v>
      </c>
      <c r="F632" s="671" t="s">
        <v>2230</v>
      </c>
      <c r="G632" s="671" t="s">
        <v>2280</v>
      </c>
      <c r="H632" s="666"/>
      <c r="I632" s="665"/>
      <c r="J632" s="665"/>
      <c r="K632" s="665"/>
      <c r="L632" s="149" t="str">
        <f t="shared" si="45"/>
        <v>53E</v>
      </c>
      <c r="M632" s="150" t="str">
        <f t="shared" si="46"/>
        <v>VEH. COMPAGNIE - SERV. BMW</v>
      </c>
      <c r="N632" s="151">
        <f>+IF(OR($Q632=Parametres!$G$2,$Q632=Parametres!$G$3),I632,C632)</f>
        <v>17707.77</v>
      </c>
      <c r="O632" s="151">
        <f>+IF(OR($Q632=Parametres!$G$2,$Q632=Parametres!$G$3),J632,D632)</f>
        <v>1812.6</v>
      </c>
      <c r="P632" s="151">
        <f>+IF(OR($Q632=Parametres!$G$2,$Q632=Parametres!$G$3),K632,E632)</f>
        <v>19520.37</v>
      </c>
      <c r="Q632" s="150" t="str">
        <f t="shared" si="47"/>
        <v>7-Dépenses</v>
      </c>
      <c r="R632" s="149" t="str">
        <f t="shared" si="48"/>
        <v>53</v>
      </c>
      <c r="S632" s="150">
        <f t="shared" si="49"/>
        <v>0</v>
      </c>
      <c r="T632" s="152" t="str">
        <f>+VLOOKUP($L632,Data_Validation!$A:$D,1,0)</f>
        <v>53E</v>
      </c>
      <c r="U632" s="152" t="str">
        <f>+VLOOKUP($L632,Data_Validation!$A:$D,3,0)</f>
        <v>Service</v>
      </c>
      <c r="V632" s="152" t="str">
        <f>+VLOOKUP($L632,Data_Validation!$A:$D,4,0)</f>
        <v>Frais véhicules de cie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390</v>
      </c>
      <c r="B633" s="671" t="s">
        <v>925</v>
      </c>
      <c r="C633" s="672">
        <v>17739.57</v>
      </c>
      <c r="D633" s="672">
        <v>1818.37</v>
      </c>
      <c r="E633" s="672">
        <v>19557.939999999999</v>
      </c>
      <c r="F633" s="671" t="s">
        <v>2230</v>
      </c>
      <c r="G633" s="671" t="s">
        <v>2295</v>
      </c>
      <c r="H633" s="666"/>
      <c r="I633" s="665"/>
      <c r="J633" s="665"/>
      <c r="K633" s="665"/>
      <c r="L633" s="149" t="str">
        <f t="shared" si="45"/>
        <v>14C</v>
      </c>
      <c r="M633" s="150" t="str">
        <f t="shared" si="46"/>
        <v>ENTRETIEN INVENTAIRE USAGE</v>
      </c>
      <c r="N633" s="151">
        <f>+IF(OR($Q633=Parametres!$G$2,$Q633=Parametres!$G$3),I633,C633)</f>
        <v>17739.57</v>
      </c>
      <c r="O633" s="151">
        <f>+IF(OR($Q633=Parametres!$G$2,$Q633=Parametres!$G$3),J633,D633)</f>
        <v>1818.37</v>
      </c>
      <c r="P633" s="151">
        <f>+IF(OR($Q633=Parametres!$G$2,$Q633=Parametres!$G$3),K633,E633)</f>
        <v>19557.939999999999</v>
      </c>
      <c r="Q633" s="150" t="str">
        <f t="shared" si="47"/>
        <v>7-Dépenses</v>
      </c>
      <c r="R633" s="149" t="str">
        <f t="shared" si="48"/>
        <v>14</v>
      </c>
      <c r="S633" s="150">
        <f t="shared" si="49"/>
        <v>0</v>
      </c>
      <c r="T633" s="152" t="str">
        <f>+VLOOKUP($L633,Data_Validation!$A:$D,1,0)</f>
        <v>14C</v>
      </c>
      <c r="U633" s="152" t="str">
        <f>+VLOOKUP($L633,Data_Validation!$A:$D,3,0)</f>
        <v>Véhicules usagés</v>
      </c>
      <c r="V633" s="152" t="str">
        <f>+VLOOKUP($L633,Data_Validation!$A:$D,4,0)</f>
        <v>Entretien stock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1749</v>
      </c>
      <c r="B634" s="671" t="s">
        <v>904</v>
      </c>
      <c r="C634" s="672">
        <v>17763.23</v>
      </c>
      <c r="D634" s="672">
        <v>735.92</v>
      </c>
      <c r="E634" s="672">
        <v>18499.150000000001</v>
      </c>
      <c r="F634" s="671" t="s">
        <v>2230</v>
      </c>
      <c r="G634" s="671" t="s">
        <v>2275</v>
      </c>
      <c r="H634" s="666"/>
      <c r="I634" s="665"/>
      <c r="J634" s="665"/>
      <c r="K634" s="665"/>
      <c r="L634" s="149" t="str">
        <f t="shared" si="45"/>
        <v>27G</v>
      </c>
      <c r="M634" s="150" t="str">
        <f t="shared" si="46"/>
        <v>AVANT. SOCIAUX - PIECE BMW</v>
      </c>
      <c r="N634" s="151">
        <f>+IF(OR($Q634=Parametres!$G$2,$Q634=Parametres!$G$3),I634,C634)</f>
        <v>17763.23</v>
      </c>
      <c r="O634" s="151">
        <f>+IF(OR($Q634=Parametres!$G$2,$Q634=Parametres!$G$3),J634,D634)</f>
        <v>735.92</v>
      </c>
      <c r="P634" s="151">
        <f>+IF(OR($Q634=Parametres!$G$2,$Q634=Parametres!$G$3),K634,E634)</f>
        <v>18499.150000000001</v>
      </c>
      <c r="Q634" s="150" t="str">
        <f t="shared" si="47"/>
        <v>7-Dépenses</v>
      </c>
      <c r="R634" s="149" t="str">
        <f t="shared" si="48"/>
        <v>27</v>
      </c>
      <c r="S634" s="150">
        <f t="shared" si="49"/>
        <v>0</v>
      </c>
      <c r="T634" s="152" t="str">
        <f>+VLOOKUP($L634,Data_Validation!$A:$D,1,0)</f>
        <v>27G</v>
      </c>
      <c r="U634" s="152" t="str">
        <f>+VLOOKUP($L634,Data_Validation!$A:$D,3,0)</f>
        <v>Pièces</v>
      </c>
      <c r="V634" s="152" t="str">
        <f>+VLOOKUP($L634,Data_Validation!$A:$D,4,0)</f>
        <v>Bénéfices marginaux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1669</v>
      </c>
      <c r="B635" s="671" t="s">
        <v>884</v>
      </c>
      <c r="C635" s="672">
        <v>17812.439999999999</v>
      </c>
      <c r="D635" s="672">
        <v>1717.09</v>
      </c>
      <c r="E635" s="672">
        <v>19529.53</v>
      </c>
      <c r="F635" s="671" t="s">
        <v>2230</v>
      </c>
      <c r="G635" s="671" t="s">
        <v>2286</v>
      </c>
      <c r="H635" s="666"/>
      <c r="I635" s="665"/>
      <c r="J635" s="665"/>
      <c r="K635" s="665"/>
      <c r="L635" s="149" t="str">
        <f t="shared" si="45"/>
        <v>69G</v>
      </c>
      <c r="M635" s="150" t="str">
        <f t="shared" si="46"/>
        <v>FRAIS INFORMATIQUE - PIECE BMW</v>
      </c>
      <c r="N635" s="151">
        <f>+IF(OR($Q635=Parametres!$G$2,$Q635=Parametres!$G$3),I635,C635)</f>
        <v>17812.439999999999</v>
      </c>
      <c r="O635" s="151">
        <f>+IF(OR($Q635=Parametres!$G$2,$Q635=Parametres!$G$3),J635,D635)</f>
        <v>1717.09</v>
      </c>
      <c r="P635" s="151">
        <f>+IF(OR($Q635=Parametres!$G$2,$Q635=Parametres!$G$3),K635,E635)</f>
        <v>19529.53</v>
      </c>
      <c r="Q635" s="150" t="str">
        <f t="shared" si="47"/>
        <v>7-Dépenses</v>
      </c>
      <c r="R635" s="149" t="str">
        <f t="shared" si="48"/>
        <v>69</v>
      </c>
      <c r="S635" s="150">
        <f t="shared" si="49"/>
        <v>0</v>
      </c>
      <c r="T635" s="152" t="str">
        <f>+VLOOKUP($L635,Data_Validation!$A:$D,1,0)</f>
        <v>69G</v>
      </c>
      <c r="U635" s="152" t="str">
        <f>+VLOOKUP($L635,Data_Validation!$A:$D,3,0)</f>
        <v>pièces</v>
      </c>
      <c r="V635" s="152" t="str">
        <f>+VLOOKUP($L635,Data_Validation!$A:$D,4,0)</f>
        <v>informatique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1717</v>
      </c>
      <c r="B636" s="671" t="s">
        <v>879</v>
      </c>
      <c r="C636" s="672">
        <v>19573.900000000001</v>
      </c>
      <c r="D636" s="672">
        <v>1957.39</v>
      </c>
      <c r="E636" s="672">
        <v>21531.29</v>
      </c>
      <c r="F636" s="671" t="s">
        <v>2230</v>
      </c>
      <c r="G636" s="671" t="s">
        <v>2277</v>
      </c>
      <c r="H636" s="666"/>
      <c r="I636" s="665"/>
      <c r="J636" s="665"/>
      <c r="K636" s="665"/>
      <c r="L636" s="149" t="str">
        <f t="shared" si="45"/>
        <v>85A</v>
      </c>
      <c r="M636" s="150" t="str">
        <f t="shared" si="46"/>
        <v>ASS. BATISSE - NEUF BMW</v>
      </c>
      <c r="N636" s="151">
        <f>+IF(OR($Q636=Parametres!$G$2,$Q636=Parametres!$G$3),I636,C636)</f>
        <v>19573.900000000001</v>
      </c>
      <c r="O636" s="151">
        <f>+IF(OR($Q636=Parametres!$G$2,$Q636=Parametres!$G$3),J636,D636)</f>
        <v>1957.39</v>
      </c>
      <c r="P636" s="151">
        <f>+IF(OR($Q636=Parametres!$G$2,$Q636=Parametres!$G$3),K636,E636)</f>
        <v>21531.29</v>
      </c>
      <c r="Q636" s="150" t="str">
        <f t="shared" si="47"/>
        <v>7-Dépenses</v>
      </c>
      <c r="R636" s="149" t="str">
        <f t="shared" si="48"/>
        <v>85</v>
      </c>
      <c r="S636" s="150">
        <f t="shared" si="49"/>
        <v>0</v>
      </c>
      <c r="T636" s="152" t="str">
        <f>+VLOOKUP($L636,Data_Validation!$A:$D,1,0)</f>
        <v>85A</v>
      </c>
      <c r="U636" s="152" t="str">
        <f>+VLOOKUP($L636,Data_Validation!$A:$D,3,0)</f>
        <v>Véhicules neufs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1175</v>
      </c>
      <c r="B637" s="671" t="s">
        <v>894</v>
      </c>
      <c r="C637" s="672">
        <v>20767.5</v>
      </c>
      <c r="D637" s="672">
        <v>2076.75</v>
      </c>
      <c r="E637" s="672">
        <v>22844.25</v>
      </c>
      <c r="F637" s="671" t="s">
        <v>2230</v>
      </c>
      <c r="G637" s="671" t="s">
        <v>2279</v>
      </c>
      <c r="H637" s="666"/>
      <c r="I637" s="665"/>
      <c r="J637" s="665"/>
      <c r="K637" s="665"/>
      <c r="L637" s="149" t="str">
        <f t="shared" si="45"/>
        <v>91A</v>
      </c>
      <c r="M637" s="150" t="str">
        <f t="shared" si="46"/>
        <v>DEPREC. EQUIP. - NEUF BMW</v>
      </c>
      <c r="N637" s="151">
        <f>+IF(OR($Q637=Parametres!$G$2,$Q637=Parametres!$G$3),I637,C637)</f>
        <v>20767.5</v>
      </c>
      <c r="O637" s="151">
        <f>+IF(OR($Q637=Parametres!$G$2,$Q637=Parametres!$G$3),J637,D637)</f>
        <v>2076.75</v>
      </c>
      <c r="P637" s="151">
        <f>+IF(OR($Q637=Parametres!$G$2,$Q637=Parametres!$G$3),K637,E637)</f>
        <v>22844.25</v>
      </c>
      <c r="Q637" s="150" t="str">
        <f t="shared" si="47"/>
        <v>7-Dépenses</v>
      </c>
      <c r="R637" s="149" t="str">
        <f t="shared" si="48"/>
        <v>91</v>
      </c>
      <c r="S637" s="150">
        <f t="shared" si="49"/>
        <v>0</v>
      </c>
      <c r="T637" s="152" t="str">
        <f>+VLOOKUP($L637,Data_Validation!$A:$D,1,0)</f>
        <v>91A</v>
      </c>
      <c r="U637" s="152" t="str">
        <f>+VLOOKUP($L637,Data_Validation!$A:$D,3,0)</f>
        <v>Véhicules neufs</v>
      </c>
      <c r="V637" s="152" t="str">
        <f>+VLOOKUP($L637,Data_Validation!$A:$D,4,0)</f>
        <v>amortissement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1113</v>
      </c>
      <c r="B638" s="671" t="s">
        <v>929</v>
      </c>
      <c r="C638" s="672">
        <v>20907.439999999999</v>
      </c>
      <c r="D638" s="672">
        <v>4231.84</v>
      </c>
      <c r="E638" s="672">
        <v>25139.279999999999</v>
      </c>
      <c r="F638" s="671" t="s">
        <v>2230</v>
      </c>
      <c r="G638" s="671" t="s">
        <v>2259</v>
      </c>
      <c r="H638" s="666"/>
      <c r="I638" s="665"/>
      <c r="J638" s="665"/>
      <c r="K638" s="665"/>
      <c r="L638" s="149" t="str">
        <f t="shared" si="45"/>
        <v>68E</v>
      </c>
      <c r="M638" s="150" t="str">
        <f t="shared" si="46"/>
        <v>TRAV. GRACIEUX - SERV. BMW</v>
      </c>
      <c r="N638" s="151">
        <f>+IF(OR($Q638=Parametres!$G$2,$Q638=Parametres!$G$3),I638,C638)</f>
        <v>20907.439999999999</v>
      </c>
      <c r="O638" s="151">
        <f>+IF(OR($Q638=Parametres!$G$2,$Q638=Parametres!$G$3),J638,D638)</f>
        <v>4231.84</v>
      </c>
      <c r="P638" s="151">
        <f>+IF(OR($Q638=Parametres!$G$2,$Q638=Parametres!$G$3),K638,E638)</f>
        <v>25139.279999999999</v>
      </c>
      <c r="Q638" s="150" t="str">
        <f t="shared" si="47"/>
        <v>7-Dépenses</v>
      </c>
      <c r="R638" s="149" t="str">
        <f t="shared" si="48"/>
        <v>68</v>
      </c>
      <c r="S638" s="150">
        <f t="shared" si="49"/>
        <v>0</v>
      </c>
      <c r="T638" s="152" t="str">
        <f>+VLOOKUP($L638,Data_Validation!$A:$D,1,0)</f>
        <v>68E</v>
      </c>
      <c r="U638" s="152" t="str">
        <f>+VLOOKUP($L638,Data_Validation!$A:$D,3,0)</f>
        <v>Service</v>
      </c>
      <c r="V638" s="152" t="str">
        <f>+VLOOKUP($L638,Data_Validation!$A:$D,4,0)</f>
        <v>service gratuit 2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1731</v>
      </c>
      <c r="B639" s="671" t="s">
        <v>1732</v>
      </c>
      <c r="C639" s="672">
        <v>21420</v>
      </c>
      <c r="D639" s="672">
        <v>2142</v>
      </c>
      <c r="E639" s="672">
        <v>23562</v>
      </c>
      <c r="F639" s="671" t="s">
        <v>2230</v>
      </c>
      <c r="G639" s="671" t="s">
        <v>2287</v>
      </c>
      <c r="H639" s="666"/>
      <c r="I639" s="665"/>
      <c r="J639" s="665"/>
      <c r="K639" s="665"/>
      <c r="L639" s="149" t="str">
        <f t="shared" si="45"/>
        <v>81G</v>
      </c>
      <c r="M639" s="150" t="str">
        <f t="shared" si="46"/>
        <v>AMORT. AMEL. LOC. - PIECE BMW</v>
      </c>
      <c r="N639" s="151">
        <f>+IF(OR($Q639=Parametres!$G$2,$Q639=Parametres!$G$3),I639,C639)</f>
        <v>21420</v>
      </c>
      <c r="O639" s="151">
        <f>+IF(OR($Q639=Parametres!$G$2,$Q639=Parametres!$G$3),J639,D639)</f>
        <v>2142</v>
      </c>
      <c r="P639" s="151">
        <f>+IF(OR($Q639=Parametres!$G$2,$Q639=Parametres!$G$3),K639,E639)</f>
        <v>23562</v>
      </c>
      <c r="Q639" s="150" t="str">
        <f t="shared" si="47"/>
        <v>7-Dépenses</v>
      </c>
      <c r="R639" s="149" t="str">
        <f t="shared" si="48"/>
        <v>81</v>
      </c>
      <c r="S639" s="150">
        <f t="shared" si="49"/>
        <v>0</v>
      </c>
      <c r="T639" s="152" t="str">
        <f>+VLOOKUP($L639,Data_Validation!$A:$D,1,0)</f>
        <v>81G</v>
      </c>
      <c r="U639" s="152" t="str">
        <f>+VLOOKUP($L639,Data_Validation!$A:$D,3,0)</f>
        <v>pièces</v>
      </c>
      <c r="V639" s="152" t="str">
        <f>+VLOOKUP($L639,Data_Validation!$A:$D,4,0)</f>
        <v>Amortissement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1712</v>
      </c>
      <c r="B640" s="671" t="s">
        <v>852</v>
      </c>
      <c r="C640" s="672">
        <v>21453.73</v>
      </c>
      <c r="D640" s="672">
        <v>1663.16</v>
      </c>
      <c r="E640" s="672">
        <v>23116.89</v>
      </c>
      <c r="F640" s="671" t="s">
        <v>2230</v>
      </c>
      <c r="G640" s="671" t="s">
        <v>2275</v>
      </c>
      <c r="H640" s="666"/>
      <c r="I640" s="665"/>
      <c r="J640" s="665"/>
      <c r="K640" s="665"/>
      <c r="L640" s="149" t="str">
        <f t="shared" si="45"/>
        <v>27C</v>
      </c>
      <c r="M640" s="150" t="str">
        <f t="shared" si="46"/>
        <v>AVANT. SOCIAUX - USAGE BMW</v>
      </c>
      <c r="N640" s="151">
        <f>+IF(OR($Q640=Parametres!$G$2,$Q640=Parametres!$G$3),I640,C640)</f>
        <v>21453.73</v>
      </c>
      <c r="O640" s="151">
        <f>+IF(OR($Q640=Parametres!$G$2,$Q640=Parametres!$G$3),J640,D640)</f>
        <v>1663.16</v>
      </c>
      <c r="P640" s="151">
        <f>+IF(OR($Q640=Parametres!$G$2,$Q640=Parametres!$G$3),K640,E640)</f>
        <v>23116.89</v>
      </c>
      <c r="Q640" s="150" t="str">
        <f t="shared" si="47"/>
        <v>7-Dépenses</v>
      </c>
      <c r="R640" s="149" t="str">
        <f t="shared" si="48"/>
        <v>27</v>
      </c>
      <c r="S640" s="150">
        <f t="shared" si="49"/>
        <v>0</v>
      </c>
      <c r="T640" s="152" t="str">
        <f>+VLOOKUP($L640,Data_Validation!$A:$D,1,0)</f>
        <v>27C</v>
      </c>
      <c r="U640" s="152" t="str">
        <f>+VLOOKUP($L640,Data_Validation!$A:$D,3,0)</f>
        <v>Véhicules usagés</v>
      </c>
      <c r="V640" s="152" t="str">
        <f>+VLOOKUP($L640,Data_Validation!$A:$D,4,0)</f>
        <v>Bénéfices marginaux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1229</v>
      </c>
      <c r="B641" s="671" t="s">
        <v>878</v>
      </c>
      <c r="C641" s="672">
        <v>21848.14</v>
      </c>
      <c r="D641" s="672">
        <v>2035.12</v>
      </c>
      <c r="E641" s="672">
        <v>23883.26</v>
      </c>
      <c r="F641" s="671" t="s">
        <v>2230</v>
      </c>
      <c r="G641" s="671" t="s">
        <v>2276</v>
      </c>
      <c r="H641" s="666"/>
      <c r="I641" s="665"/>
      <c r="J641" s="665"/>
      <c r="K641" s="665"/>
      <c r="L641" s="149" t="str">
        <f t="shared" si="45"/>
        <v>87A</v>
      </c>
      <c r="M641" s="150" t="str">
        <f t="shared" si="46"/>
        <v>CHAUFF. ELECT. EAU - NEUF BMW</v>
      </c>
      <c r="N641" s="151">
        <f>+IF(OR($Q641=Parametres!$G$2,$Q641=Parametres!$G$3),I641,C641)</f>
        <v>21848.14</v>
      </c>
      <c r="O641" s="151">
        <f>+IF(OR($Q641=Parametres!$G$2,$Q641=Parametres!$G$3),J641,D641)</f>
        <v>2035.12</v>
      </c>
      <c r="P641" s="151">
        <f>+IF(OR($Q641=Parametres!$G$2,$Q641=Parametres!$G$3),K641,E641)</f>
        <v>23883.26</v>
      </c>
      <c r="Q641" s="150" t="str">
        <f t="shared" si="47"/>
        <v>7-Dépenses</v>
      </c>
      <c r="R641" s="149" t="str">
        <f t="shared" si="48"/>
        <v>87</v>
      </c>
      <c r="S641" s="150">
        <f t="shared" si="49"/>
        <v>0</v>
      </c>
      <c r="T641" s="152" t="str">
        <f>+VLOOKUP($L641,Data_Validation!$A:$D,1,0)</f>
        <v>87A</v>
      </c>
      <c r="U641" s="152" t="str">
        <f>+VLOOKUP($L641,Data_Validation!$A:$D,3,0)</f>
        <v>Véhicules neufs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1736</v>
      </c>
      <c r="B642" s="671" t="s">
        <v>1737</v>
      </c>
      <c r="C642" s="672">
        <v>24097.5</v>
      </c>
      <c r="D642" s="672">
        <v>2409.75</v>
      </c>
      <c r="E642" s="672">
        <v>26507.25</v>
      </c>
      <c r="F642" s="671" t="s">
        <v>2230</v>
      </c>
      <c r="G642" s="671" t="s">
        <v>2287</v>
      </c>
      <c r="H642" s="666"/>
      <c r="I642" s="665"/>
      <c r="J642" s="665"/>
      <c r="K642" s="665"/>
      <c r="L642" s="149" t="str">
        <f t="shared" ref="L642:L705" si="50">+B642</f>
        <v>81E</v>
      </c>
      <c r="M642" s="150" t="str">
        <f t="shared" ref="M642:M705" si="51">+A642</f>
        <v>AMORT. AMEL. LOC. - SERV. BMW</v>
      </c>
      <c r="N642" s="151">
        <f>+IF(OR($Q642=Parametres!$G$2,$Q642=Parametres!$G$3),I642,C642)</f>
        <v>24097.5</v>
      </c>
      <c r="O642" s="151">
        <f>+IF(OR($Q642=Parametres!$G$2,$Q642=Parametres!$G$3),J642,D642)</f>
        <v>2409.75</v>
      </c>
      <c r="P642" s="151">
        <f>+IF(OR($Q642=Parametres!$G$2,$Q642=Parametres!$G$3),K642,E642)</f>
        <v>26507.25</v>
      </c>
      <c r="Q642" s="150" t="str">
        <f t="shared" ref="Q642:Q705" si="52">+F642</f>
        <v>7-Dépenses</v>
      </c>
      <c r="R642" s="149" t="str">
        <f t="shared" ref="R642:R705" si="53">+G642</f>
        <v>81</v>
      </c>
      <c r="S642" s="150">
        <f t="shared" ref="S642:S705" si="54">+H642</f>
        <v>0</v>
      </c>
      <c r="T642" s="152" t="str">
        <f>+VLOOKUP($L642,Data_Validation!$A:$D,1,0)</f>
        <v>81E</v>
      </c>
      <c r="U642" s="152" t="str">
        <f>+VLOOKUP($L642,Data_Validation!$A:$D,3,0)</f>
        <v>Service</v>
      </c>
      <c r="V642" s="152" t="str">
        <f>+VLOOKUP($L642,Data_Validation!$A:$D,4,0)</f>
        <v>Amortissement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1773</v>
      </c>
      <c r="B643" s="671" t="s">
        <v>901</v>
      </c>
      <c r="C643" s="672">
        <v>25818.68</v>
      </c>
      <c r="D643" s="672">
        <v>2490.98</v>
      </c>
      <c r="E643" s="672">
        <v>28309.66</v>
      </c>
      <c r="F643" s="671" t="s">
        <v>2230</v>
      </c>
      <c r="G643" s="671" t="s">
        <v>2282</v>
      </c>
      <c r="H643" s="666"/>
      <c r="I643" s="665"/>
      <c r="J643" s="665"/>
      <c r="K643" s="665"/>
      <c r="L643" s="149" t="str">
        <f t="shared" si="50"/>
        <v>84A</v>
      </c>
      <c r="M643" s="150" t="str">
        <f t="shared" si="51"/>
        <v>TAXES BATISSE - NEUF BMW</v>
      </c>
      <c r="N643" s="151">
        <f>+IF(OR($Q643=Parametres!$G$2,$Q643=Parametres!$G$3),I643,C643)</f>
        <v>25818.68</v>
      </c>
      <c r="O643" s="151">
        <f>+IF(OR($Q643=Parametres!$G$2,$Q643=Parametres!$G$3),J643,D643)</f>
        <v>2490.98</v>
      </c>
      <c r="P643" s="151">
        <f>+IF(OR($Q643=Parametres!$G$2,$Q643=Parametres!$G$3),K643,E643)</f>
        <v>28309.66</v>
      </c>
      <c r="Q643" s="150" t="str">
        <f t="shared" si="52"/>
        <v>7-Dépenses</v>
      </c>
      <c r="R643" s="149" t="str">
        <f t="shared" si="53"/>
        <v>84</v>
      </c>
      <c r="S643" s="150">
        <f t="shared" si="54"/>
        <v>0</v>
      </c>
      <c r="T643" s="152" t="str">
        <f>+VLOOKUP($L643,Data_Validation!$A:$D,1,0)</f>
        <v>84A</v>
      </c>
      <c r="U643" s="152" t="str">
        <f>+VLOOKUP($L643,Data_Validation!$A:$D,3,0)</f>
        <v>Véhicules neufs</v>
      </c>
      <c r="V643" s="152" t="str">
        <f>+VLOOKUP($L643,Data_Validation!$A:$D,4,0)</f>
        <v>Taxes foncières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1218</v>
      </c>
      <c r="B644" s="671" t="s">
        <v>900</v>
      </c>
      <c r="C644" s="672">
        <v>26267.74</v>
      </c>
      <c r="D644" s="672">
        <v>2596.4299999999998</v>
      </c>
      <c r="E644" s="672">
        <v>28864.17</v>
      </c>
      <c r="F644" s="671" t="s">
        <v>2230</v>
      </c>
      <c r="G644" s="671" t="s">
        <v>2278</v>
      </c>
      <c r="H644" s="666"/>
      <c r="I644" s="665"/>
      <c r="J644" s="665"/>
      <c r="K644" s="665"/>
      <c r="L644" s="149" t="str">
        <f t="shared" si="50"/>
        <v>24G</v>
      </c>
      <c r="M644" s="150" t="str">
        <f t="shared" si="51"/>
        <v>SAL. ABSENCE - PIECE BMW</v>
      </c>
      <c r="N644" s="151">
        <f>+IF(OR($Q644=Parametres!$G$2,$Q644=Parametres!$G$3),I644,C644)</f>
        <v>26267.74</v>
      </c>
      <c r="O644" s="151">
        <f>+IF(OR($Q644=Parametres!$G$2,$Q644=Parametres!$G$3),J644,D644)</f>
        <v>2596.4299999999998</v>
      </c>
      <c r="P644" s="151">
        <f>+IF(OR($Q644=Parametres!$G$2,$Q644=Parametres!$G$3),K644,E644)</f>
        <v>28864.17</v>
      </c>
      <c r="Q644" s="150" t="str">
        <f t="shared" si="52"/>
        <v>7-Dépenses</v>
      </c>
      <c r="R644" s="149" t="str">
        <f t="shared" si="53"/>
        <v>24</v>
      </c>
      <c r="S644" s="150">
        <f t="shared" si="54"/>
        <v>0</v>
      </c>
      <c r="T644" s="152" t="str">
        <f>+VLOOKUP($L644,Data_Validation!$A:$D,1,0)</f>
        <v>24G</v>
      </c>
      <c r="U644" s="152" t="str">
        <f>+VLOOKUP($L644,Data_Validation!$A:$D,3,0)</f>
        <v>Pièces</v>
      </c>
      <c r="V644" s="152" t="str">
        <f>+VLOOKUP($L644,Data_Validation!$A:$D,4,0)</f>
        <v>Salaires en absences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1774</v>
      </c>
      <c r="B645" s="671" t="s">
        <v>887</v>
      </c>
      <c r="C645" s="672">
        <v>26822.39</v>
      </c>
      <c r="D645" s="672">
        <v>2668.67</v>
      </c>
      <c r="E645" s="672">
        <v>29491.06</v>
      </c>
      <c r="F645" s="671" t="s">
        <v>2230</v>
      </c>
      <c r="G645" s="671" t="s">
        <v>2290</v>
      </c>
      <c r="H645" s="666"/>
      <c r="I645" s="665"/>
      <c r="J645" s="665"/>
      <c r="K645" s="665"/>
      <c r="L645" s="149" t="str">
        <f t="shared" si="50"/>
        <v>20G</v>
      </c>
      <c r="M645" s="150" t="str">
        <f t="shared" si="51"/>
        <v>SAL. PROPRIETAIRE - PIECE BMW</v>
      </c>
      <c r="N645" s="151">
        <f>+IF(OR($Q645=Parametres!$G$2,$Q645=Parametres!$G$3),I645,C645)</f>
        <v>26822.39</v>
      </c>
      <c r="O645" s="151">
        <f>+IF(OR($Q645=Parametres!$G$2,$Q645=Parametres!$G$3),J645,D645)</f>
        <v>2668.67</v>
      </c>
      <c r="P645" s="151">
        <f>+IF(OR($Q645=Parametres!$G$2,$Q645=Parametres!$G$3),K645,E645)</f>
        <v>29491.06</v>
      </c>
      <c r="Q645" s="150" t="str">
        <f t="shared" si="52"/>
        <v>7-Dépenses</v>
      </c>
      <c r="R645" s="149" t="str">
        <f t="shared" si="53"/>
        <v>20</v>
      </c>
      <c r="S645" s="150">
        <f t="shared" si="54"/>
        <v>0</v>
      </c>
      <c r="T645" s="152" t="str">
        <f>+VLOOKUP($L645,Data_Validation!$A:$D,1,0)</f>
        <v>20G</v>
      </c>
      <c r="U645" s="152" t="str">
        <f>+VLOOKUP($L645,Data_Validation!$A:$D,3,0)</f>
        <v>Pièces</v>
      </c>
      <c r="V645" s="152" t="str">
        <f>+VLOOKUP($L645,Data_Validation!$A:$D,4,0)</f>
        <v>Salaires propriétaire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1741</v>
      </c>
      <c r="B646" s="671" t="s">
        <v>875</v>
      </c>
      <c r="C646" s="672">
        <v>26936.42</v>
      </c>
      <c r="D646" s="672">
        <v>2376.06</v>
      </c>
      <c r="E646" s="672">
        <v>29312.48</v>
      </c>
      <c r="F646" s="671" t="s">
        <v>2230</v>
      </c>
      <c r="G646" s="671" t="s">
        <v>2293</v>
      </c>
      <c r="H646" s="666"/>
      <c r="I646" s="665"/>
      <c r="J646" s="665"/>
      <c r="K646" s="665"/>
      <c r="L646" s="149" t="str">
        <f t="shared" si="50"/>
        <v>13A</v>
      </c>
      <c r="M646" s="150" t="str">
        <f t="shared" si="51"/>
        <v>FRAIS LIVRAISON - NEUF BMW</v>
      </c>
      <c r="N646" s="151">
        <f>+IF(OR($Q646=Parametres!$G$2,$Q646=Parametres!$G$3),I646,C646)</f>
        <v>26936.42</v>
      </c>
      <c r="O646" s="151">
        <f>+IF(OR($Q646=Parametres!$G$2,$Q646=Parametres!$G$3),J646,D646)</f>
        <v>2376.06</v>
      </c>
      <c r="P646" s="151">
        <f>+IF(OR($Q646=Parametres!$G$2,$Q646=Parametres!$G$3),K646,E646)</f>
        <v>29312.48</v>
      </c>
      <c r="Q646" s="150" t="str">
        <f t="shared" si="52"/>
        <v>7-Dépenses</v>
      </c>
      <c r="R646" s="149" t="str">
        <f t="shared" si="53"/>
        <v>13</v>
      </c>
      <c r="S646" s="150">
        <f t="shared" si="54"/>
        <v>0</v>
      </c>
      <c r="T646" s="152" t="str">
        <f>+VLOOKUP($L646,Data_Validation!$A:$D,1,0)</f>
        <v>13A</v>
      </c>
      <c r="U646" s="152" t="str">
        <f>+VLOOKUP($L646,Data_Validation!$A:$D,3,0)</f>
        <v>Véhicules neufs</v>
      </c>
      <c r="V646" s="152" t="str">
        <f>+VLOOKUP($L646,Data_Validation!$A:$D,4,0)</f>
        <v>Frais de livraison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1743</v>
      </c>
      <c r="B647" s="671" t="s">
        <v>906</v>
      </c>
      <c r="C647" s="672">
        <v>26953.43</v>
      </c>
      <c r="D647" s="672">
        <v>2811.6</v>
      </c>
      <c r="E647" s="672">
        <v>29765.03</v>
      </c>
      <c r="F647" s="671" t="s">
        <v>2230</v>
      </c>
      <c r="G647" s="671" t="s">
        <v>2288</v>
      </c>
      <c r="H647" s="666"/>
      <c r="I647" s="665"/>
      <c r="J647" s="665"/>
      <c r="K647" s="665"/>
      <c r="L647" s="149" t="str">
        <f t="shared" si="50"/>
        <v>22G</v>
      </c>
      <c r="M647" s="150" t="str">
        <f t="shared" si="51"/>
        <v>SAL. ADMIN. - PIECE BMW</v>
      </c>
      <c r="N647" s="151">
        <f>+IF(OR($Q647=Parametres!$G$2,$Q647=Parametres!$G$3),I647,C647)</f>
        <v>26953.43</v>
      </c>
      <c r="O647" s="151">
        <f>+IF(OR($Q647=Parametres!$G$2,$Q647=Parametres!$G$3),J647,D647)</f>
        <v>2811.6</v>
      </c>
      <c r="P647" s="151">
        <f>+IF(OR($Q647=Parametres!$G$2,$Q647=Parametres!$G$3),K647,E647)</f>
        <v>29765.03</v>
      </c>
      <c r="Q647" s="150" t="str">
        <f t="shared" si="52"/>
        <v>7-Dépenses</v>
      </c>
      <c r="R647" s="149" t="str">
        <f t="shared" si="53"/>
        <v>22</v>
      </c>
      <c r="S647" s="150">
        <f t="shared" si="54"/>
        <v>0</v>
      </c>
      <c r="T647" s="152" t="str">
        <f>+VLOOKUP($L647,Data_Validation!$A:$D,1,0)</f>
        <v>22G</v>
      </c>
      <c r="U647" s="152" t="str">
        <f>+VLOOKUP($L647,Data_Validation!$A:$D,3,0)</f>
        <v>Pièces</v>
      </c>
      <c r="V647" s="152" t="str">
        <f>+VLOOKUP($L647,Data_Validation!$A:$D,4,0)</f>
        <v>Salaires commis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1704</v>
      </c>
      <c r="B648" s="671" t="s">
        <v>861</v>
      </c>
      <c r="C648" s="672">
        <v>28077.48</v>
      </c>
      <c r="D648" s="672">
        <v>3812.17</v>
      </c>
      <c r="E648" s="672">
        <v>31889.65</v>
      </c>
      <c r="F648" s="671" t="s">
        <v>2230</v>
      </c>
      <c r="G648" s="671" t="s">
        <v>2288</v>
      </c>
      <c r="H648" s="666"/>
      <c r="I648" s="665"/>
      <c r="J648" s="665"/>
      <c r="K648" s="665"/>
      <c r="L648" s="149" t="str">
        <f t="shared" si="50"/>
        <v>22C</v>
      </c>
      <c r="M648" s="150" t="str">
        <f t="shared" si="51"/>
        <v>SAL. ADMIN. - USAGE BMW</v>
      </c>
      <c r="N648" s="151">
        <f>+IF(OR($Q648=Parametres!$G$2,$Q648=Parametres!$G$3),I648,C648)</f>
        <v>28077.48</v>
      </c>
      <c r="O648" s="151">
        <f>+IF(OR($Q648=Parametres!$G$2,$Q648=Parametres!$G$3),J648,D648)</f>
        <v>3812.17</v>
      </c>
      <c r="P648" s="151">
        <f>+IF(OR($Q648=Parametres!$G$2,$Q648=Parametres!$G$3),K648,E648)</f>
        <v>31889.65</v>
      </c>
      <c r="Q648" s="150" t="str">
        <f t="shared" si="52"/>
        <v>7-Dépenses</v>
      </c>
      <c r="R648" s="149" t="str">
        <f t="shared" si="53"/>
        <v>22</v>
      </c>
      <c r="S648" s="150">
        <f t="shared" si="54"/>
        <v>0</v>
      </c>
      <c r="T648" s="152" t="str">
        <f>+VLOOKUP($L648,Data_Validation!$A:$D,1,0)</f>
        <v>22C</v>
      </c>
      <c r="U648" s="152" t="str">
        <f>+VLOOKUP($L648,Data_Validation!$A:$D,3,0)</f>
        <v>Véhicules usagés</v>
      </c>
      <c r="V648" s="152" t="str">
        <f>+VLOOKUP($L648,Data_Validation!$A:$D,4,0)</f>
        <v>Salaires commis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1782</v>
      </c>
      <c r="B649" s="671" t="s">
        <v>937</v>
      </c>
      <c r="C649" s="672">
        <v>28090</v>
      </c>
      <c r="D649" s="672">
        <v>2809</v>
      </c>
      <c r="E649" s="672">
        <v>30899</v>
      </c>
      <c r="F649" s="671" t="s">
        <v>2230</v>
      </c>
      <c r="G649" s="671" t="s">
        <v>2270</v>
      </c>
      <c r="H649" s="666"/>
      <c r="I649" s="665"/>
      <c r="J649" s="665"/>
      <c r="K649" s="665"/>
      <c r="L649" s="149" t="str">
        <f t="shared" si="50"/>
        <v>23C</v>
      </c>
      <c r="M649" s="150" t="str">
        <f t="shared" si="51"/>
        <v>SAL. AUTRES - USAGE BMW</v>
      </c>
      <c r="N649" s="151">
        <f>+IF(OR($Q649=Parametres!$G$2,$Q649=Parametres!$G$3),I649,C649)</f>
        <v>28090</v>
      </c>
      <c r="O649" s="477">
        <f>+IF(OR($Q649=Parametres!$G$2,$Q649=Parametres!$G$3),J649,D649)</f>
        <v>2809</v>
      </c>
      <c r="P649" s="151">
        <f>+IF(OR($Q649=Parametres!$G$2,$Q649=Parametres!$G$3),K649,E649)</f>
        <v>30899</v>
      </c>
      <c r="Q649" s="150" t="str">
        <f t="shared" si="52"/>
        <v>7-Dépenses</v>
      </c>
      <c r="R649" s="149" t="str">
        <f t="shared" si="53"/>
        <v>23</v>
      </c>
      <c r="S649" s="150">
        <f t="shared" si="54"/>
        <v>0</v>
      </c>
      <c r="T649" s="152" t="str">
        <f>+VLOOKUP($L649,Data_Validation!$A:$D,1,0)</f>
        <v>23C</v>
      </c>
      <c r="U649" s="152" t="str">
        <f>+VLOOKUP($L649,Data_Validation!$A:$D,3,0)</f>
        <v>Véhicules usagés</v>
      </c>
      <c r="V649" s="152" t="str">
        <f>+VLOOKUP($L649,Data_Validation!$A:$D,4,0)</f>
        <v>salaires autres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1771</v>
      </c>
      <c r="B650" s="671" t="s">
        <v>915</v>
      </c>
      <c r="C650" s="672">
        <v>28383</v>
      </c>
      <c r="D650" s="672">
        <v>2838.3</v>
      </c>
      <c r="E650" s="672">
        <v>31221.3</v>
      </c>
      <c r="F650" s="671" t="s">
        <v>2230</v>
      </c>
      <c r="G650" s="671" t="s">
        <v>2285</v>
      </c>
      <c r="H650" s="666"/>
      <c r="I650" s="665"/>
      <c r="J650" s="665"/>
      <c r="K650" s="665"/>
      <c r="L650" s="149" t="str">
        <f t="shared" si="50"/>
        <v>74A</v>
      </c>
      <c r="M650" s="150" t="str">
        <f t="shared" si="51"/>
        <v>FRAIS LEGAUX &amp; CTB - NEUF BMW</v>
      </c>
      <c r="N650" s="151">
        <f>+IF(OR($Q650=Parametres!$G$2,$Q650=Parametres!$G$3),I650,C650)</f>
        <v>28383</v>
      </c>
      <c r="O650" s="151">
        <f>+IF(OR($Q650=Parametres!$G$2,$Q650=Parametres!$G$3),J650,D650)</f>
        <v>2838.3</v>
      </c>
      <c r="P650" s="151">
        <f>+IF(OR($Q650=Parametres!$G$2,$Q650=Parametres!$G$3),K650,E650)</f>
        <v>31221.3</v>
      </c>
      <c r="Q650" s="150" t="str">
        <f t="shared" si="52"/>
        <v>7-Dépenses</v>
      </c>
      <c r="R650" s="149" t="str">
        <f t="shared" si="53"/>
        <v>74</v>
      </c>
      <c r="S650" s="150">
        <f t="shared" si="54"/>
        <v>0</v>
      </c>
      <c r="T650" s="152" t="str">
        <f>+VLOOKUP($L650,Data_Validation!$A:$D,1,0)</f>
        <v>74A</v>
      </c>
      <c r="U650" s="152" t="str">
        <f>+VLOOKUP($L650,Data_Validation!$A:$D,3,0)</f>
        <v>Véhicules neufs</v>
      </c>
      <c r="V650" s="152" t="str">
        <f>+VLOOKUP($L650,Data_Validation!$A:$D,4,0)</f>
        <v>honoraires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1730</v>
      </c>
      <c r="B651" s="671" t="s">
        <v>926</v>
      </c>
      <c r="C651" s="672">
        <v>28537.53</v>
      </c>
      <c r="D651" s="672">
        <v>4789.05</v>
      </c>
      <c r="E651" s="672">
        <v>33326.58</v>
      </c>
      <c r="F651" s="671" t="s">
        <v>2230</v>
      </c>
      <c r="G651" s="671" t="s">
        <v>2284</v>
      </c>
      <c r="H651" s="666"/>
      <c r="I651" s="665"/>
      <c r="J651" s="665"/>
      <c r="K651" s="665"/>
      <c r="L651" s="149" t="str">
        <f t="shared" si="50"/>
        <v>73A</v>
      </c>
      <c r="M651" s="150" t="str">
        <f t="shared" si="51"/>
        <v>REMISE CARTE CREDIT - NEUF BMW</v>
      </c>
      <c r="N651" s="151">
        <f>+IF(OR($Q651=Parametres!$G$2,$Q651=Parametres!$G$3),I651,C651)</f>
        <v>28537.53</v>
      </c>
      <c r="O651" s="477">
        <f>+IF(OR($Q651=Parametres!$G$2,$Q651=Parametres!$G$3),J651,D651)</f>
        <v>4789.05</v>
      </c>
      <c r="P651" s="151">
        <f>+IF(OR($Q651=Parametres!$G$2,$Q651=Parametres!$G$3),K651,E651)</f>
        <v>33326.58</v>
      </c>
      <c r="Q651" s="150" t="str">
        <f t="shared" si="52"/>
        <v>7-Dépenses</v>
      </c>
      <c r="R651" s="149" t="str">
        <f t="shared" si="53"/>
        <v>73</v>
      </c>
      <c r="S651" s="150">
        <f t="shared" si="54"/>
        <v>0</v>
      </c>
      <c r="T651" s="152" t="str">
        <f>+VLOOKUP($L651,Data_Validation!$A:$D,1,0)</f>
        <v>73A</v>
      </c>
      <c r="U651" s="152" t="str">
        <f>+VLOOKUP($L651,Data_Validation!$A:$D,3,0)</f>
        <v>Véhicules neufs</v>
      </c>
      <c r="V651" s="152" t="str">
        <f>+VLOOKUP($L651,Data_Validation!$A:$D,4,0)</f>
        <v>frais bancaires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1783</v>
      </c>
      <c r="B652" s="671" t="s">
        <v>897</v>
      </c>
      <c r="C652" s="672">
        <v>30175.23</v>
      </c>
      <c r="D652" s="672">
        <v>3002.27</v>
      </c>
      <c r="E652" s="672">
        <v>33177.5</v>
      </c>
      <c r="F652" s="671" t="s">
        <v>2230</v>
      </c>
      <c r="G652" s="671" t="s">
        <v>2290</v>
      </c>
      <c r="H652" s="666"/>
      <c r="I652" s="665"/>
      <c r="J652" s="665"/>
      <c r="K652" s="665"/>
      <c r="L652" s="149" t="str">
        <f t="shared" si="50"/>
        <v>20E</v>
      </c>
      <c r="M652" s="150" t="str">
        <f t="shared" si="51"/>
        <v>SAL. PROPRIETAIRE - SERV. BMW</v>
      </c>
      <c r="N652" s="151">
        <f>+IF(OR($Q652=Parametres!$G$2,$Q652=Parametres!$G$3),I652,C652)</f>
        <v>30175.23</v>
      </c>
      <c r="O652" s="151">
        <f>+IF(OR($Q652=Parametres!$G$2,$Q652=Parametres!$G$3),J652,D652)</f>
        <v>3002.27</v>
      </c>
      <c r="P652" s="151">
        <f>+IF(OR($Q652=Parametres!$G$2,$Q652=Parametres!$G$3),K652,E652)</f>
        <v>33177.5</v>
      </c>
      <c r="Q652" s="150" t="str">
        <f t="shared" si="52"/>
        <v>7-Dépenses</v>
      </c>
      <c r="R652" s="149" t="str">
        <f t="shared" si="53"/>
        <v>20</v>
      </c>
      <c r="S652" s="150">
        <f t="shared" si="54"/>
        <v>0</v>
      </c>
      <c r="T652" s="152" t="str">
        <f>+VLOOKUP($L652,Data_Validation!$A:$D,1,0)</f>
        <v>20E</v>
      </c>
      <c r="U652" s="152" t="str">
        <f>+VLOOKUP($L652,Data_Validation!$A:$D,3,0)</f>
        <v>Service</v>
      </c>
      <c r="V652" s="152" t="str">
        <f>+VLOOKUP($L652,Data_Validation!$A:$D,4,0)</f>
        <v>Salaires propriétaire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1750</v>
      </c>
      <c r="B653" s="671" t="s">
        <v>959</v>
      </c>
      <c r="C653" s="672">
        <v>32923.32</v>
      </c>
      <c r="D653" s="672">
        <v>3731.16</v>
      </c>
      <c r="E653" s="672">
        <v>36654.480000000003</v>
      </c>
      <c r="F653" s="671" t="s">
        <v>2230</v>
      </c>
      <c r="G653" s="671" t="s">
        <v>2283</v>
      </c>
      <c r="H653" s="666"/>
      <c r="I653" s="665"/>
      <c r="J653" s="665"/>
      <c r="K653" s="665"/>
      <c r="L653" s="149" t="str">
        <f t="shared" si="50"/>
        <v>70A</v>
      </c>
      <c r="M653" s="150" t="str">
        <f t="shared" si="51"/>
        <v>SERV. EXTERIEURS - NEUF BMW</v>
      </c>
      <c r="N653" s="151">
        <f>+IF(OR($Q653=Parametres!$G$2,$Q653=Parametres!$G$3),I653,C653)</f>
        <v>32923.32</v>
      </c>
      <c r="O653" s="477">
        <f>+IF(OR($Q653=Parametres!$G$2,$Q653=Parametres!$G$3),J653,D653)</f>
        <v>3731.16</v>
      </c>
      <c r="P653" s="151">
        <f>+IF(OR($Q653=Parametres!$G$2,$Q653=Parametres!$G$3),K653,E653)</f>
        <v>36654.480000000003</v>
      </c>
      <c r="Q653" s="150" t="str">
        <f t="shared" si="52"/>
        <v>7-Dépenses</v>
      </c>
      <c r="R653" s="149" t="str">
        <f t="shared" si="53"/>
        <v>70</v>
      </c>
      <c r="S653" s="150">
        <f t="shared" si="54"/>
        <v>0</v>
      </c>
      <c r="T653" s="152" t="str">
        <f>+VLOOKUP($L653,Data_Validation!$A:$D,1,0)</f>
        <v>70A</v>
      </c>
      <c r="U653" s="152" t="str">
        <f>+VLOOKUP($L653,Data_Validation!$A:$D,3,0)</f>
        <v>Véhicules neufs</v>
      </c>
      <c r="V653" s="152" t="str">
        <f>+VLOOKUP($L653,Data_Validation!$A:$D,4,0)</f>
        <v>services extérieurs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1723</v>
      </c>
      <c r="B654" s="671" t="s">
        <v>860</v>
      </c>
      <c r="C654" s="672">
        <v>33851.24</v>
      </c>
      <c r="D654" s="672">
        <v>1451.71</v>
      </c>
      <c r="E654" s="672">
        <v>35302.949999999997</v>
      </c>
      <c r="F654" s="671" t="s">
        <v>2230</v>
      </c>
      <c r="G654" s="671" t="s">
        <v>2269</v>
      </c>
      <c r="H654" s="666"/>
      <c r="I654" s="665"/>
      <c r="J654" s="665"/>
      <c r="K654" s="665"/>
      <c r="L654" s="149" t="str">
        <f t="shared" si="50"/>
        <v>16G</v>
      </c>
      <c r="M654" s="150" t="str">
        <f t="shared" si="51"/>
        <v>PUBLICITE - PIECE BMW</v>
      </c>
      <c r="N654" s="151">
        <f>+IF(OR($Q654=Parametres!$G$2,$Q654=Parametres!$G$3),I654,C654)</f>
        <v>33851.24</v>
      </c>
      <c r="O654" s="151">
        <f>+IF(OR($Q654=Parametres!$G$2,$Q654=Parametres!$G$3),J654,D654)</f>
        <v>1451.71</v>
      </c>
      <c r="P654" s="151">
        <f>+IF(OR($Q654=Parametres!$G$2,$Q654=Parametres!$G$3),K654,E654)</f>
        <v>35302.949999999997</v>
      </c>
      <c r="Q654" s="150" t="str">
        <f t="shared" si="52"/>
        <v>7-Dépenses</v>
      </c>
      <c r="R654" s="149" t="str">
        <f t="shared" si="53"/>
        <v>16</v>
      </c>
      <c r="S654" s="150">
        <f t="shared" si="54"/>
        <v>0</v>
      </c>
      <c r="T654" s="152" t="str">
        <f>+VLOOKUP($L654,Data_Validation!$A:$D,1,0)</f>
        <v>16G</v>
      </c>
      <c r="U654" s="152" t="str">
        <f>+VLOOKUP($L654,Data_Validation!$A:$D,3,0)</f>
        <v>Pièces</v>
      </c>
      <c r="V654" s="152" t="str">
        <f>+VLOOKUP($L654,Data_Validation!$A:$D,4,0)</f>
        <v>Publicité 2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1805</v>
      </c>
      <c r="B655" s="671" t="s">
        <v>938</v>
      </c>
      <c r="C655" s="672">
        <v>34047.18</v>
      </c>
      <c r="D655" s="672">
        <v>2434.1999999999998</v>
      </c>
      <c r="E655" s="672">
        <v>36481.379999999997</v>
      </c>
      <c r="F655" s="671" t="s">
        <v>2230</v>
      </c>
      <c r="G655" s="671" t="s">
        <v>2289</v>
      </c>
      <c r="H655" s="666"/>
      <c r="I655" s="665"/>
      <c r="J655" s="665"/>
      <c r="K655" s="665"/>
      <c r="L655" s="149" t="str">
        <f t="shared" si="50"/>
        <v>21G</v>
      </c>
      <c r="M655" s="150" t="str">
        <f t="shared" si="51"/>
        <v>SAL. SUPERVISION - PIECE BMW</v>
      </c>
      <c r="N655" s="151">
        <f>+IF(OR($Q655=Parametres!$G$2,$Q655=Parametres!$G$3),I655,C655)</f>
        <v>34047.18</v>
      </c>
      <c r="O655" s="477">
        <f>+IF(OR($Q655=Parametres!$G$2,$Q655=Parametres!$G$3),J655,D655)</f>
        <v>2434.1999999999998</v>
      </c>
      <c r="P655" s="151">
        <f>+IF(OR($Q655=Parametres!$G$2,$Q655=Parametres!$G$3),K655,E655)</f>
        <v>36481.379999999997</v>
      </c>
      <c r="Q655" s="150" t="str">
        <f t="shared" si="52"/>
        <v>7-Dépenses</v>
      </c>
      <c r="R655" s="149" t="str">
        <f t="shared" si="53"/>
        <v>21</v>
      </c>
      <c r="S655" s="150">
        <f t="shared" si="54"/>
        <v>0</v>
      </c>
      <c r="T655" s="152" t="str">
        <f>+VLOOKUP($L655,Data_Validation!$A:$D,1,0)</f>
        <v>21G</v>
      </c>
      <c r="U655" s="152" t="str">
        <f>+VLOOKUP($L655,Data_Validation!$A:$D,3,0)</f>
        <v>Pièces</v>
      </c>
      <c r="V655" s="152" t="str">
        <f>+VLOOKUP($L655,Data_Validation!$A:$D,4,0)</f>
        <v>Salaires cadres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1745</v>
      </c>
      <c r="B656" s="671" t="s">
        <v>902</v>
      </c>
      <c r="C656" s="672">
        <v>34635.11</v>
      </c>
      <c r="D656" s="672">
        <v>2755.91</v>
      </c>
      <c r="E656" s="672">
        <v>37391.019999999997</v>
      </c>
      <c r="F656" s="671" t="s">
        <v>2230</v>
      </c>
      <c r="G656" s="671" t="s">
        <v>2281</v>
      </c>
      <c r="H656" s="666"/>
      <c r="I656" s="665"/>
      <c r="J656" s="665"/>
      <c r="K656" s="665"/>
      <c r="L656" s="149" t="str">
        <f t="shared" si="50"/>
        <v>25G</v>
      </c>
      <c r="M656" s="150" t="str">
        <f t="shared" si="51"/>
        <v>TAXES PAYE - PIECE BMW</v>
      </c>
      <c r="N656" s="151">
        <f>+IF(OR($Q656=Parametres!$G$2,$Q656=Parametres!$G$3),I656,C656)</f>
        <v>34635.11</v>
      </c>
      <c r="O656" s="477">
        <f>+IF(OR($Q656=Parametres!$G$2,$Q656=Parametres!$G$3),J656,D656)</f>
        <v>2755.91</v>
      </c>
      <c r="P656" s="151">
        <f>+IF(OR($Q656=Parametres!$G$2,$Q656=Parametres!$G$3),K656,E656)</f>
        <v>37391.019999999997</v>
      </c>
      <c r="Q656" s="150" t="str">
        <f t="shared" si="52"/>
        <v>7-Dépenses</v>
      </c>
      <c r="R656" s="149" t="str">
        <f t="shared" si="53"/>
        <v>25</v>
      </c>
      <c r="S656" s="150">
        <f t="shared" si="54"/>
        <v>0</v>
      </c>
      <c r="T656" s="152" t="str">
        <f>+VLOOKUP($L656,Data_Validation!$A:$D,1,0)</f>
        <v>25G</v>
      </c>
      <c r="U656" s="152" t="str">
        <f>+VLOOKUP($L656,Data_Validation!$A:$D,3,0)</f>
        <v>Pièces</v>
      </c>
      <c r="V656" s="152" t="str">
        <f>+VLOOKUP($L656,Data_Validation!$A:$D,4,0)</f>
        <v>Déduction à la source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1709</v>
      </c>
      <c r="B657" s="671" t="s">
        <v>883</v>
      </c>
      <c r="C657" s="672">
        <v>35097.949999999997</v>
      </c>
      <c r="D657" s="672">
        <v>2303.4</v>
      </c>
      <c r="E657" s="672">
        <v>37401.35</v>
      </c>
      <c r="F657" s="671" t="s">
        <v>2230</v>
      </c>
      <c r="G657" s="671" t="s">
        <v>2281</v>
      </c>
      <c r="H657" s="666"/>
      <c r="I657" s="665"/>
      <c r="J657" s="665"/>
      <c r="K657" s="665"/>
      <c r="L657" s="149" t="str">
        <f t="shared" si="50"/>
        <v>25C</v>
      </c>
      <c r="M657" s="150" t="str">
        <f t="shared" si="51"/>
        <v>TAXES PAYE - USAGE BMW</v>
      </c>
      <c r="N657" s="151">
        <f>+IF(OR($Q657=Parametres!$G$2,$Q657=Parametres!$G$3),I657,C657)</f>
        <v>35097.949999999997</v>
      </c>
      <c r="O657" s="477">
        <f>+IF(OR($Q657=Parametres!$G$2,$Q657=Parametres!$G$3),J657,D657)</f>
        <v>2303.4</v>
      </c>
      <c r="P657" s="151">
        <f>+IF(OR($Q657=Parametres!$G$2,$Q657=Parametres!$G$3),K657,E657)</f>
        <v>37401.35</v>
      </c>
      <c r="Q657" s="150" t="str">
        <f t="shared" si="52"/>
        <v>7-Dépenses</v>
      </c>
      <c r="R657" s="149" t="str">
        <f t="shared" si="53"/>
        <v>25</v>
      </c>
      <c r="S657" s="150">
        <f t="shared" si="54"/>
        <v>0</v>
      </c>
      <c r="T657" s="152" t="str">
        <f>+VLOOKUP($L657,Data_Validation!$A:$D,1,0)</f>
        <v>25C</v>
      </c>
      <c r="U657" s="152" t="str">
        <f>+VLOOKUP($L657,Data_Validation!$A:$D,3,0)</f>
        <v>Véhicules usagés</v>
      </c>
      <c r="V657" s="152" t="str">
        <f>+VLOOKUP($L657,Data_Validation!$A:$D,4,0)</f>
        <v>Déduction à la source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1212</v>
      </c>
      <c r="B658" s="671" t="s">
        <v>858</v>
      </c>
      <c r="C658" s="672">
        <v>37038.9</v>
      </c>
      <c r="D658" s="672">
        <v>2451.91</v>
      </c>
      <c r="E658" s="672">
        <v>39490.81</v>
      </c>
      <c r="F658" s="671" t="s">
        <v>2230</v>
      </c>
      <c r="G658" s="671" t="s">
        <v>2278</v>
      </c>
      <c r="H658" s="666"/>
      <c r="I658" s="665"/>
      <c r="J658" s="665"/>
      <c r="K658" s="665"/>
      <c r="L658" s="149" t="str">
        <f t="shared" si="50"/>
        <v>24C</v>
      </c>
      <c r="M658" s="150" t="str">
        <f t="shared" si="51"/>
        <v>SAL. ABSENCE - USAGE BMW</v>
      </c>
      <c r="N658" s="151">
        <f>+IF(OR($Q658=Parametres!$G$2,$Q658=Parametres!$G$3),I658,C658)</f>
        <v>37038.9</v>
      </c>
      <c r="O658" s="477">
        <f>+IF(OR($Q658=Parametres!$G$2,$Q658=Parametres!$G$3),J658,D658)</f>
        <v>2451.91</v>
      </c>
      <c r="P658" s="151">
        <f>+IF(OR($Q658=Parametres!$G$2,$Q658=Parametres!$G$3),K658,E658)</f>
        <v>39490.81</v>
      </c>
      <c r="Q658" s="150" t="str">
        <f t="shared" si="52"/>
        <v>7-Dépenses</v>
      </c>
      <c r="R658" s="149" t="str">
        <f t="shared" si="53"/>
        <v>24</v>
      </c>
      <c r="S658" s="150">
        <f t="shared" si="54"/>
        <v>0</v>
      </c>
      <c r="T658" s="152" t="str">
        <f>+VLOOKUP($L658,Data_Validation!$A:$D,1,0)</f>
        <v>24C</v>
      </c>
      <c r="U658" s="152" t="str">
        <f>+VLOOKUP($L658,Data_Validation!$A:$D,3,0)</f>
        <v>Véhicules usagés</v>
      </c>
      <c r="V658" s="152" t="str">
        <f>+VLOOKUP($L658,Data_Validation!$A:$D,4,0)</f>
        <v>Salaires en absences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1770</v>
      </c>
      <c r="B659" s="671" t="s">
        <v>922</v>
      </c>
      <c r="C659" s="672">
        <v>41666.980000000003</v>
      </c>
      <c r="D659" s="672">
        <v>4843.63</v>
      </c>
      <c r="E659" s="672">
        <v>46510.61</v>
      </c>
      <c r="F659" s="671" t="s">
        <v>2230</v>
      </c>
      <c r="G659" s="671" t="s">
        <v>2289</v>
      </c>
      <c r="H659" s="666"/>
      <c r="I659" s="665"/>
      <c r="J659" s="665"/>
      <c r="K659" s="665"/>
      <c r="L659" s="149" t="str">
        <f t="shared" si="50"/>
        <v>21C</v>
      </c>
      <c r="M659" s="150" t="str">
        <f t="shared" si="51"/>
        <v>SAL. SUPERVISION - USAGE BMW</v>
      </c>
      <c r="N659" s="151">
        <f>+IF(OR($Q659=Parametres!$G$2,$Q659=Parametres!$G$3),I659,C659)</f>
        <v>41666.980000000003</v>
      </c>
      <c r="O659" s="151">
        <f>+IF(OR($Q659=Parametres!$G$2,$Q659=Parametres!$G$3),J659,D659)</f>
        <v>4843.63</v>
      </c>
      <c r="P659" s="151">
        <f>+IF(OR($Q659=Parametres!$G$2,$Q659=Parametres!$G$3),K659,E659)</f>
        <v>46510.61</v>
      </c>
      <c r="Q659" s="150" t="str">
        <f t="shared" si="52"/>
        <v>7-Dépenses</v>
      </c>
      <c r="R659" s="149" t="str">
        <f t="shared" si="53"/>
        <v>21</v>
      </c>
      <c r="S659" s="150">
        <f t="shared" si="54"/>
        <v>0</v>
      </c>
      <c r="T659" s="152" t="str">
        <f>+VLOOKUP($L659,Data_Validation!$A:$D,1,0)</f>
        <v>21C</v>
      </c>
      <c r="U659" s="152" t="str">
        <f>+VLOOKUP($L659,Data_Validation!$A:$D,3,0)</f>
        <v>Véhicules usagés</v>
      </c>
      <c r="V659" s="152" t="str">
        <f>+VLOOKUP($L659,Data_Validation!$A:$D,4,0)</f>
        <v>Salaires cadres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1758</v>
      </c>
      <c r="B660" s="671" t="s">
        <v>948</v>
      </c>
      <c r="C660" s="672">
        <v>43897.79</v>
      </c>
      <c r="D660" s="672">
        <v>3329.59</v>
      </c>
      <c r="E660" s="672">
        <v>47227.38</v>
      </c>
      <c r="F660" s="671" t="s">
        <v>2230</v>
      </c>
      <c r="G660" s="671" t="s">
        <v>2275</v>
      </c>
      <c r="H660" s="666"/>
      <c r="I660" s="665"/>
      <c r="J660" s="665"/>
      <c r="K660" s="665"/>
      <c r="L660" s="149" t="str">
        <f t="shared" si="50"/>
        <v>27E</v>
      </c>
      <c r="M660" s="150" t="str">
        <f t="shared" si="51"/>
        <v>AVANT. SOCIAUX - SERV. BMW</v>
      </c>
      <c r="N660" s="151">
        <f>+IF(OR($Q660=Parametres!$G$2,$Q660=Parametres!$G$3),I660,C660)</f>
        <v>43897.79</v>
      </c>
      <c r="O660" s="151">
        <f>+IF(OR($Q660=Parametres!$G$2,$Q660=Parametres!$G$3),J660,D660)</f>
        <v>3329.59</v>
      </c>
      <c r="P660" s="151">
        <f>+IF(OR($Q660=Parametres!$G$2,$Q660=Parametres!$G$3),K660,E660)</f>
        <v>47227.38</v>
      </c>
      <c r="Q660" s="150" t="str">
        <f t="shared" si="52"/>
        <v>7-Dépenses</v>
      </c>
      <c r="R660" s="149" t="str">
        <f t="shared" si="53"/>
        <v>27</v>
      </c>
      <c r="S660" s="150">
        <f t="shared" si="54"/>
        <v>0</v>
      </c>
      <c r="T660" s="152" t="str">
        <f>+VLOOKUP($L660,Data_Validation!$A:$D,1,0)</f>
        <v>27E</v>
      </c>
      <c r="U660" s="152" t="str">
        <f>+VLOOKUP($L660,Data_Validation!$A:$D,3,0)</f>
        <v>Service</v>
      </c>
      <c r="V660" s="152" t="str">
        <f>+VLOOKUP($L660,Data_Validation!$A:$D,4,0)</f>
        <v>Bénéfices marginaux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1795</v>
      </c>
      <c r="B661" s="671" t="s">
        <v>914</v>
      </c>
      <c r="C661" s="672">
        <v>44986.7</v>
      </c>
      <c r="D661" s="672">
        <v>2314.0700000000002</v>
      </c>
      <c r="E661" s="672">
        <v>47300.77</v>
      </c>
      <c r="F661" s="671" t="s">
        <v>2230</v>
      </c>
      <c r="G661" s="671" t="s">
        <v>2275</v>
      </c>
      <c r="H661" s="666"/>
      <c r="I661" s="665"/>
      <c r="J661" s="665"/>
      <c r="K661" s="665"/>
      <c r="L661" s="149" t="str">
        <f t="shared" si="50"/>
        <v>27A</v>
      </c>
      <c r="M661" s="150" t="str">
        <f t="shared" si="51"/>
        <v>AVANT. SOCIAUX - NEUF BMW</v>
      </c>
      <c r="N661" s="151">
        <f>+IF(OR($Q661=Parametres!$G$2,$Q661=Parametres!$G$3),I661,C661)</f>
        <v>44986.7</v>
      </c>
      <c r="O661" s="151">
        <f>+IF(OR($Q661=Parametres!$G$2,$Q661=Parametres!$G$3),J661,D661)</f>
        <v>2314.0700000000002</v>
      </c>
      <c r="P661" s="151">
        <f>+IF(OR($Q661=Parametres!$G$2,$Q661=Parametres!$G$3),K661,E661)</f>
        <v>47300.77</v>
      </c>
      <c r="Q661" s="150" t="str">
        <f t="shared" si="52"/>
        <v>7-Dépenses</v>
      </c>
      <c r="R661" s="149" t="str">
        <f t="shared" si="53"/>
        <v>27</v>
      </c>
      <c r="S661" s="150">
        <f t="shared" si="54"/>
        <v>0</v>
      </c>
      <c r="T661" s="152" t="str">
        <f>+VLOOKUP($L661,Data_Validation!$A:$D,1,0)</f>
        <v>27A</v>
      </c>
      <c r="U661" s="152" t="str">
        <f>+VLOOKUP($L661,Data_Validation!$A:$D,3,0)</f>
        <v>Véhicules neufs</v>
      </c>
      <c r="V661" s="152" t="str">
        <f>+VLOOKUP($L661,Data_Validation!$A:$D,4,0)</f>
        <v>Bénéfices marginaux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customHeight="1">
      <c r="A662" s="671" t="s">
        <v>1640</v>
      </c>
      <c r="B662" s="671" t="s">
        <v>913</v>
      </c>
      <c r="C662" s="672">
        <v>45942.73</v>
      </c>
      <c r="D662" s="672">
        <v>4394.9399999999996</v>
      </c>
      <c r="E662" s="672">
        <v>50337.67</v>
      </c>
      <c r="F662" s="671" t="s">
        <v>2230</v>
      </c>
      <c r="G662" s="671" t="s">
        <v>2286</v>
      </c>
      <c r="H662" s="666"/>
      <c r="I662" s="665"/>
      <c r="J662" s="665"/>
      <c r="K662" s="665"/>
      <c r="L662" s="149" t="str">
        <f t="shared" si="50"/>
        <v>69A</v>
      </c>
      <c r="M662" s="150" t="str">
        <f t="shared" si="51"/>
        <v>FRAIS INFORMATIQUE - NEUF BMW</v>
      </c>
      <c r="N662" s="151">
        <f>+IF(OR($Q662=Parametres!$G$2,$Q662=Parametres!$G$3),I662,C662)</f>
        <v>45942.73</v>
      </c>
      <c r="O662" s="501">
        <f>+IF(OR($Q662=Parametres!$G$2,$Q662=Parametres!$G$3),J662,D662)</f>
        <v>4394.9399999999996</v>
      </c>
      <c r="P662" s="151">
        <f>+IF(OR($Q662=Parametres!$G$2,$Q662=Parametres!$G$3),K662,E662)</f>
        <v>50337.67</v>
      </c>
      <c r="Q662" s="150" t="str">
        <f t="shared" si="52"/>
        <v>7-Dépenses</v>
      </c>
      <c r="R662" s="149" t="str">
        <f t="shared" si="53"/>
        <v>69</v>
      </c>
      <c r="S662" s="150">
        <f t="shared" si="54"/>
        <v>0</v>
      </c>
      <c r="T662" s="152" t="str">
        <f>+VLOOKUP($L662,Data_Validation!$A:$D,1,0)</f>
        <v>69A</v>
      </c>
      <c r="U662" s="152" t="str">
        <f>+VLOOKUP($L662,Data_Validation!$A:$D,3,0)</f>
        <v>Véhicules neufs</v>
      </c>
      <c r="V662" s="152" t="str">
        <f>+VLOOKUP($L662,Data_Validation!$A:$D,4,0)</f>
        <v>informatique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1772</v>
      </c>
      <c r="B663" s="671" t="s">
        <v>921</v>
      </c>
      <c r="C663" s="672">
        <v>47502.18</v>
      </c>
      <c r="D663" s="672">
        <v>5254.98</v>
      </c>
      <c r="E663" s="672">
        <v>52757.16</v>
      </c>
      <c r="F663" s="671" t="s">
        <v>2230</v>
      </c>
      <c r="G663" s="671" t="s">
        <v>2288</v>
      </c>
      <c r="H663" s="666"/>
      <c r="I663" s="665"/>
      <c r="J663" s="665"/>
      <c r="K663" s="665"/>
      <c r="L663" s="149" t="str">
        <f t="shared" si="50"/>
        <v>22E</v>
      </c>
      <c r="M663" s="150" t="str">
        <f t="shared" si="51"/>
        <v>SAL. ADMIN. - SERV. BMW</v>
      </c>
      <c r="N663" s="151">
        <f>+IF(OR($Q663=Parametres!$G$2,$Q663=Parametres!$G$3),I663,C663)</f>
        <v>47502.18</v>
      </c>
      <c r="O663" s="151">
        <f>+IF(OR($Q663=Parametres!$G$2,$Q663=Parametres!$G$3),J663,D663)</f>
        <v>5254.98</v>
      </c>
      <c r="P663" s="151">
        <f>+IF(OR($Q663=Parametres!$G$2,$Q663=Parametres!$G$3),K663,E663)</f>
        <v>52757.16</v>
      </c>
      <c r="Q663" s="150" t="str">
        <f t="shared" si="52"/>
        <v>7-Dépenses</v>
      </c>
      <c r="R663" s="149" t="str">
        <f t="shared" si="53"/>
        <v>22</v>
      </c>
      <c r="S663" s="150">
        <f t="shared" si="54"/>
        <v>0</v>
      </c>
      <c r="T663" s="152" t="str">
        <f>+VLOOKUP($L663,Data_Validation!$A:$D,1,0)</f>
        <v>22E</v>
      </c>
      <c r="U663" s="152" t="str">
        <f>+VLOOKUP($L663,Data_Validation!$A:$D,3,0)</f>
        <v>Service</v>
      </c>
      <c r="V663" s="152" t="str">
        <f>+VLOOKUP($L663,Data_Validation!$A:$D,4,0)</f>
        <v>Salaires commis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1776</v>
      </c>
      <c r="B664" s="671" t="s">
        <v>1777</v>
      </c>
      <c r="C664" s="672">
        <v>48195</v>
      </c>
      <c r="D664" s="672">
        <v>4819.5</v>
      </c>
      <c r="E664" s="672">
        <v>53014.5</v>
      </c>
      <c r="F664" s="671" t="s">
        <v>2230</v>
      </c>
      <c r="G664" s="671" t="s">
        <v>2287</v>
      </c>
      <c r="H664" s="666"/>
      <c r="I664" s="665"/>
      <c r="J664" s="665"/>
      <c r="K664" s="665"/>
      <c r="L664" s="149" t="str">
        <f t="shared" si="50"/>
        <v>81A</v>
      </c>
      <c r="M664" s="150" t="str">
        <f t="shared" si="51"/>
        <v>AMORT. AMEL. LOC. - NEUF BMW</v>
      </c>
      <c r="N664" s="151">
        <f>+IF(OR($Q664=Parametres!$G$2,$Q664=Parametres!$G$3),I664,C664)</f>
        <v>48195</v>
      </c>
      <c r="O664" s="151">
        <f>+IF(OR($Q664=Parametres!$G$2,$Q664=Parametres!$G$3),J664,D664)</f>
        <v>4819.5</v>
      </c>
      <c r="P664" s="151">
        <f>+IF(OR($Q664=Parametres!$G$2,$Q664=Parametres!$G$3),K664,E664)</f>
        <v>53014.5</v>
      </c>
      <c r="Q664" s="150" t="str">
        <f t="shared" si="52"/>
        <v>7-Dépenses</v>
      </c>
      <c r="R664" s="149" t="str">
        <f t="shared" si="53"/>
        <v>81</v>
      </c>
      <c r="S664" s="150">
        <f t="shared" si="54"/>
        <v>0</v>
      </c>
      <c r="T664" s="152" t="str">
        <f>+VLOOKUP($L664,Data_Validation!$A:$D,1,0)</f>
        <v>81A</v>
      </c>
      <c r="U664" s="152" t="str">
        <f>+VLOOKUP($L664,Data_Validation!$A:$D,3,0)</f>
        <v>Véhicules neufs</v>
      </c>
      <c r="V664" s="152" t="str">
        <f>+VLOOKUP($L664,Data_Validation!$A:$D,4,0)</f>
        <v>Amortissement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1794</v>
      </c>
      <c r="B665" s="671" t="s">
        <v>928</v>
      </c>
      <c r="C665" s="672">
        <v>50000</v>
      </c>
      <c r="D665" s="672">
        <v>5000</v>
      </c>
      <c r="E665" s="672">
        <v>55000</v>
      </c>
      <c r="F665" s="671" t="s">
        <v>2230</v>
      </c>
      <c r="G665" s="671" t="s">
        <v>2294</v>
      </c>
      <c r="H665" s="666"/>
      <c r="I665" s="665"/>
      <c r="J665" s="665"/>
      <c r="K665" s="665"/>
      <c r="L665" s="149" t="str">
        <f t="shared" si="50"/>
        <v>80C</v>
      </c>
      <c r="M665" s="150" t="str">
        <f t="shared" si="51"/>
        <v>LOYER OU EQUIV. - USAGE BMW</v>
      </c>
      <c r="N665" s="151">
        <f>+IF(OR($Q665=Parametres!$G$2,$Q665=Parametres!$G$3),I665,C665)</f>
        <v>50000</v>
      </c>
      <c r="O665" s="151">
        <f>+IF(OR($Q665=Parametres!$G$2,$Q665=Parametres!$G$3),J665,D665)</f>
        <v>5000</v>
      </c>
      <c r="P665" s="151">
        <f>+IF(OR($Q665=Parametres!$G$2,$Q665=Parametres!$G$3),K665,E665)</f>
        <v>55000</v>
      </c>
      <c r="Q665" s="150" t="str">
        <f t="shared" si="52"/>
        <v>7-Dépenses</v>
      </c>
      <c r="R665" s="149" t="str">
        <f t="shared" si="53"/>
        <v>80</v>
      </c>
      <c r="S665" s="150">
        <f t="shared" si="54"/>
        <v>0</v>
      </c>
      <c r="T665" s="152" t="str">
        <f>+VLOOKUP($L665,Data_Validation!$A:$D,1,0)</f>
        <v>80C</v>
      </c>
      <c r="U665" s="152" t="str">
        <f>+VLOOKUP($L665,Data_Validation!$A:$D,3,0)</f>
        <v>Véhicules usagés</v>
      </c>
      <c r="V665" s="152" t="str">
        <f>+VLOOKUP($L665,Data_Validation!$A:$D,4,0)</f>
        <v>loyer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1215</v>
      </c>
      <c r="B666" s="671" t="s">
        <v>949</v>
      </c>
      <c r="C666" s="672">
        <v>53040.57</v>
      </c>
      <c r="D666" s="672">
        <v>10033.18</v>
      </c>
      <c r="E666" s="672">
        <v>63073.75</v>
      </c>
      <c r="F666" s="671" t="s">
        <v>2230</v>
      </c>
      <c r="G666" s="671" t="s">
        <v>2270</v>
      </c>
      <c r="H666" s="666"/>
      <c r="I666" s="665"/>
      <c r="J666" s="665"/>
      <c r="K666" s="665"/>
      <c r="L666" s="149" t="str">
        <f t="shared" si="50"/>
        <v>23E</v>
      </c>
      <c r="M666" s="150" t="str">
        <f t="shared" si="51"/>
        <v>SAL. AUTRES - SERV. BMW</v>
      </c>
      <c r="N666" s="151">
        <f>+IF(OR($Q666=Parametres!$G$2,$Q666=Parametres!$G$3),I666,C666)</f>
        <v>53040.57</v>
      </c>
      <c r="O666" s="151">
        <f>+IF(OR($Q666=Parametres!$G$2,$Q666=Parametres!$G$3),J666,D666)</f>
        <v>10033.18</v>
      </c>
      <c r="P666" s="151">
        <f>+IF(OR($Q666=Parametres!$G$2,$Q666=Parametres!$G$3),K666,E666)</f>
        <v>63073.75</v>
      </c>
      <c r="Q666" s="150" t="str">
        <f t="shared" si="52"/>
        <v>7-Dépenses</v>
      </c>
      <c r="R666" s="149" t="str">
        <f t="shared" si="53"/>
        <v>23</v>
      </c>
      <c r="S666" s="150">
        <f t="shared" si="54"/>
        <v>0</v>
      </c>
      <c r="T666" s="152" t="str">
        <f>+VLOOKUP($L666,Data_Validation!$A:$D,1,0)</f>
        <v>23E</v>
      </c>
      <c r="U666" s="152" t="str">
        <f>+VLOOKUP($L666,Data_Validation!$A:$D,3,0)</f>
        <v>Service</v>
      </c>
      <c r="V666" s="152" t="str">
        <f>+VLOOKUP($L666,Data_Validation!$A:$D,4,0)</f>
        <v>salaires autres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1767</v>
      </c>
      <c r="B667" s="671" t="s">
        <v>945</v>
      </c>
      <c r="C667" s="672">
        <v>55997.65</v>
      </c>
      <c r="D667" s="672">
        <v>13862.87</v>
      </c>
      <c r="E667" s="672">
        <v>69860.52</v>
      </c>
      <c r="F667" s="671" t="s">
        <v>2230</v>
      </c>
      <c r="G667" s="671" t="s">
        <v>2269</v>
      </c>
      <c r="H667" s="666"/>
      <c r="I667" s="665"/>
      <c r="J667" s="665"/>
      <c r="K667" s="665"/>
      <c r="L667" s="149" t="str">
        <f t="shared" si="50"/>
        <v>16E</v>
      </c>
      <c r="M667" s="150" t="str">
        <f t="shared" si="51"/>
        <v>PUBLICITE - SERV. BMW</v>
      </c>
      <c r="N667" s="151">
        <f>+IF(OR($Q667=Parametres!$G$2,$Q667=Parametres!$G$3),I667,C667)</f>
        <v>55997.65</v>
      </c>
      <c r="O667" s="151">
        <f>+IF(OR($Q667=Parametres!$G$2,$Q667=Parametres!$G$3),J667,D667)</f>
        <v>13862.87</v>
      </c>
      <c r="P667" s="151">
        <f>+IF(OR($Q667=Parametres!$G$2,$Q667=Parametres!$G$3),K667,E667)</f>
        <v>69860.52</v>
      </c>
      <c r="Q667" s="150" t="str">
        <f t="shared" si="52"/>
        <v>7-Dépenses</v>
      </c>
      <c r="R667" s="149" t="str">
        <f t="shared" si="53"/>
        <v>16</v>
      </c>
      <c r="S667" s="150">
        <f t="shared" si="54"/>
        <v>0</v>
      </c>
      <c r="T667" s="152" t="str">
        <f>+VLOOKUP($L667,Data_Validation!$A:$D,1,0)</f>
        <v>16E</v>
      </c>
      <c r="U667" s="152" t="str">
        <f>+VLOOKUP($L667,Data_Validation!$A:$D,3,0)</f>
        <v>Service</v>
      </c>
      <c r="V667" s="152" t="str">
        <f>+VLOOKUP($L667,Data_Validation!$A:$D,4,0)</f>
        <v>Publicité 2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1766</v>
      </c>
      <c r="B668" s="671" t="s">
        <v>931</v>
      </c>
      <c r="C668" s="672">
        <v>56691.03</v>
      </c>
      <c r="D668" s="672">
        <v>5624.18</v>
      </c>
      <c r="E668" s="672">
        <v>62315.21</v>
      </c>
      <c r="F668" s="671" t="s">
        <v>2230</v>
      </c>
      <c r="G668" s="671" t="s">
        <v>2286</v>
      </c>
      <c r="H668" s="666"/>
      <c r="I668" s="665"/>
      <c r="J668" s="665"/>
      <c r="K668" s="665"/>
      <c r="L668" s="149" t="str">
        <f t="shared" si="50"/>
        <v>69E</v>
      </c>
      <c r="M668" s="150" t="str">
        <f t="shared" si="51"/>
        <v>FRAIS INFORMATIQUE - SERV. BMW</v>
      </c>
      <c r="N668" s="151">
        <f>+IF(OR($Q668=Parametres!$G$2,$Q668=Parametres!$G$3),I668,C668)</f>
        <v>56691.03</v>
      </c>
      <c r="O668" s="477">
        <f>+IF(OR($Q668=Parametres!$G$2,$Q668=Parametres!$G$3),J668,D668)</f>
        <v>5624.18</v>
      </c>
      <c r="P668" s="151">
        <f>+IF(OR($Q668=Parametres!$G$2,$Q668=Parametres!$G$3),K668,E668)</f>
        <v>62315.21</v>
      </c>
      <c r="Q668" s="150" t="str">
        <f t="shared" si="52"/>
        <v>7-Dépenses</v>
      </c>
      <c r="R668" s="149" t="str">
        <f t="shared" si="53"/>
        <v>69</v>
      </c>
      <c r="S668" s="150">
        <f t="shared" si="54"/>
        <v>0</v>
      </c>
      <c r="T668" s="152" t="str">
        <f>+VLOOKUP($L668,Data_Validation!$A:$D,1,0)</f>
        <v>69E</v>
      </c>
      <c r="U668" s="152" t="str">
        <f>+VLOOKUP($L668,Data_Validation!$A:$D,3,0)</f>
        <v>Service</v>
      </c>
      <c r="V668" s="152" t="str">
        <f>+VLOOKUP($L668,Data_Validation!$A:$D,4,0)</f>
        <v>informatique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1799</v>
      </c>
      <c r="B669" s="671" t="s">
        <v>933</v>
      </c>
      <c r="C669" s="672">
        <v>57473.68</v>
      </c>
      <c r="D669" s="672">
        <v>8141.26</v>
      </c>
      <c r="E669" s="672">
        <v>65614.94</v>
      </c>
      <c r="F669" s="671" t="s">
        <v>2230</v>
      </c>
      <c r="G669" s="671" t="s">
        <v>2283</v>
      </c>
      <c r="H669" s="666"/>
      <c r="I669" s="665"/>
      <c r="J669" s="665"/>
      <c r="K669" s="665"/>
      <c r="L669" s="149" t="str">
        <f t="shared" si="50"/>
        <v>70E</v>
      </c>
      <c r="M669" s="150" t="str">
        <f t="shared" si="51"/>
        <v>SERV. EXTERIEURS - SERV. BMW</v>
      </c>
      <c r="N669" s="151">
        <f>+IF(OR($Q669=Parametres!$G$2,$Q669=Parametres!$G$3),I669,C669)</f>
        <v>57473.68</v>
      </c>
      <c r="O669" s="477">
        <f>+IF(OR($Q669=Parametres!$G$2,$Q669=Parametres!$G$3),J669,D669)</f>
        <v>8141.26</v>
      </c>
      <c r="P669" s="151">
        <f>+IF(OR($Q669=Parametres!$G$2,$Q669=Parametres!$G$3),K669,E669)</f>
        <v>65614.94</v>
      </c>
      <c r="Q669" s="150" t="str">
        <f t="shared" si="52"/>
        <v>7-Dépenses</v>
      </c>
      <c r="R669" s="149" t="str">
        <f t="shared" si="53"/>
        <v>70</v>
      </c>
      <c r="S669" s="150">
        <f t="shared" si="54"/>
        <v>0</v>
      </c>
      <c r="T669" s="152" t="str">
        <f>+VLOOKUP($L669,Data_Validation!$A:$D,1,0)</f>
        <v>70E</v>
      </c>
      <c r="U669" s="152" t="str">
        <f>+VLOOKUP($L669,Data_Validation!$A:$D,3,0)</f>
        <v>Service</v>
      </c>
      <c r="V669" s="152" t="str">
        <f>+VLOOKUP($L669,Data_Validation!$A:$D,4,0)</f>
        <v>services extérieurs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1163</v>
      </c>
      <c r="B670" s="671" t="s">
        <v>877</v>
      </c>
      <c r="C670" s="672">
        <v>58007.88</v>
      </c>
      <c r="D670" s="672">
        <v>9741.48</v>
      </c>
      <c r="E670" s="672">
        <v>67749.36</v>
      </c>
      <c r="F670" s="671" t="s">
        <v>2230</v>
      </c>
      <c r="G670" s="671" t="s">
        <v>2297</v>
      </c>
      <c r="H670" s="666"/>
      <c r="I670" s="665"/>
      <c r="J670" s="665"/>
      <c r="K670" s="665"/>
      <c r="L670" s="149" t="str">
        <f t="shared" si="50"/>
        <v>52E</v>
      </c>
      <c r="M670" s="150" t="str">
        <f t="shared" si="51"/>
        <v>DEP. VEHICULES PRETS - SERV. BMW</v>
      </c>
      <c r="N670" s="151">
        <f>+IF(OR($Q670=Parametres!$G$2,$Q670=Parametres!$G$3),I670,C670)</f>
        <v>58007.88</v>
      </c>
      <c r="O670" s="151">
        <f>+IF(OR($Q670=Parametres!$G$2,$Q670=Parametres!$G$3),J670,D670)</f>
        <v>9741.48</v>
      </c>
      <c r="P670" s="151">
        <f>+IF(OR($Q670=Parametres!$G$2,$Q670=Parametres!$G$3),K670,E670)</f>
        <v>67749.36</v>
      </c>
      <c r="Q670" s="150" t="str">
        <f t="shared" si="52"/>
        <v>7-Dépenses</v>
      </c>
      <c r="R670" s="149" t="str">
        <f t="shared" si="53"/>
        <v>52</v>
      </c>
      <c r="S670" s="150">
        <f t="shared" si="54"/>
        <v>0</v>
      </c>
      <c r="T670" s="152" t="str">
        <f>+VLOOKUP($L670,Data_Validation!$A:$D,1,0)</f>
        <v>52E</v>
      </c>
      <c r="U670" s="152" t="str">
        <f>+VLOOKUP($L670,Data_Validation!$A:$D,3,0)</f>
        <v>Service</v>
      </c>
      <c r="V670" s="152" t="str">
        <f>+VLOOKUP($L670,Data_Validation!$A:$D,4,0)</f>
        <v>Frais véhicules de cie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1822</v>
      </c>
      <c r="B671" s="671" t="s">
        <v>942</v>
      </c>
      <c r="C671" s="672">
        <v>60350.41</v>
      </c>
      <c r="D671" s="672">
        <v>6004.54</v>
      </c>
      <c r="E671" s="672">
        <v>66354.95</v>
      </c>
      <c r="F671" s="671" t="s">
        <v>2230</v>
      </c>
      <c r="G671" s="671" t="s">
        <v>2290</v>
      </c>
      <c r="H671" s="666"/>
      <c r="I671" s="665"/>
      <c r="J671" s="665"/>
      <c r="K671" s="665"/>
      <c r="L671" s="149" t="str">
        <f t="shared" si="50"/>
        <v>20A</v>
      </c>
      <c r="M671" s="150" t="str">
        <f t="shared" si="51"/>
        <v>SAL. PROPRIETAIRE - NEUF BMW</v>
      </c>
      <c r="N671" s="151">
        <f>+IF(OR($Q671=Parametres!$G$2,$Q671=Parametres!$G$3),I671,C671)</f>
        <v>60350.41</v>
      </c>
      <c r="O671" s="477">
        <f>+IF(OR($Q671=Parametres!$G$2,$Q671=Parametres!$G$3),J671,D671)</f>
        <v>6004.54</v>
      </c>
      <c r="P671" s="151">
        <f>+IF(OR($Q671=Parametres!$G$2,$Q671=Parametres!$G$3),K671,E671)</f>
        <v>66354.95</v>
      </c>
      <c r="Q671" s="150" t="str">
        <f t="shared" si="52"/>
        <v>7-Dépenses</v>
      </c>
      <c r="R671" s="149" t="str">
        <f t="shared" si="53"/>
        <v>20</v>
      </c>
      <c r="S671" s="150">
        <f t="shared" si="54"/>
        <v>0</v>
      </c>
      <c r="T671" s="152" t="str">
        <f>+VLOOKUP($L671,Data_Validation!$A:$D,1,0)</f>
        <v>20A</v>
      </c>
      <c r="U671" s="152" t="str">
        <f>+VLOOKUP($L671,Data_Validation!$A:$D,3,0)</f>
        <v>Véhicules neufs</v>
      </c>
      <c r="V671" s="152" t="str">
        <f>+VLOOKUP($L671,Data_Validation!$A:$D,4,0)</f>
        <v>Salaires propriétaire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1161</v>
      </c>
      <c r="B672" s="671" t="s">
        <v>1162</v>
      </c>
      <c r="C672" s="672">
        <v>64047.71</v>
      </c>
      <c r="D672" s="672">
        <v>8736.14</v>
      </c>
      <c r="E672" s="672">
        <v>72783.850000000006</v>
      </c>
      <c r="F672" s="671" t="s">
        <v>2230</v>
      </c>
      <c r="G672" s="671" t="s">
        <v>2297</v>
      </c>
      <c r="H672" s="666"/>
      <c r="I672" s="665"/>
      <c r="J672" s="665"/>
      <c r="K672" s="665"/>
      <c r="L672" s="149" t="str">
        <f t="shared" si="50"/>
        <v>52G</v>
      </c>
      <c r="M672" s="150" t="str">
        <f t="shared" si="51"/>
        <v>DEP. VEHICULES PRETS - PIECE BMW</v>
      </c>
      <c r="N672" s="151">
        <f>+IF(OR($Q672=Parametres!$G$2,$Q672=Parametres!$G$3),I672,C672)</f>
        <v>64047.71</v>
      </c>
      <c r="O672" s="477">
        <f>+IF(OR($Q672=Parametres!$G$2,$Q672=Parametres!$G$3),J672,D672)</f>
        <v>8736.14</v>
      </c>
      <c r="P672" s="151">
        <f>+IF(OR($Q672=Parametres!$G$2,$Q672=Parametres!$G$3),K672,E672)</f>
        <v>72783.850000000006</v>
      </c>
      <c r="Q672" s="150" t="str">
        <f t="shared" si="52"/>
        <v>7-Dépenses</v>
      </c>
      <c r="R672" s="149" t="str">
        <f t="shared" si="53"/>
        <v>52</v>
      </c>
      <c r="S672" s="150">
        <f t="shared" si="54"/>
        <v>0</v>
      </c>
      <c r="T672" s="152" t="str">
        <f>+VLOOKUP($L672,Data_Validation!$A:$D,1,0)</f>
        <v>52G</v>
      </c>
      <c r="U672" s="152" t="str">
        <f>+VLOOKUP($L672,Data_Validation!$A:$D,3,0)</f>
        <v>pièces</v>
      </c>
      <c r="V672" s="152" t="str">
        <f>+VLOOKUP($L672,Data_Validation!$A:$D,4,0)</f>
        <v>Frais véhicules de cie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1173</v>
      </c>
      <c r="B673" s="671" t="s">
        <v>944</v>
      </c>
      <c r="C673" s="672">
        <v>65383.8</v>
      </c>
      <c r="D673" s="672">
        <v>6538.38</v>
      </c>
      <c r="E673" s="672">
        <v>71922.179999999993</v>
      </c>
      <c r="F673" s="671" t="s">
        <v>2230</v>
      </c>
      <c r="G673" s="671" t="s">
        <v>2279</v>
      </c>
      <c r="H673" s="666"/>
      <c r="I673" s="665"/>
      <c r="J673" s="665"/>
      <c r="K673" s="665"/>
      <c r="L673" s="149" t="str">
        <f t="shared" si="50"/>
        <v>91E</v>
      </c>
      <c r="M673" s="150" t="str">
        <f t="shared" si="51"/>
        <v>DEPREC. EQUIP. - SERV. BMW</v>
      </c>
      <c r="N673" s="151">
        <f>+IF(OR($Q673=Parametres!$G$2,$Q673=Parametres!$G$3),I673,C673)</f>
        <v>65383.8</v>
      </c>
      <c r="O673" s="477">
        <f>+IF(OR($Q673=Parametres!$G$2,$Q673=Parametres!$G$3),J673,D673)</f>
        <v>6538.38</v>
      </c>
      <c r="P673" s="151">
        <f>+IF(OR($Q673=Parametres!$G$2,$Q673=Parametres!$G$3),K673,E673)</f>
        <v>71922.179999999993</v>
      </c>
      <c r="Q673" s="150" t="str">
        <f t="shared" si="52"/>
        <v>7-Dépenses</v>
      </c>
      <c r="R673" s="149" t="str">
        <f t="shared" si="53"/>
        <v>91</v>
      </c>
      <c r="S673" s="150">
        <f t="shared" si="54"/>
        <v>0</v>
      </c>
      <c r="T673" s="152" t="str">
        <f>+VLOOKUP($L673,Data_Validation!$A:$D,1,0)</f>
        <v>91E</v>
      </c>
      <c r="U673" s="152" t="str">
        <f>+VLOOKUP($L673,Data_Validation!$A:$D,3,0)</f>
        <v>Service</v>
      </c>
      <c r="V673" s="152" t="str">
        <f>+VLOOKUP($L673,Data_Validation!$A:$D,4,0)</f>
        <v>amortissement</v>
      </c>
      <c r="W673" s="152" t="str">
        <f>+VLOOKUP($L673,Data_Validation!$A:$E,5,0)</f>
        <v>$</v>
      </c>
      <c r="X673" s="152">
        <f>+VLOOKUP($L673,Data_Validation!$A:$F,6,0)</f>
        <v>0</v>
      </c>
    </row>
    <row r="674" spans="1:24" ht="15.75" customHeight="1">
      <c r="A674" s="671" t="s">
        <v>1762</v>
      </c>
      <c r="B674" s="671" t="s">
        <v>936</v>
      </c>
      <c r="C674" s="672">
        <v>68494</v>
      </c>
      <c r="D674" s="672">
        <v>9735.27</v>
      </c>
      <c r="E674" s="672">
        <v>78229.27</v>
      </c>
      <c r="F674" s="671" t="s">
        <v>2230</v>
      </c>
      <c r="G674" s="671" t="s">
        <v>2280</v>
      </c>
      <c r="H674" s="666"/>
      <c r="I674" s="665"/>
      <c r="J674" s="665"/>
      <c r="K674" s="665"/>
      <c r="L674" s="149" t="str">
        <f t="shared" si="50"/>
        <v>53A</v>
      </c>
      <c r="M674" s="150" t="str">
        <f t="shared" si="51"/>
        <v>VEH. COMPAGNIE - NEUF BMW</v>
      </c>
      <c r="N674" s="151">
        <f>+IF(OR($Q674=Parametres!$G$2,$Q674=Parametres!$G$3),I674,C674)</f>
        <v>68494</v>
      </c>
      <c r="O674" s="151">
        <f>+IF(OR($Q674=Parametres!$G$2,$Q674=Parametres!$G$3),J674,D674)</f>
        <v>9735.27</v>
      </c>
      <c r="P674" s="151">
        <f>+IF(OR($Q674=Parametres!$G$2,$Q674=Parametres!$G$3),K674,E674)</f>
        <v>78229.27</v>
      </c>
      <c r="Q674" s="150" t="str">
        <f t="shared" si="52"/>
        <v>7-Dépenses</v>
      </c>
      <c r="R674" s="149" t="str">
        <f t="shared" si="53"/>
        <v>53</v>
      </c>
      <c r="S674" s="150">
        <f t="shared" si="54"/>
        <v>0</v>
      </c>
      <c r="T674" s="152" t="str">
        <f>+VLOOKUP($L674,Data_Validation!$A:$D,1,0)</f>
        <v>53A</v>
      </c>
      <c r="U674" s="152" t="str">
        <f>+VLOOKUP($L674,Data_Validation!$A:$D,3,0)</f>
        <v>Véhicules neufs</v>
      </c>
      <c r="V674" s="152" t="str">
        <f>+VLOOKUP($L674,Data_Validation!$A:$D,4,0)</f>
        <v>Frais véhicules de cie</v>
      </c>
      <c r="W674" s="152" t="str">
        <f>+VLOOKUP($L674,Data_Validation!$A:$E,5,0)</f>
        <v>$</v>
      </c>
      <c r="X674" s="152">
        <f>+VLOOKUP($L674,Data_Validation!$A:$F,6,0)</f>
        <v>0</v>
      </c>
    </row>
    <row r="675" spans="1:24" ht="15.75" customHeight="1">
      <c r="A675" s="671" t="s">
        <v>1742</v>
      </c>
      <c r="B675" s="671" t="s">
        <v>952</v>
      </c>
      <c r="C675" s="672">
        <v>72119.83</v>
      </c>
      <c r="D675" s="672">
        <v>6133.75</v>
      </c>
      <c r="E675" s="672">
        <v>78253.58</v>
      </c>
      <c r="F675" s="671" t="s">
        <v>2230</v>
      </c>
      <c r="G675" s="671" t="s">
        <v>2278</v>
      </c>
      <c r="H675" s="666"/>
      <c r="I675" s="665"/>
      <c r="J675" s="665"/>
      <c r="K675" s="665"/>
      <c r="L675" s="149" t="str">
        <f t="shared" si="50"/>
        <v>24E</v>
      </c>
      <c r="M675" s="150" t="str">
        <f t="shared" si="51"/>
        <v>SAL. ABSENCE - SERV. BMW</v>
      </c>
      <c r="N675" s="151">
        <f>+IF(OR($Q675=Parametres!$G$2,$Q675=Parametres!$G$3),I675,C675)</f>
        <v>72119.83</v>
      </c>
      <c r="O675" s="151">
        <f>+IF(OR($Q675=Parametres!$G$2,$Q675=Parametres!$G$3),J675,D675)</f>
        <v>6133.75</v>
      </c>
      <c r="P675" s="151">
        <f>+IF(OR($Q675=Parametres!$G$2,$Q675=Parametres!$G$3),K675,E675)</f>
        <v>78253.58</v>
      </c>
      <c r="Q675" s="150" t="str">
        <f t="shared" si="52"/>
        <v>7-Dépenses</v>
      </c>
      <c r="R675" s="149" t="str">
        <f t="shared" si="53"/>
        <v>24</v>
      </c>
      <c r="S675" s="150">
        <f t="shared" si="54"/>
        <v>0</v>
      </c>
      <c r="T675" s="152" t="str">
        <f>+VLOOKUP($L675,Data_Validation!$A:$D,1,0)</f>
        <v>24E</v>
      </c>
      <c r="U675" s="152" t="str">
        <f>+VLOOKUP($L675,Data_Validation!$A:$D,3,0)</f>
        <v>Service</v>
      </c>
      <c r="V675" s="152" t="str">
        <f>+VLOOKUP($L675,Data_Validation!$A:$D,4,0)</f>
        <v>Salaires en absences</v>
      </c>
      <c r="W675" s="152" t="str">
        <f>+VLOOKUP($L675,Data_Validation!$A:$E,5,0)</f>
        <v>$</v>
      </c>
      <c r="X675" s="152">
        <f>+VLOOKUP($L675,Data_Validation!$A:$F,6,0)</f>
        <v>0</v>
      </c>
    </row>
    <row r="676" spans="1:24" ht="15.75" customHeight="1">
      <c r="A676" s="671" t="s">
        <v>1706</v>
      </c>
      <c r="B676" s="671" t="s">
        <v>787</v>
      </c>
      <c r="C676" s="672">
        <v>73888.55</v>
      </c>
      <c r="D676" s="672">
        <v>3907.53</v>
      </c>
      <c r="E676" s="672">
        <v>77796.08</v>
      </c>
      <c r="F676" s="671" t="s">
        <v>2230</v>
      </c>
      <c r="G676" s="671" t="s">
        <v>2292</v>
      </c>
      <c r="H676" s="666"/>
      <c r="I676" s="665"/>
      <c r="J676" s="665"/>
      <c r="K676" s="665"/>
      <c r="L676" s="149" t="str">
        <f t="shared" si="50"/>
        <v>18C</v>
      </c>
      <c r="M676" s="150" t="str">
        <f t="shared" si="51"/>
        <v>INT. FLOOR PLAN - USAGE BMW</v>
      </c>
      <c r="N676" s="151">
        <f>+IF(OR($Q676=Parametres!$G$2,$Q676=Parametres!$G$3),I676,C676)</f>
        <v>73888.55</v>
      </c>
      <c r="O676" s="151">
        <f>+IF(OR($Q676=Parametres!$G$2,$Q676=Parametres!$G$3),J676,D676)</f>
        <v>3907.53</v>
      </c>
      <c r="P676" s="151">
        <f>+IF(OR($Q676=Parametres!$G$2,$Q676=Parametres!$G$3),K676,E676)</f>
        <v>77796.08</v>
      </c>
      <c r="Q676" s="150" t="str">
        <f t="shared" si="52"/>
        <v>7-Dépenses</v>
      </c>
      <c r="R676" s="149" t="str">
        <f t="shared" si="53"/>
        <v>18</v>
      </c>
      <c r="S676" s="150">
        <f t="shared" si="54"/>
        <v>0</v>
      </c>
      <c r="T676" s="152" t="str">
        <f>+VLOOKUP($L676,Data_Validation!$A:$D,1,0)</f>
        <v>18C</v>
      </c>
      <c r="U676" s="152" t="str">
        <f>+VLOOKUP($L676,Data_Validation!$A:$D,3,0)</f>
        <v>Véhicules usagés</v>
      </c>
      <c r="V676" s="152" t="str">
        <f>+VLOOKUP($L676,Data_Validation!$A:$D,4,0)</f>
        <v>Intérêt de gros</v>
      </c>
      <c r="W676" s="152" t="str">
        <f>+VLOOKUP($L676,Data_Validation!$A:$E,5,0)</f>
        <v>$</v>
      </c>
      <c r="X676" s="152">
        <f>+VLOOKUP($L676,Data_Validation!$A:$F,6,0)</f>
        <v>0</v>
      </c>
    </row>
    <row r="677" spans="1:24" ht="15.75" customHeight="1">
      <c r="A677" s="671" t="s">
        <v>1753</v>
      </c>
      <c r="B677" s="671" t="s">
        <v>943</v>
      </c>
      <c r="C677" s="672">
        <v>78840.34</v>
      </c>
      <c r="D677" s="672">
        <v>4430.55</v>
      </c>
      <c r="E677" s="672">
        <v>83270.89</v>
      </c>
      <c r="F677" s="671" t="s">
        <v>2230</v>
      </c>
      <c r="G677" s="671" t="s">
        <v>2298</v>
      </c>
      <c r="H677" s="666"/>
      <c r="I677" s="665"/>
      <c r="J677" s="665"/>
      <c r="K677" s="665"/>
      <c r="L677" s="149" t="str">
        <f t="shared" si="50"/>
        <v>12C</v>
      </c>
      <c r="M677" s="150" t="str">
        <f t="shared" si="51"/>
        <v>COMM. F&amp;I - USAGE BMW</v>
      </c>
      <c r="N677" s="151">
        <f>+IF(OR($Q677=Parametres!$G$2,$Q677=Parametres!$G$3),I677,C677)</f>
        <v>78840.34</v>
      </c>
      <c r="O677" s="151">
        <f>+IF(OR($Q677=Parametres!$G$2,$Q677=Parametres!$G$3),J677,D677)</f>
        <v>4430.55</v>
      </c>
      <c r="P677" s="151">
        <f>+IF(OR($Q677=Parametres!$G$2,$Q677=Parametres!$G$3),K677,E677)</f>
        <v>83270.89</v>
      </c>
      <c r="Q677" s="150" t="str">
        <f t="shared" si="52"/>
        <v>7-Dépenses</v>
      </c>
      <c r="R677" s="149" t="str">
        <f t="shared" si="53"/>
        <v>12</v>
      </c>
      <c r="S677" s="150">
        <f t="shared" si="54"/>
        <v>0</v>
      </c>
      <c r="T677" s="152" t="str">
        <f>+VLOOKUP($L677,Data_Validation!$A:$D,1,0)</f>
        <v>12C</v>
      </c>
      <c r="U677" s="152" t="str">
        <f>+VLOOKUP($L677,Data_Validation!$A:$D,3,0)</f>
        <v>Véhicules usagés</v>
      </c>
      <c r="V677" s="152" t="str">
        <f>+VLOOKUP($L677,Data_Validation!$A:$D,4,0)</f>
        <v>Comm. F&amp;I</v>
      </c>
      <c r="W677" s="152" t="str">
        <f>+VLOOKUP($L677,Data_Validation!$A:$E,5,0)</f>
        <v>$</v>
      </c>
      <c r="X677" s="152">
        <f>+VLOOKUP($L677,Data_Validation!$A:$F,6,0)</f>
        <v>0</v>
      </c>
    </row>
    <row r="678" spans="1:24" ht="15.75" customHeight="1">
      <c r="A678" s="671" t="s">
        <v>1703</v>
      </c>
      <c r="B678" s="671" t="s">
        <v>918</v>
      </c>
      <c r="C678" s="672">
        <v>78950.080000000002</v>
      </c>
      <c r="D678" s="672">
        <v>6518.5</v>
      </c>
      <c r="E678" s="672">
        <v>85468.58</v>
      </c>
      <c r="F678" s="671" t="s">
        <v>2230</v>
      </c>
      <c r="G678" s="671" t="s">
        <v>2278</v>
      </c>
      <c r="H678" s="666"/>
      <c r="I678" s="665"/>
      <c r="J678" s="665"/>
      <c r="K678" s="665"/>
      <c r="L678" s="149" t="str">
        <f t="shared" si="50"/>
        <v>24A</v>
      </c>
      <c r="M678" s="150" t="str">
        <f t="shared" si="51"/>
        <v>SAL. ABSENCE - NEUF BMW</v>
      </c>
      <c r="N678" s="151">
        <f>+IF(OR($Q678=Parametres!$G$2,$Q678=Parametres!$G$3),I678,C678)</f>
        <v>78950.080000000002</v>
      </c>
      <c r="O678" s="151">
        <f>+IF(OR($Q678=Parametres!$G$2,$Q678=Parametres!$G$3),J678,D678)</f>
        <v>6518.5</v>
      </c>
      <c r="P678" s="151">
        <f>+IF(OR($Q678=Parametres!$G$2,$Q678=Parametres!$G$3),K678,E678)</f>
        <v>85468.58</v>
      </c>
      <c r="Q678" s="150" t="str">
        <f t="shared" si="52"/>
        <v>7-Dépenses</v>
      </c>
      <c r="R678" s="149" t="str">
        <f t="shared" si="53"/>
        <v>24</v>
      </c>
      <c r="S678" s="150">
        <f t="shared" si="54"/>
        <v>0</v>
      </c>
      <c r="T678" s="152" t="str">
        <f>+VLOOKUP($L678,Data_Validation!$A:$D,1,0)</f>
        <v>24A</v>
      </c>
      <c r="U678" s="152" t="str">
        <f>+VLOOKUP($L678,Data_Validation!$A:$D,3,0)</f>
        <v>Véhicules neufs</v>
      </c>
      <c r="V678" s="152" t="str">
        <f>+VLOOKUP($L678,Data_Validation!$A:$D,4,0)</f>
        <v>Salaires en absences</v>
      </c>
      <c r="W678" s="152" t="str">
        <f>+VLOOKUP($L678,Data_Validation!$A:$E,5,0)</f>
        <v>$</v>
      </c>
      <c r="X678" s="152">
        <f>+VLOOKUP($L678,Data_Validation!$A:$F,6,0)</f>
        <v>0</v>
      </c>
    </row>
    <row r="679" spans="1:24" ht="15.75" customHeight="1">
      <c r="A679" s="671" t="s">
        <v>1189</v>
      </c>
      <c r="B679" s="671" t="s">
        <v>916</v>
      </c>
      <c r="C679" s="672">
        <v>79686.009999999995</v>
      </c>
      <c r="D679" s="672">
        <v>8410.2099999999991</v>
      </c>
      <c r="E679" s="672">
        <v>88096.22</v>
      </c>
      <c r="F679" s="671" t="s">
        <v>2230</v>
      </c>
      <c r="G679" s="671" t="s">
        <v>2269</v>
      </c>
      <c r="H679" s="666"/>
      <c r="I679" s="665"/>
      <c r="J679" s="665"/>
      <c r="K679" s="665"/>
      <c r="L679" s="149" t="str">
        <f t="shared" si="50"/>
        <v>16C</v>
      </c>
      <c r="M679" s="150" t="str">
        <f t="shared" si="51"/>
        <v>PUBLICITE - USAGE BMW</v>
      </c>
      <c r="N679" s="151">
        <f>+IF(OR($Q679=Parametres!$G$2,$Q679=Parametres!$G$3),I679,C679)</f>
        <v>79686.009999999995</v>
      </c>
      <c r="O679" s="151">
        <f>+IF(OR($Q679=Parametres!$G$2,$Q679=Parametres!$G$3),J679,D679)</f>
        <v>8410.2099999999991</v>
      </c>
      <c r="P679" s="151">
        <f>+IF(OR($Q679=Parametres!$G$2,$Q679=Parametres!$G$3),K679,E679)</f>
        <v>88096.22</v>
      </c>
      <c r="Q679" s="150" t="str">
        <f t="shared" si="52"/>
        <v>7-Dépenses</v>
      </c>
      <c r="R679" s="149" t="str">
        <f t="shared" si="53"/>
        <v>16</v>
      </c>
      <c r="S679" s="150">
        <f t="shared" si="54"/>
        <v>0</v>
      </c>
      <c r="T679" s="152" t="str">
        <f>+VLOOKUP($L679,Data_Validation!$A:$D,1,0)</f>
        <v>16C</v>
      </c>
      <c r="U679" s="152" t="str">
        <f>+VLOOKUP($L679,Data_Validation!$A:$D,3,0)</f>
        <v>Véhicules usagés</v>
      </c>
      <c r="V679" s="152" t="str">
        <f>+VLOOKUP($L679,Data_Validation!$A:$D,4,0)</f>
        <v>Publicité 1</v>
      </c>
      <c r="W679" s="152" t="str">
        <f>+VLOOKUP($L679,Data_Validation!$A:$E,5,0)</f>
        <v>$</v>
      </c>
      <c r="X679" s="152">
        <f>+VLOOKUP($L679,Data_Validation!$A:$F,6,0)</f>
        <v>0</v>
      </c>
    </row>
    <row r="680" spans="1:24" ht="15.75" customHeight="1">
      <c r="A680" s="671" t="s">
        <v>1806</v>
      </c>
      <c r="B680" s="671" t="s">
        <v>950</v>
      </c>
      <c r="C680" s="672">
        <v>84911.06</v>
      </c>
      <c r="D680" s="672">
        <v>11433.39</v>
      </c>
      <c r="E680" s="672">
        <v>96344.45</v>
      </c>
      <c r="F680" s="671" t="s">
        <v>2230</v>
      </c>
      <c r="G680" s="671" t="s">
        <v>2289</v>
      </c>
      <c r="H680" s="666"/>
      <c r="I680" s="665"/>
      <c r="J680" s="665"/>
      <c r="K680" s="665"/>
      <c r="L680" s="149" t="str">
        <f t="shared" si="50"/>
        <v>21E</v>
      </c>
      <c r="M680" s="150" t="str">
        <f t="shared" si="51"/>
        <v>SAL. SUPERVISION - SERV. BMW</v>
      </c>
      <c r="N680" s="151">
        <f>+IF(OR($Q680=Parametres!$G$2,$Q680=Parametres!$G$3),I680,C680)</f>
        <v>84911.06</v>
      </c>
      <c r="O680" s="151">
        <f>+IF(OR($Q680=Parametres!$G$2,$Q680=Parametres!$G$3),J680,D680)</f>
        <v>11433.39</v>
      </c>
      <c r="P680" s="151">
        <f>+IF(OR($Q680=Parametres!$G$2,$Q680=Parametres!$G$3),K680,E680)</f>
        <v>96344.45</v>
      </c>
      <c r="Q680" s="150" t="str">
        <f t="shared" si="52"/>
        <v>7-Dépenses</v>
      </c>
      <c r="R680" s="149" t="str">
        <f t="shared" si="53"/>
        <v>21</v>
      </c>
      <c r="S680" s="150">
        <f t="shared" si="54"/>
        <v>0</v>
      </c>
      <c r="T680" s="152" t="str">
        <f>+VLOOKUP($L680,Data_Validation!$A:$D,1,0)</f>
        <v>21E</v>
      </c>
      <c r="U680" s="152" t="str">
        <f>+VLOOKUP($L680,Data_Validation!$A:$D,3,0)</f>
        <v>Service</v>
      </c>
      <c r="V680" s="152" t="str">
        <f>+VLOOKUP($L680,Data_Validation!$A:$D,4,0)</f>
        <v>Salaires cadres</v>
      </c>
      <c r="W680" s="152" t="str">
        <f>+VLOOKUP($L680,Data_Validation!$A:$E,5,0)</f>
        <v>$</v>
      </c>
      <c r="X680" s="152">
        <f>+VLOOKUP($L680,Data_Validation!$A:$F,6,0)</f>
        <v>0</v>
      </c>
    </row>
    <row r="681" spans="1:24" ht="15.75" customHeight="1">
      <c r="A681" s="671" t="s">
        <v>1791</v>
      </c>
      <c r="B681" s="671" t="s">
        <v>924</v>
      </c>
      <c r="C681" s="672">
        <v>87760.94</v>
      </c>
      <c r="D681" s="672">
        <v>10795.04</v>
      </c>
      <c r="E681" s="672">
        <v>98555.98</v>
      </c>
      <c r="F681" s="671" t="s">
        <v>2230</v>
      </c>
      <c r="G681" s="671" t="s">
        <v>2288</v>
      </c>
      <c r="H681" s="666"/>
      <c r="I681" s="665"/>
      <c r="J681" s="665"/>
      <c r="K681" s="665"/>
      <c r="L681" s="149" t="str">
        <f t="shared" si="50"/>
        <v>22A</v>
      </c>
      <c r="M681" s="150" t="str">
        <f t="shared" si="51"/>
        <v>SAL. ADMIN. - NEUF BMW</v>
      </c>
      <c r="N681" s="151">
        <f>+IF(OR($Q681=Parametres!$G$2,$Q681=Parametres!$G$3),I681,C681)</f>
        <v>87760.94</v>
      </c>
      <c r="O681" s="151">
        <f>+IF(OR($Q681=Parametres!$G$2,$Q681=Parametres!$G$3),J681,D681)</f>
        <v>10795.04</v>
      </c>
      <c r="P681" s="151">
        <f>+IF(OR($Q681=Parametres!$G$2,$Q681=Parametres!$G$3),K681,E681)</f>
        <v>98555.98</v>
      </c>
      <c r="Q681" s="150" t="str">
        <f t="shared" si="52"/>
        <v>7-Dépenses</v>
      </c>
      <c r="R681" s="149" t="str">
        <f t="shared" si="53"/>
        <v>22</v>
      </c>
      <c r="S681" s="150">
        <f t="shared" si="54"/>
        <v>0</v>
      </c>
      <c r="T681" s="152" t="str">
        <f>+VLOOKUP($L681,Data_Validation!$A:$D,1,0)</f>
        <v>22A</v>
      </c>
      <c r="U681" s="152" t="str">
        <f>+VLOOKUP($L681,Data_Validation!$A:$D,3,0)</f>
        <v>Véhicules neufs</v>
      </c>
      <c r="V681" s="152" t="str">
        <f>+VLOOKUP($L681,Data_Validation!$A:$D,4,0)</f>
        <v>Salaires commis</v>
      </c>
      <c r="W681" s="152" t="str">
        <f>+VLOOKUP($L681,Data_Validation!$A:$E,5,0)</f>
        <v>$</v>
      </c>
      <c r="X681" s="152">
        <f>+VLOOKUP($L681,Data_Validation!$A:$F,6,0)</f>
        <v>0</v>
      </c>
    </row>
    <row r="682" spans="1:24" ht="15.75" customHeight="1">
      <c r="A682" s="671" t="s">
        <v>1793</v>
      </c>
      <c r="B682" s="671" t="s">
        <v>951</v>
      </c>
      <c r="C682" s="672">
        <v>87980.54</v>
      </c>
      <c r="D682" s="672">
        <v>6563.34</v>
      </c>
      <c r="E682" s="672">
        <v>94543.88</v>
      </c>
      <c r="F682" s="671" t="s">
        <v>2230</v>
      </c>
      <c r="G682" s="671" t="s">
        <v>2281</v>
      </c>
      <c r="H682" s="666"/>
      <c r="I682" s="665"/>
      <c r="J682" s="665"/>
      <c r="K682" s="665"/>
      <c r="L682" s="149" t="str">
        <f t="shared" si="50"/>
        <v>25A</v>
      </c>
      <c r="M682" s="150" t="str">
        <f t="shared" si="51"/>
        <v>TAXES PAYE - NEUF BMW</v>
      </c>
      <c r="N682" s="151">
        <f>+IF(OR($Q682=Parametres!$G$2,$Q682=Parametres!$G$3),I682,C682)</f>
        <v>87980.54</v>
      </c>
      <c r="O682" s="151">
        <f>+IF(OR($Q682=Parametres!$G$2,$Q682=Parametres!$G$3),J682,D682)</f>
        <v>6563.34</v>
      </c>
      <c r="P682" s="151">
        <f>+IF(OR($Q682=Parametres!$G$2,$Q682=Parametres!$G$3),K682,E682)</f>
        <v>94543.88</v>
      </c>
      <c r="Q682" s="150" t="str">
        <f t="shared" si="52"/>
        <v>7-Dépenses</v>
      </c>
      <c r="R682" s="149" t="str">
        <f t="shared" si="53"/>
        <v>25</v>
      </c>
      <c r="S682" s="150">
        <f t="shared" si="54"/>
        <v>0</v>
      </c>
      <c r="T682" s="152" t="str">
        <f>+VLOOKUP($L682,Data_Validation!$A:$D,1,0)</f>
        <v>25A</v>
      </c>
      <c r="U682" s="152" t="str">
        <f>+VLOOKUP($L682,Data_Validation!$A:$D,3,0)</f>
        <v>Véhicules neufs</v>
      </c>
      <c r="V682" s="152" t="str">
        <f>+VLOOKUP($L682,Data_Validation!$A:$D,4,0)</f>
        <v>Déduction à la source</v>
      </c>
      <c r="W682" s="152" t="str">
        <f>+VLOOKUP($L682,Data_Validation!$A:$E,5,0)</f>
        <v>$</v>
      </c>
      <c r="X682" s="152">
        <f>+VLOOKUP($L682,Data_Validation!$A:$F,6,0)</f>
        <v>0</v>
      </c>
    </row>
    <row r="683" spans="1:24" ht="15.75" customHeight="1">
      <c r="A683" s="671" t="s">
        <v>1757</v>
      </c>
      <c r="B683" s="671" t="s">
        <v>947</v>
      </c>
      <c r="C683" s="672">
        <v>98223.39</v>
      </c>
      <c r="D683" s="672">
        <v>11073.56</v>
      </c>
      <c r="E683" s="672">
        <v>109296.95</v>
      </c>
      <c r="F683" s="671" t="s">
        <v>2230</v>
      </c>
      <c r="G683" s="671" t="s">
        <v>2281</v>
      </c>
      <c r="H683" s="666"/>
      <c r="I683" s="665"/>
      <c r="J683" s="665"/>
      <c r="K683" s="665"/>
      <c r="L683" s="149" t="str">
        <f t="shared" si="50"/>
        <v>25E</v>
      </c>
      <c r="M683" s="150" t="str">
        <f t="shared" si="51"/>
        <v>TAXES PAYE - SERV. BMW</v>
      </c>
      <c r="N683" s="151">
        <f>+IF(OR($Q683=Parametres!$G$2,$Q683=Parametres!$G$3),I683,C683)</f>
        <v>98223.39</v>
      </c>
      <c r="O683" s="151">
        <f>+IF(OR($Q683=Parametres!$G$2,$Q683=Parametres!$G$3),J683,D683)</f>
        <v>11073.56</v>
      </c>
      <c r="P683" s="151">
        <f>+IF(OR($Q683=Parametres!$G$2,$Q683=Parametres!$G$3),K683,E683)</f>
        <v>109296.95</v>
      </c>
      <c r="Q683" s="150" t="str">
        <f t="shared" si="52"/>
        <v>7-Dépenses</v>
      </c>
      <c r="R683" s="149" t="str">
        <f t="shared" si="53"/>
        <v>25</v>
      </c>
      <c r="S683" s="150">
        <f t="shared" si="54"/>
        <v>0</v>
      </c>
      <c r="T683" s="152" t="str">
        <f>+VLOOKUP($L683,Data_Validation!$A:$D,1,0)</f>
        <v>25E</v>
      </c>
      <c r="U683" s="152" t="str">
        <f>+VLOOKUP($L683,Data_Validation!$A:$D,3,0)</f>
        <v>Service</v>
      </c>
      <c r="V683" s="152" t="str">
        <f>+VLOOKUP($L683,Data_Validation!$A:$D,4,0)</f>
        <v>Déduction à la source</v>
      </c>
      <c r="W683" s="152" t="str">
        <f>+VLOOKUP($L683,Data_Validation!$A:$E,5,0)</f>
        <v>$</v>
      </c>
      <c r="X683" s="152">
        <f>+VLOOKUP($L683,Data_Validation!$A:$F,6,0)</f>
        <v>0</v>
      </c>
    </row>
    <row r="684" spans="1:24" ht="15.75" customHeight="1">
      <c r="A684" s="671" t="s">
        <v>1816</v>
      </c>
      <c r="B684" s="671" t="s">
        <v>953</v>
      </c>
      <c r="C684" s="672">
        <v>100000</v>
      </c>
      <c r="D684" s="672">
        <v>10000</v>
      </c>
      <c r="E684" s="672">
        <v>110000</v>
      </c>
      <c r="F684" s="671" t="s">
        <v>2230</v>
      </c>
      <c r="G684" s="671" t="s">
        <v>2294</v>
      </c>
      <c r="H684" s="666"/>
      <c r="I684" s="665"/>
      <c r="J684" s="665"/>
      <c r="K684" s="665"/>
      <c r="L684" s="149" t="str">
        <f t="shared" si="50"/>
        <v>80G</v>
      </c>
      <c r="M684" s="150" t="str">
        <f t="shared" si="51"/>
        <v>LOYER OU EQUIV. - PIECES BMW</v>
      </c>
      <c r="N684" s="151">
        <f>+IF(OR($Q684=Parametres!$G$2,$Q684=Parametres!$G$3),I684,C684)</f>
        <v>100000</v>
      </c>
      <c r="O684" s="151">
        <f>+IF(OR($Q684=Parametres!$G$2,$Q684=Parametres!$G$3),J684,D684)</f>
        <v>10000</v>
      </c>
      <c r="P684" s="151">
        <f>+IF(OR($Q684=Parametres!$G$2,$Q684=Parametres!$G$3),K684,E684)</f>
        <v>110000</v>
      </c>
      <c r="Q684" s="150" t="str">
        <f t="shared" si="52"/>
        <v>7-Dépenses</v>
      </c>
      <c r="R684" s="149" t="str">
        <f t="shared" si="53"/>
        <v>80</v>
      </c>
      <c r="S684" s="150">
        <f t="shared" si="54"/>
        <v>0</v>
      </c>
      <c r="T684" s="152" t="str">
        <f>+VLOOKUP($L684,Data_Validation!$A:$D,1,0)</f>
        <v>80G</v>
      </c>
      <c r="U684" s="152" t="str">
        <f>+VLOOKUP($L684,Data_Validation!$A:$D,3,0)</f>
        <v>pièces</v>
      </c>
      <c r="V684" s="152" t="str">
        <f>+VLOOKUP($L684,Data_Validation!$A:$D,4,0)</f>
        <v>loyer</v>
      </c>
      <c r="W684" s="152" t="str">
        <f>+VLOOKUP($L684,Data_Validation!$A:$E,5,0)</f>
        <v>$</v>
      </c>
      <c r="X684" s="152">
        <f>+VLOOKUP($L684,Data_Validation!$A:$F,6,0)</f>
        <v>0</v>
      </c>
    </row>
    <row r="685" spans="1:24" ht="15.75" customHeight="1">
      <c r="A685" s="671" t="s">
        <v>1787</v>
      </c>
      <c r="B685" s="671" t="s">
        <v>939</v>
      </c>
      <c r="C685" s="672">
        <v>112459.24</v>
      </c>
      <c r="D685" s="672">
        <v>5846.44</v>
      </c>
      <c r="E685" s="672">
        <v>118305.68</v>
      </c>
      <c r="F685" s="671" t="s">
        <v>2230</v>
      </c>
      <c r="G685" s="671" t="s">
        <v>2299</v>
      </c>
      <c r="H685" s="666"/>
      <c r="I685" s="665"/>
      <c r="J685" s="665"/>
      <c r="K685" s="665"/>
      <c r="L685" s="149" t="str">
        <f t="shared" si="50"/>
        <v>11C</v>
      </c>
      <c r="M685" s="150" t="str">
        <f t="shared" si="51"/>
        <v>COMM. VENDEURS - USAGE BMW</v>
      </c>
      <c r="N685" s="151">
        <f>+IF(OR($Q685=Parametres!$G$2,$Q685=Parametres!$G$3),I685,C685)</f>
        <v>112459.24</v>
      </c>
      <c r="O685" s="151">
        <f>+IF(OR($Q685=Parametres!$G$2,$Q685=Parametres!$G$3),J685,D685)</f>
        <v>5846.44</v>
      </c>
      <c r="P685" s="151">
        <f>+IF(OR($Q685=Parametres!$G$2,$Q685=Parametres!$G$3),K685,E685)</f>
        <v>118305.68</v>
      </c>
      <c r="Q685" s="150" t="str">
        <f t="shared" si="52"/>
        <v>7-Dépenses</v>
      </c>
      <c r="R685" s="149" t="str">
        <f t="shared" si="53"/>
        <v>11</v>
      </c>
      <c r="S685" s="150">
        <f t="shared" si="54"/>
        <v>0</v>
      </c>
      <c r="T685" s="152" t="str">
        <f>+VLOOKUP($L685,Data_Validation!$A:$D,1,0)</f>
        <v>11C</v>
      </c>
      <c r="U685" s="152" t="str">
        <f>+VLOOKUP($L685,Data_Validation!$A:$D,3,0)</f>
        <v>Véhicules usagés</v>
      </c>
      <c r="V685" s="152" t="str">
        <f>+VLOOKUP($L685,Data_Validation!$A:$D,4,0)</f>
        <v>Comm. vendeurs</v>
      </c>
      <c r="W685" s="152" t="str">
        <f>+VLOOKUP($L685,Data_Validation!$A:$E,5,0)</f>
        <v>$</v>
      </c>
      <c r="X685" s="152">
        <f>+VLOOKUP($L685,Data_Validation!$A:$F,6,0)</f>
        <v>0</v>
      </c>
    </row>
    <row r="686" spans="1:24" ht="15.75" customHeight="1">
      <c r="A686" s="671" t="s">
        <v>1818</v>
      </c>
      <c r="B686" s="671" t="s">
        <v>958</v>
      </c>
      <c r="C686" s="672">
        <v>112500</v>
      </c>
      <c r="D686" s="672">
        <v>11250</v>
      </c>
      <c r="E686" s="672">
        <v>123750</v>
      </c>
      <c r="F686" s="671" t="s">
        <v>2230</v>
      </c>
      <c r="G686" s="671" t="s">
        <v>2294</v>
      </c>
      <c r="H686" s="666"/>
      <c r="I686" s="665"/>
      <c r="J686" s="665"/>
      <c r="K686" s="665"/>
      <c r="L686" s="149" t="str">
        <f t="shared" si="50"/>
        <v>80E</v>
      </c>
      <c r="M686" s="150" t="str">
        <f t="shared" si="51"/>
        <v>LOYER OU EQUIV. - SERV. BMW</v>
      </c>
      <c r="N686" s="151">
        <f>+IF(OR($Q686=Parametres!$G$2,$Q686=Parametres!$G$3),I686,C686)</f>
        <v>112500</v>
      </c>
      <c r="O686" s="151">
        <f>+IF(OR($Q686=Parametres!$G$2,$Q686=Parametres!$G$3),J686,D686)</f>
        <v>11250</v>
      </c>
      <c r="P686" s="151">
        <f>+IF(OR($Q686=Parametres!$G$2,$Q686=Parametres!$G$3),K686,E686)</f>
        <v>123750</v>
      </c>
      <c r="Q686" s="150" t="str">
        <f t="shared" si="52"/>
        <v>7-Dépenses</v>
      </c>
      <c r="R686" s="149" t="str">
        <f t="shared" si="53"/>
        <v>80</v>
      </c>
      <c r="S686" s="150">
        <f t="shared" si="54"/>
        <v>0</v>
      </c>
      <c r="T686" s="152" t="str">
        <f>+VLOOKUP($L686,Data_Validation!$A:$D,1,0)</f>
        <v>80E</v>
      </c>
      <c r="U686" s="152" t="str">
        <f>+VLOOKUP($L686,Data_Validation!$A:$D,3,0)</f>
        <v>Service</v>
      </c>
      <c r="V686" s="152" t="str">
        <f>+VLOOKUP($L686,Data_Validation!$A:$D,4,0)</f>
        <v>loyer</v>
      </c>
      <c r="W686" s="152" t="str">
        <f>+VLOOKUP($L686,Data_Validation!$A:$E,5,0)</f>
        <v>$</v>
      </c>
      <c r="X686" s="152">
        <f>+VLOOKUP($L686,Data_Validation!$A:$F,6,0)</f>
        <v>0</v>
      </c>
    </row>
    <row r="687" spans="1:24" ht="15.75" customHeight="1">
      <c r="A687" s="671" t="s">
        <v>1781</v>
      </c>
      <c r="B687" s="671" t="s">
        <v>955</v>
      </c>
      <c r="C687" s="672">
        <v>113391.61</v>
      </c>
      <c r="D687" s="672">
        <v>15341.02</v>
      </c>
      <c r="E687" s="672">
        <v>128732.63</v>
      </c>
      <c r="F687" s="671" t="s">
        <v>2230</v>
      </c>
      <c r="G687" s="671" t="s">
        <v>2296</v>
      </c>
      <c r="H687" s="666"/>
      <c r="I687" s="665"/>
      <c r="J687" s="665"/>
      <c r="K687" s="665"/>
      <c r="L687" s="149" t="str">
        <f t="shared" si="50"/>
        <v>26E</v>
      </c>
      <c r="M687" s="150" t="str">
        <f t="shared" si="51"/>
        <v>SAL. SPECIALISTES - SERV. BMW</v>
      </c>
      <c r="N687" s="151">
        <f>+IF(OR($Q687=Parametres!$G$2,$Q687=Parametres!$G$3),I687,C687)</f>
        <v>113391.61</v>
      </c>
      <c r="O687" s="477">
        <f>+IF(OR($Q687=Parametres!$G$2,$Q687=Parametres!$G$3),J687,D687)</f>
        <v>15341.02</v>
      </c>
      <c r="P687" s="151">
        <f>+IF(OR($Q687=Parametres!$G$2,$Q687=Parametres!$G$3),K687,E687)</f>
        <v>128732.63</v>
      </c>
      <c r="Q687" s="150" t="str">
        <f t="shared" si="52"/>
        <v>7-Dépenses</v>
      </c>
      <c r="R687" s="149" t="str">
        <f t="shared" si="53"/>
        <v>26</v>
      </c>
      <c r="S687" s="150">
        <f t="shared" si="54"/>
        <v>0</v>
      </c>
      <c r="T687" s="152" t="str">
        <f>+VLOOKUP($L687,Data_Validation!$A:$D,1,0)</f>
        <v>26E</v>
      </c>
      <c r="U687" s="152" t="str">
        <f>+VLOOKUP($L687,Data_Validation!$A:$D,3,0)</f>
        <v>Service</v>
      </c>
      <c r="V687" s="152" t="str">
        <f>+VLOOKUP($L687,Data_Validation!$A:$D,4,0)</f>
        <v>Salaires spécialistes</v>
      </c>
      <c r="W687" s="152" t="str">
        <f>+VLOOKUP($L687,Data_Validation!$A:$E,5,0)</f>
        <v>$</v>
      </c>
      <c r="X687" s="152">
        <f>+VLOOKUP($L687,Data_Validation!$A:$F,6,0)</f>
        <v>0</v>
      </c>
    </row>
    <row r="688" spans="1:24" ht="15.75" customHeight="1">
      <c r="A688" s="671" t="s">
        <v>1824</v>
      </c>
      <c r="B688" s="671" t="s">
        <v>961</v>
      </c>
      <c r="C688" s="672">
        <v>121697.87</v>
      </c>
      <c r="D688" s="672">
        <v>13561.95</v>
      </c>
      <c r="E688" s="672">
        <v>135259.82</v>
      </c>
      <c r="F688" s="671" t="s">
        <v>2230</v>
      </c>
      <c r="G688" s="671" t="s">
        <v>2289</v>
      </c>
      <c r="H688" s="666"/>
      <c r="I688" s="665"/>
      <c r="J688" s="665"/>
      <c r="K688" s="665"/>
      <c r="L688" s="149" t="str">
        <f t="shared" si="50"/>
        <v>21A</v>
      </c>
      <c r="M688" s="150" t="str">
        <f t="shared" si="51"/>
        <v>SAL. SUPERVISION - NEUF BMW</v>
      </c>
      <c r="N688" s="151">
        <f>+IF(OR($Q688=Parametres!$G$2,$Q688=Parametres!$G$3),I688,C688)</f>
        <v>121697.87</v>
      </c>
      <c r="O688" s="151">
        <f>+IF(OR($Q688=Parametres!$G$2,$Q688=Parametres!$G$3),J688,D688)</f>
        <v>13561.95</v>
      </c>
      <c r="P688" s="151">
        <f>+IF(OR($Q688=Parametres!$G$2,$Q688=Parametres!$G$3),K688,E688)</f>
        <v>135259.82</v>
      </c>
      <c r="Q688" s="150" t="str">
        <f t="shared" si="52"/>
        <v>7-Dépenses</v>
      </c>
      <c r="R688" s="149" t="str">
        <f t="shared" si="53"/>
        <v>21</v>
      </c>
      <c r="S688" s="150">
        <f t="shared" si="54"/>
        <v>0</v>
      </c>
      <c r="T688" s="152" t="str">
        <f>+VLOOKUP($L688,Data_Validation!$A:$D,1,0)</f>
        <v>21A</v>
      </c>
      <c r="U688" s="152" t="str">
        <f>+VLOOKUP($L688,Data_Validation!$A:$D,3,0)</f>
        <v>Véhicules neufs</v>
      </c>
      <c r="V688" s="152" t="str">
        <f>+VLOOKUP($L688,Data_Validation!$A:$D,4,0)</f>
        <v>Salaires cadres</v>
      </c>
      <c r="W688" s="152" t="str">
        <f>+VLOOKUP($L688,Data_Validation!$A:$E,5,0)</f>
        <v>$</v>
      </c>
      <c r="X688" s="152">
        <f>+VLOOKUP($L688,Data_Validation!$A:$F,6,0)</f>
        <v>0</v>
      </c>
    </row>
    <row r="689" spans="1:24" ht="15.75" customHeight="1">
      <c r="A689" s="671" t="s">
        <v>1778</v>
      </c>
      <c r="B689" s="671" t="s">
        <v>932</v>
      </c>
      <c r="C689" s="672">
        <v>122763.78</v>
      </c>
      <c r="D689" s="672">
        <v>28042.12</v>
      </c>
      <c r="E689" s="672">
        <v>150805.9</v>
      </c>
      <c r="F689" s="671" t="s">
        <v>2230</v>
      </c>
      <c r="G689" s="671" t="s">
        <v>2298</v>
      </c>
      <c r="H689" s="666"/>
      <c r="I689" s="665"/>
      <c r="J689" s="665"/>
      <c r="K689" s="665"/>
      <c r="L689" s="149" t="str">
        <f t="shared" si="50"/>
        <v>12A</v>
      </c>
      <c r="M689" s="150" t="str">
        <f t="shared" si="51"/>
        <v>COMM. F&amp;I - NEUF BMW</v>
      </c>
      <c r="N689" s="151">
        <f>+IF(OR($Q689=Parametres!$G$2,$Q689=Parametres!$G$3),I689,C689)</f>
        <v>122763.78</v>
      </c>
      <c r="O689" s="151">
        <f>+IF(OR($Q689=Parametres!$G$2,$Q689=Parametres!$G$3),J689,D689)</f>
        <v>28042.12</v>
      </c>
      <c r="P689" s="151">
        <f>+IF(OR($Q689=Parametres!$G$2,$Q689=Parametres!$G$3),K689,E689)</f>
        <v>150805.9</v>
      </c>
      <c r="Q689" s="150" t="str">
        <f t="shared" si="52"/>
        <v>7-Dépenses</v>
      </c>
      <c r="R689" s="149" t="str">
        <f t="shared" si="53"/>
        <v>12</v>
      </c>
      <c r="S689" s="150">
        <f t="shared" si="54"/>
        <v>0</v>
      </c>
      <c r="T689" s="152" t="str">
        <f>+VLOOKUP($L689,Data_Validation!$A:$D,1,0)</f>
        <v>12A</v>
      </c>
      <c r="U689" s="152" t="str">
        <f>+VLOOKUP($L689,Data_Validation!$A:$D,3,0)</f>
        <v>Véhicules neufs</v>
      </c>
      <c r="V689" s="152" t="str">
        <f>+VLOOKUP($L689,Data_Validation!$A:$D,4,0)</f>
        <v>Comm. F&amp;I</v>
      </c>
      <c r="W689" s="152" t="str">
        <f>+VLOOKUP($L689,Data_Validation!$A:$E,5,0)</f>
        <v>$</v>
      </c>
      <c r="X689" s="152">
        <f>+VLOOKUP($L689,Data_Validation!$A:$F,6,0)</f>
        <v>0</v>
      </c>
    </row>
    <row r="690" spans="1:24" ht="15.75" customHeight="1">
      <c r="A690" s="671" t="s">
        <v>1740</v>
      </c>
      <c r="B690" s="671" t="s">
        <v>962</v>
      </c>
      <c r="C690" s="672">
        <v>124736.25</v>
      </c>
      <c r="D690" s="672">
        <v>16511.98</v>
      </c>
      <c r="E690" s="672">
        <v>141248.23000000001</v>
      </c>
      <c r="F690" s="671" t="s">
        <v>2230</v>
      </c>
      <c r="G690" s="671" t="s">
        <v>2270</v>
      </c>
      <c r="H690" s="666"/>
      <c r="I690" s="665"/>
      <c r="J690" s="665"/>
      <c r="K690" s="665"/>
      <c r="L690" s="149" t="str">
        <f t="shared" si="50"/>
        <v>23G</v>
      </c>
      <c r="M690" s="150" t="str">
        <f t="shared" si="51"/>
        <v>SAL. AUTRES - PIECE BMW</v>
      </c>
      <c r="N690" s="151">
        <f>+IF(OR($Q690=Parametres!$G$2,$Q690=Parametres!$G$3),I690,C690)</f>
        <v>124736.25</v>
      </c>
      <c r="O690" s="151">
        <f>+IF(OR($Q690=Parametres!$G$2,$Q690=Parametres!$G$3),J690,D690)</f>
        <v>16511.98</v>
      </c>
      <c r="P690" s="151">
        <f>+IF(OR($Q690=Parametres!$G$2,$Q690=Parametres!$G$3),K690,E690)</f>
        <v>141248.23000000001</v>
      </c>
      <c r="Q690" s="150" t="str">
        <f t="shared" si="52"/>
        <v>7-Dépenses</v>
      </c>
      <c r="R690" s="149" t="str">
        <f t="shared" si="53"/>
        <v>23</v>
      </c>
      <c r="S690" s="150">
        <f t="shared" si="54"/>
        <v>0</v>
      </c>
      <c r="T690" s="152" t="str">
        <f>+VLOOKUP($L690,Data_Validation!$A:$D,1,0)</f>
        <v>23G</v>
      </c>
      <c r="U690" s="152" t="str">
        <f>+VLOOKUP($L690,Data_Validation!$A:$D,3,0)</f>
        <v>Pièces</v>
      </c>
      <c r="V690" s="152" t="str">
        <f>+VLOOKUP($L690,Data_Validation!$A:$D,4,0)</f>
        <v>salaires autres</v>
      </c>
      <c r="W690" s="152" t="str">
        <f>+VLOOKUP($L690,Data_Validation!$A:$E,5,0)</f>
        <v>$</v>
      </c>
      <c r="X690" s="152">
        <f>+VLOOKUP($L690,Data_Validation!$A:$F,6,0)</f>
        <v>0</v>
      </c>
    </row>
    <row r="691" spans="1:24" ht="15.75" customHeight="1">
      <c r="A691" s="671" t="s">
        <v>2429</v>
      </c>
      <c r="B691" s="671" t="s">
        <v>2431</v>
      </c>
      <c r="C691" s="672">
        <v>134693.84</v>
      </c>
      <c r="D691" s="672">
        <v>46156.7</v>
      </c>
      <c r="E691" s="672">
        <v>180850.54</v>
      </c>
      <c r="F691" s="671" t="s">
        <v>2230</v>
      </c>
      <c r="G691" s="671" t="s">
        <v>2431</v>
      </c>
      <c r="H691" s="666"/>
      <c r="I691" s="665"/>
      <c r="J691" s="665"/>
      <c r="K691" s="665"/>
      <c r="L691" s="149" t="str">
        <f t="shared" si="50"/>
        <v>99</v>
      </c>
      <c r="M691" s="150" t="str">
        <f t="shared" si="51"/>
        <v>IMPOTS SUR LE REVENU</v>
      </c>
      <c r="N691" s="151">
        <f>+IF(OR($Q691=Parametres!$G$2,$Q691=Parametres!$G$3),I691,C691)</f>
        <v>134693.84</v>
      </c>
      <c r="O691" s="151">
        <f>+IF(OR($Q691=Parametres!$G$2,$Q691=Parametres!$G$3),J691,D691)</f>
        <v>46156.7</v>
      </c>
      <c r="P691" s="151">
        <f>+IF(OR($Q691=Parametres!$G$2,$Q691=Parametres!$G$3),K691,E691)</f>
        <v>180850.54</v>
      </c>
      <c r="Q691" s="150" t="str">
        <f t="shared" si="52"/>
        <v>7-Dépenses</v>
      </c>
      <c r="R691" s="149" t="str">
        <f t="shared" si="53"/>
        <v>99</v>
      </c>
      <c r="S691" s="150">
        <f t="shared" si="54"/>
        <v>0</v>
      </c>
      <c r="T691" s="152" t="str">
        <f>+VLOOKUP($L691,Data_Validation!$A:$D,1,0)</f>
        <v>99</v>
      </c>
      <c r="U691" s="152" t="str">
        <f>+VLOOKUP($L691,Data_Validation!$A:$D,3,0)</f>
        <v>TOTAL  DES  REVENUS  ET  DÉPENSES</v>
      </c>
      <c r="V691" s="152" t="str">
        <f>+VLOOKUP($L691,Data_Validation!$A:$D,4,0)</f>
        <v>Impôt exigible</v>
      </c>
      <c r="W691" s="152">
        <f>+VLOOKUP($L691,Data_Validation!$A:$E,5,0)</f>
        <v>0</v>
      </c>
      <c r="X691" s="152">
        <f>+VLOOKUP($L691,Data_Validation!$A:$F,6,0)</f>
        <v>0</v>
      </c>
    </row>
    <row r="692" spans="1:24" ht="15.75" customHeight="1">
      <c r="A692" s="671" t="s">
        <v>1134</v>
      </c>
      <c r="B692" s="671" t="s">
        <v>892</v>
      </c>
      <c r="C692" s="672">
        <v>160224.76</v>
      </c>
      <c r="D692" s="672">
        <v>18662.939999999999</v>
      </c>
      <c r="E692" s="672">
        <v>178887.7</v>
      </c>
      <c r="F692" s="671" t="s">
        <v>2230</v>
      </c>
      <c r="G692" s="671" t="s">
        <v>2269</v>
      </c>
      <c r="H692" s="666"/>
      <c r="I692" s="665"/>
      <c r="J692" s="665"/>
      <c r="K692" s="665"/>
      <c r="L692" s="149" t="str">
        <f t="shared" si="50"/>
        <v>16A</v>
      </c>
      <c r="M692" s="150" t="str">
        <f t="shared" si="51"/>
        <v>PUBLICITE - NEUF BMW</v>
      </c>
      <c r="N692" s="151">
        <f>+IF(OR($Q692=Parametres!$G$2,$Q692=Parametres!$G$3),I692,C692)</f>
        <v>160224.76</v>
      </c>
      <c r="O692" s="151">
        <f>+IF(OR($Q692=Parametres!$G$2,$Q692=Parametres!$G$3),J692,D692)</f>
        <v>18662.939999999999</v>
      </c>
      <c r="P692" s="151">
        <f>+IF(OR($Q692=Parametres!$G$2,$Q692=Parametres!$G$3),K692,E692)</f>
        <v>178887.7</v>
      </c>
      <c r="Q692" s="150" t="str">
        <f t="shared" si="52"/>
        <v>7-Dépenses</v>
      </c>
      <c r="R692" s="149" t="str">
        <f t="shared" si="53"/>
        <v>16</v>
      </c>
      <c r="S692" s="150">
        <f t="shared" si="54"/>
        <v>0</v>
      </c>
      <c r="T692" s="152" t="str">
        <f>+VLOOKUP($L692,Data_Validation!$A:$D,1,0)</f>
        <v>16A</v>
      </c>
      <c r="U692" s="152" t="str">
        <f>+VLOOKUP($L692,Data_Validation!$A:$D,3,0)</f>
        <v>Véhicules neufs</v>
      </c>
      <c r="V692" s="152" t="str">
        <f>+VLOOKUP($L692,Data_Validation!$A:$D,4,0)</f>
        <v>Publicité 1</v>
      </c>
      <c r="W692" s="152" t="str">
        <f>+VLOOKUP($L692,Data_Validation!$A:$E,5,0)</f>
        <v>$</v>
      </c>
      <c r="X692" s="152">
        <f>+VLOOKUP($L692,Data_Validation!$A:$F,6,0)</f>
        <v>0</v>
      </c>
    </row>
    <row r="693" spans="1:24" ht="15.75" customHeight="1">
      <c r="A693" s="671" t="s">
        <v>1830</v>
      </c>
      <c r="B693" s="671" t="s">
        <v>968</v>
      </c>
      <c r="C693" s="672">
        <v>225000</v>
      </c>
      <c r="D693" s="672">
        <v>22500</v>
      </c>
      <c r="E693" s="672">
        <v>247500</v>
      </c>
      <c r="F693" s="671" t="s">
        <v>2230</v>
      </c>
      <c r="G693" s="671" t="s">
        <v>2294</v>
      </c>
      <c r="H693" s="666"/>
      <c r="I693" s="665"/>
      <c r="J693" s="665"/>
      <c r="K693" s="665"/>
      <c r="L693" s="149" t="str">
        <f t="shared" si="50"/>
        <v>80A</v>
      </c>
      <c r="M693" s="150" t="str">
        <f t="shared" si="51"/>
        <v>LOYER OU EQUIV. - NEUF BMW</v>
      </c>
      <c r="N693" s="151">
        <f>+IF(OR($Q693=Parametres!$G$2,$Q693=Parametres!$G$3),I693,C693)</f>
        <v>225000</v>
      </c>
      <c r="O693" s="151">
        <f>+IF(OR($Q693=Parametres!$G$2,$Q693=Parametres!$G$3),J693,D693)</f>
        <v>22500</v>
      </c>
      <c r="P693" s="151">
        <f>+IF(OR($Q693=Parametres!$G$2,$Q693=Parametres!$G$3),K693,E693)</f>
        <v>247500</v>
      </c>
      <c r="Q693" s="150" t="str">
        <f t="shared" si="52"/>
        <v>7-Dépenses</v>
      </c>
      <c r="R693" s="149" t="str">
        <f t="shared" si="53"/>
        <v>80</v>
      </c>
      <c r="S693" s="150">
        <f t="shared" si="54"/>
        <v>0</v>
      </c>
      <c r="T693" s="152" t="str">
        <f>+VLOOKUP($L693,Data_Validation!$A:$D,1,0)</f>
        <v>80A</v>
      </c>
      <c r="U693" s="152" t="str">
        <f>+VLOOKUP($L693,Data_Validation!$A:$D,3,0)</f>
        <v>Véhicules neufs</v>
      </c>
      <c r="V693" s="152" t="str">
        <f>+VLOOKUP($L693,Data_Validation!$A:$D,4,0)</f>
        <v>loyer</v>
      </c>
      <c r="W693" s="152" t="str">
        <f>+VLOOKUP($L693,Data_Validation!$A:$E,5,0)</f>
        <v>$</v>
      </c>
      <c r="X693" s="152">
        <f>+VLOOKUP($L693,Data_Validation!$A:$F,6,0)</f>
        <v>0</v>
      </c>
    </row>
    <row r="694" spans="1:24" ht="15.75" customHeight="1">
      <c r="A694" s="671" t="s">
        <v>1820</v>
      </c>
      <c r="B694" s="671" t="s">
        <v>963</v>
      </c>
      <c r="C694" s="672">
        <v>258458.96</v>
      </c>
      <c r="D694" s="672">
        <v>46209.36</v>
      </c>
      <c r="E694" s="672">
        <v>304668.32</v>
      </c>
      <c r="F694" s="671" t="s">
        <v>2230</v>
      </c>
      <c r="G694" s="671" t="s">
        <v>2299</v>
      </c>
      <c r="H694" s="666"/>
      <c r="I694" s="665"/>
      <c r="J694" s="665"/>
      <c r="K694" s="665"/>
      <c r="L694" s="149" t="str">
        <f t="shared" si="50"/>
        <v>11A</v>
      </c>
      <c r="M694" s="150" t="str">
        <f t="shared" si="51"/>
        <v>COMM. VENDEURS - NEUF BMW</v>
      </c>
      <c r="N694" s="151">
        <f>+IF(OR($Q694=Parametres!$G$2,$Q694=Parametres!$G$3),I694,C694)</f>
        <v>258458.96</v>
      </c>
      <c r="O694" s="151">
        <f>+IF(OR($Q694=Parametres!$G$2,$Q694=Parametres!$G$3),J694,D694)</f>
        <v>46209.36</v>
      </c>
      <c r="P694" s="151">
        <f>+IF(OR($Q694=Parametres!$G$2,$Q694=Parametres!$G$3),K694,E694)</f>
        <v>304668.32</v>
      </c>
      <c r="Q694" s="150" t="str">
        <f t="shared" si="52"/>
        <v>7-Dépenses</v>
      </c>
      <c r="R694" s="149" t="str">
        <f t="shared" si="53"/>
        <v>11</v>
      </c>
      <c r="S694" s="150">
        <f t="shared" si="54"/>
        <v>0</v>
      </c>
      <c r="T694" s="152" t="str">
        <f>+VLOOKUP($L694,Data_Validation!$A:$D,1,0)</f>
        <v>11A</v>
      </c>
      <c r="U694" s="152" t="str">
        <f>+VLOOKUP($L694,Data_Validation!$A:$D,3,0)</f>
        <v>Véhicules neufs</v>
      </c>
      <c r="V694" s="152" t="str">
        <f>+VLOOKUP($L694,Data_Validation!$A:$D,4,0)</f>
        <v>Comm. vendeurs</v>
      </c>
      <c r="W694" s="152" t="str">
        <f>+VLOOKUP($L694,Data_Validation!$A:$E,5,0)</f>
        <v>$</v>
      </c>
      <c r="X694" s="152">
        <f>+VLOOKUP($L694,Data_Validation!$A:$F,6,0)</f>
        <v>0</v>
      </c>
    </row>
    <row r="695" spans="1:24" ht="15.75" customHeight="1">
      <c r="A695" s="671" t="s">
        <v>1819</v>
      </c>
      <c r="B695" s="671" t="s">
        <v>941</v>
      </c>
      <c r="C695" s="672">
        <v>304860.92</v>
      </c>
      <c r="D695" s="672">
        <v>34526.519999999997</v>
      </c>
      <c r="E695" s="672">
        <v>339387.44</v>
      </c>
      <c r="F695" s="671" t="s">
        <v>2230</v>
      </c>
      <c r="G695" s="671" t="s">
        <v>2292</v>
      </c>
      <c r="H695" s="666"/>
      <c r="I695" s="665"/>
      <c r="J695" s="665"/>
      <c r="K695" s="665"/>
      <c r="L695" s="149" t="str">
        <f t="shared" si="50"/>
        <v>18A</v>
      </c>
      <c r="M695" s="150" t="str">
        <f t="shared" si="51"/>
        <v>INT. FLOOR PLAN - NEUF BMW</v>
      </c>
      <c r="N695" s="151">
        <f>+IF(OR($Q695=Parametres!$G$2,$Q695=Parametres!$G$3),I695,C695)</f>
        <v>304860.92</v>
      </c>
      <c r="O695" s="151">
        <f>+IF(OR($Q695=Parametres!$G$2,$Q695=Parametres!$G$3),J695,D695)</f>
        <v>34526.519999999997</v>
      </c>
      <c r="P695" s="151">
        <f>+IF(OR($Q695=Parametres!$G$2,$Q695=Parametres!$G$3),K695,E695)</f>
        <v>339387.44</v>
      </c>
      <c r="Q695" s="150" t="str">
        <f t="shared" si="52"/>
        <v>7-Dépenses</v>
      </c>
      <c r="R695" s="149" t="str">
        <f t="shared" si="53"/>
        <v>18</v>
      </c>
      <c r="S695" s="150">
        <f t="shared" si="54"/>
        <v>0</v>
      </c>
      <c r="T695" s="152" t="str">
        <f>+VLOOKUP($L695,Data_Validation!$A:$D,1,0)</f>
        <v>18A</v>
      </c>
      <c r="U695" s="152" t="str">
        <f>+VLOOKUP($L695,Data_Validation!$A:$D,3,0)</f>
        <v>Véhicules neufs</v>
      </c>
      <c r="V695" s="152" t="str">
        <f>+VLOOKUP($L695,Data_Validation!$A:$D,4,0)</f>
        <v>Intérêt de gros</v>
      </c>
      <c r="W695" s="152" t="str">
        <f>+VLOOKUP($L695,Data_Validation!$A:$E,5,0)</f>
        <v>$</v>
      </c>
      <c r="X695" s="152">
        <f>+VLOOKUP($L695,Data_Validation!$A:$F,6,0)</f>
        <v>0</v>
      </c>
    </row>
    <row r="696" spans="1:24" ht="15.75" customHeight="1">
      <c r="A696" s="671" t="s">
        <v>1098</v>
      </c>
      <c r="B696" s="671" t="s">
        <v>428</v>
      </c>
      <c r="C696" s="672">
        <v>-328315.90000000002</v>
      </c>
      <c r="D696" s="672">
        <v>-53053.83</v>
      </c>
      <c r="E696" s="672">
        <v>-381369.73</v>
      </c>
      <c r="F696" s="671" t="s">
        <v>2231</v>
      </c>
      <c r="G696" s="671" t="s">
        <v>428</v>
      </c>
      <c r="H696" s="666"/>
      <c r="I696" s="665"/>
      <c r="J696" s="665"/>
      <c r="K696" s="665"/>
      <c r="L696" s="149" t="str">
        <f t="shared" si="50"/>
        <v>815</v>
      </c>
      <c r="M696" s="150" t="str">
        <f t="shared" si="51"/>
        <v>REVENU RBSC BMW</v>
      </c>
      <c r="N696" s="151">
        <f>+IF(OR($Q696=Parametres!$G$2,$Q696=Parametres!$G$3),I696,C696)</f>
        <v>-328315.90000000002</v>
      </c>
      <c r="O696" s="151">
        <f>+IF(OR($Q696=Parametres!$G$2,$Q696=Parametres!$G$3),J696,D696)</f>
        <v>-53053.83</v>
      </c>
      <c r="P696" s="151">
        <f>+IF(OR($Q696=Parametres!$G$2,$Q696=Parametres!$G$3),K696,E696)</f>
        <v>-381369.73</v>
      </c>
      <c r="Q696" s="150" t="str">
        <f t="shared" si="52"/>
        <v>8-Autres revenus</v>
      </c>
      <c r="R696" s="149" t="str">
        <f t="shared" si="53"/>
        <v>815</v>
      </c>
      <c r="S696" s="150">
        <f t="shared" si="54"/>
        <v>0</v>
      </c>
      <c r="T696" s="152" t="str">
        <f>+VLOOKUP($L696,Data_Validation!$A:$D,1,0)</f>
        <v>815</v>
      </c>
      <c r="U696" s="152" t="str">
        <f>+VLOOKUP($L696,Data_Validation!$A:$D,3,0)</f>
        <v>Véhicules neufs</v>
      </c>
      <c r="V696" s="152" t="str">
        <f>+VLOOKUP($L696,Data_Validation!$A:$D,4,0)</f>
        <v>RBSC NEUF</v>
      </c>
      <c r="W696" s="152" t="str">
        <f>+VLOOKUP($L696,Data_Validation!$A:$E,5,0)</f>
        <v>$</v>
      </c>
      <c r="X696" s="152">
        <f>+VLOOKUP($L696,Data_Validation!$A:$F,6,0)</f>
        <v>0</v>
      </c>
    </row>
    <row r="697" spans="1:24" ht="15.75" customHeight="1">
      <c r="A697" s="671" t="s">
        <v>1106</v>
      </c>
      <c r="B697" s="671" t="s">
        <v>433</v>
      </c>
      <c r="C697" s="672">
        <v>-180046.63</v>
      </c>
      <c r="D697" s="672">
        <v>-33761.279999999999</v>
      </c>
      <c r="E697" s="672">
        <v>-213807.91</v>
      </c>
      <c r="F697" s="671" t="s">
        <v>2231</v>
      </c>
      <c r="G697" s="671" t="s">
        <v>2300</v>
      </c>
      <c r="H697" s="666"/>
      <c r="I697" s="665"/>
      <c r="J697" s="665"/>
      <c r="K697" s="665"/>
      <c r="L697" s="149" t="str">
        <f t="shared" si="50"/>
        <v>814A</v>
      </c>
      <c r="M697" s="150" t="str">
        <f t="shared" si="51"/>
        <v>MSP - BMW</v>
      </c>
      <c r="N697" s="151">
        <f>+IF(OR($Q697=Parametres!$G$2,$Q697=Parametres!$G$3),I697,C697)</f>
        <v>-180046.63</v>
      </c>
      <c r="O697" s="151">
        <f>+IF(OR($Q697=Parametres!$G$2,$Q697=Parametres!$G$3),J697,D697)</f>
        <v>-33761.279999999999</v>
      </c>
      <c r="P697" s="151">
        <f>+IF(OR($Q697=Parametres!$G$2,$Q697=Parametres!$G$3),K697,E697)</f>
        <v>-213807.91</v>
      </c>
      <c r="Q697" s="150" t="str">
        <f t="shared" si="52"/>
        <v>8-Autres revenus</v>
      </c>
      <c r="R697" s="149" t="str">
        <f t="shared" si="53"/>
        <v>814</v>
      </c>
      <c r="S697" s="150">
        <f t="shared" si="54"/>
        <v>0</v>
      </c>
      <c r="T697" s="152" t="str">
        <f>+VLOOKUP($L697,Data_Validation!$A:$D,1,0)</f>
        <v>814A</v>
      </c>
      <c r="U697" s="152" t="str">
        <f>+VLOOKUP($L697,Data_Validation!$A:$D,3,0)</f>
        <v>TOTAL  DES  REVENUS  ET  DÉPENSES</v>
      </c>
      <c r="V697" s="152" t="str">
        <f>+VLOOKUP($L697,Data_Validation!$A:$D,4,0)</f>
        <v>Facility Fund</v>
      </c>
      <c r="W697" s="152" t="str">
        <f>+VLOOKUP($L697,Data_Validation!$A:$E,5,0)</f>
        <v>$</v>
      </c>
      <c r="X697" s="152">
        <f>+VLOOKUP($L697,Data_Validation!$A:$F,6,0)</f>
        <v>0</v>
      </c>
    </row>
    <row r="698" spans="1:24" ht="15.75" customHeight="1">
      <c r="A698" s="671" t="s">
        <v>138</v>
      </c>
      <c r="B698" s="671" t="s">
        <v>430</v>
      </c>
      <c r="C698" s="672">
        <v>-174192.16</v>
      </c>
      <c r="D698" s="672">
        <v>-2213.87</v>
      </c>
      <c r="E698" s="672">
        <v>-176406.03</v>
      </c>
      <c r="F698" s="671" t="s">
        <v>2231</v>
      </c>
      <c r="G698" s="671" t="s">
        <v>430</v>
      </c>
      <c r="H698" s="666"/>
      <c r="I698" s="665"/>
      <c r="J698" s="665"/>
      <c r="K698" s="665"/>
      <c r="L698" s="149" t="str">
        <f t="shared" si="50"/>
        <v>805</v>
      </c>
      <c r="M698" s="150" t="str">
        <f t="shared" si="51"/>
        <v>AUTRES REVENUS</v>
      </c>
      <c r="N698" s="151">
        <f>+IF(OR($Q698=Parametres!$G$2,$Q698=Parametres!$G$3),I698,C698)</f>
        <v>-174192.16</v>
      </c>
      <c r="O698" s="151">
        <f>+IF(OR($Q698=Parametres!$G$2,$Q698=Parametres!$G$3),J698,D698)</f>
        <v>-2213.87</v>
      </c>
      <c r="P698" s="151">
        <f>+IF(OR($Q698=Parametres!$G$2,$Q698=Parametres!$G$3),K698,E698)</f>
        <v>-176406.03</v>
      </c>
      <c r="Q698" s="150" t="str">
        <f t="shared" si="52"/>
        <v>8-Autres revenus</v>
      </c>
      <c r="R698" s="149" t="str">
        <f t="shared" si="53"/>
        <v>805</v>
      </c>
      <c r="S698" s="150">
        <f t="shared" si="54"/>
        <v>0</v>
      </c>
      <c r="T698" s="152" t="str">
        <f>+VLOOKUP($L698,Data_Validation!$A:$D,1,0)</f>
        <v>805</v>
      </c>
      <c r="U698" s="152" t="str">
        <f>+VLOOKUP($L698,Data_Validation!$A:$D,3,0)</f>
        <v>TOTAL  DES  REVENUS  ET  DÉPENSES</v>
      </c>
      <c r="V698" s="152" t="str">
        <f>+VLOOKUP($L698,Data_Validation!$A:$D,4,0)</f>
        <v>Revenus autres</v>
      </c>
      <c r="W698" s="152" t="str">
        <f>+VLOOKUP($L698,Data_Validation!$A:$E,5,0)</f>
        <v>$</v>
      </c>
      <c r="X698" s="152">
        <f>+VLOOKUP($L698,Data_Validation!$A:$F,6,0)</f>
        <v>0</v>
      </c>
    </row>
    <row r="699" spans="1:24" ht="15.75" customHeight="1">
      <c r="A699" s="671" t="s">
        <v>1123</v>
      </c>
      <c r="B699" s="671" t="s">
        <v>440</v>
      </c>
      <c r="C699" s="672">
        <v>-121975</v>
      </c>
      <c r="D699" s="672">
        <v>-20825</v>
      </c>
      <c r="E699" s="672">
        <v>-142800</v>
      </c>
      <c r="F699" s="671" t="s">
        <v>2231</v>
      </c>
      <c r="G699" s="671" t="s">
        <v>2301</v>
      </c>
      <c r="H699" s="666"/>
      <c r="I699" s="665"/>
      <c r="J699" s="665"/>
      <c r="K699" s="665"/>
      <c r="L699" s="149" t="str">
        <f t="shared" si="50"/>
        <v>806A</v>
      </c>
      <c r="M699" s="150" t="str">
        <f t="shared" si="51"/>
        <v>FRAIS D'ADMINISTRATION NEUF</v>
      </c>
      <c r="N699" s="151">
        <f>+IF(OR($Q699=Parametres!$G$2,$Q699=Parametres!$G$3),I699,C699)</f>
        <v>-121975</v>
      </c>
      <c r="O699" s="151">
        <f>+IF(OR($Q699=Parametres!$G$2,$Q699=Parametres!$G$3),J699,D699)</f>
        <v>-20825</v>
      </c>
      <c r="P699" s="151">
        <f>+IF(OR($Q699=Parametres!$G$2,$Q699=Parametres!$G$3),K699,E699)</f>
        <v>-142800</v>
      </c>
      <c r="Q699" s="150" t="str">
        <f t="shared" si="52"/>
        <v>8-Autres revenus</v>
      </c>
      <c r="R699" s="149" t="str">
        <f t="shared" si="53"/>
        <v>806</v>
      </c>
      <c r="S699" s="150">
        <f t="shared" si="54"/>
        <v>0</v>
      </c>
      <c r="T699" s="152" t="str">
        <f>+VLOOKUP($L699,Data_Validation!$A:$D,1,0)</f>
        <v>806A</v>
      </c>
      <c r="U699" s="152" t="str">
        <f>+VLOOKUP($L699,Data_Validation!$A:$D,3,0)</f>
        <v>Véhicules neufs</v>
      </c>
      <c r="V699" s="152" t="str">
        <f>+VLOOKUP($L699,Data_Validation!$A:$D,4,0)</f>
        <v>Frais administration</v>
      </c>
      <c r="W699" s="152" t="str">
        <f>+VLOOKUP($L699,Data_Validation!$A:$E,5,0)</f>
        <v>$</v>
      </c>
      <c r="X699" s="152">
        <f>+VLOOKUP($L699,Data_Validation!$A:$F,6,0)</f>
        <v>0</v>
      </c>
    </row>
    <row r="700" spans="1:24" ht="15.75" customHeight="1">
      <c r="A700" s="671" t="s">
        <v>1144</v>
      </c>
      <c r="B700" s="671" t="s">
        <v>447</v>
      </c>
      <c r="C700" s="672">
        <v>-88060</v>
      </c>
      <c r="D700" s="672">
        <v>-4165</v>
      </c>
      <c r="E700" s="672">
        <v>-92225</v>
      </c>
      <c r="F700" s="671" t="s">
        <v>2231</v>
      </c>
      <c r="G700" s="671" t="s">
        <v>2301</v>
      </c>
      <c r="H700" s="666"/>
      <c r="I700" s="665"/>
      <c r="J700" s="665"/>
      <c r="K700" s="665"/>
      <c r="L700" s="149" t="str">
        <f t="shared" si="50"/>
        <v>806C</v>
      </c>
      <c r="M700" s="150" t="str">
        <f t="shared" si="51"/>
        <v>FRAIS ADMINISTRATION USAGE</v>
      </c>
      <c r="N700" s="151">
        <f>+IF(OR($Q700=Parametres!$G$2,$Q700=Parametres!$G$3),I700,C700)</f>
        <v>-88060</v>
      </c>
      <c r="O700" s="151">
        <f>+IF(OR($Q700=Parametres!$G$2,$Q700=Parametres!$G$3),J700,D700)</f>
        <v>-4165</v>
      </c>
      <c r="P700" s="151">
        <f>+IF(OR($Q700=Parametres!$G$2,$Q700=Parametres!$G$3),K700,E700)</f>
        <v>-92225</v>
      </c>
      <c r="Q700" s="150" t="str">
        <f t="shared" si="52"/>
        <v>8-Autres revenus</v>
      </c>
      <c r="R700" s="149" t="str">
        <f t="shared" si="53"/>
        <v>806</v>
      </c>
      <c r="S700" s="150">
        <f t="shared" si="54"/>
        <v>0</v>
      </c>
      <c r="T700" s="152" t="str">
        <f>+VLOOKUP($L700,Data_Validation!$A:$D,1,0)</f>
        <v>806C</v>
      </c>
      <c r="U700" s="152" t="str">
        <f>+VLOOKUP($L700,Data_Validation!$A:$D,3,0)</f>
        <v>Véhicules usagés</v>
      </c>
      <c r="V700" s="152" t="str">
        <f>+VLOOKUP($L700,Data_Validation!$A:$D,4,0)</f>
        <v>Frais administration</v>
      </c>
      <c r="W700" s="152" t="str">
        <f>+VLOOKUP($L700,Data_Validation!$A:$E,5,0)</f>
        <v>$</v>
      </c>
      <c r="X700" s="152">
        <f>+VLOOKUP($L700,Data_Validation!$A:$F,6,0)</f>
        <v>0</v>
      </c>
    </row>
    <row r="701" spans="1:24" ht="15.75" customHeight="1">
      <c r="A701" s="671" t="s">
        <v>438</v>
      </c>
      <c r="B701" s="671" t="s">
        <v>439</v>
      </c>
      <c r="C701" s="672">
        <v>-16050</v>
      </c>
      <c r="D701" s="672">
        <v>0</v>
      </c>
      <c r="E701" s="672">
        <v>-16050</v>
      </c>
      <c r="F701" s="671" t="s">
        <v>2231</v>
      </c>
      <c r="G701" s="671" t="s">
        <v>428</v>
      </c>
      <c r="H701" s="666"/>
      <c r="I701" s="665"/>
      <c r="J701" s="665"/>
      <c r="K701" s="665"/>
      <c r="L701" s="149" t="str">
        <f t="shared" si="50"/>
        <v>815C</v>
      </c>
      <c r="M701" s="150" t="str">
        <f t="shared" si="51"/>
        <v>REVENU RBSC BMW USAGE</v>
      </c>
      <c r="N701" s="151">
        <f>+IF(OR($Q701=Parametres!$G$2,$Q701=Parametres!$G$3),I701,C701)</f>
        <v>-16050</v>
      </c>
      <c r="O701" s="151">
        <f>+IF(OR($Q701=Parametres!$G$2,$Q701=Parametres!$G$3),J701,D701)</f>
        <v>0</v>
      </c>
      <c r="P701" s="151">
        <f>+IF(OR($Q701=Parametres!$G$2,$Q701=Parametres!$G$3),K701,E701)</f>
        <v>-16050</v>
      </c>
      <c r="Q701" s="150" t="str">
        <f t="shared" si="52"/>
        <v>8-Autres revenus</v>
      </c>
      <c r="R701" s="149" t="str">
        <f t="shared" si="53"/>
        <v>815</v>
      </c>
      <c r="S701" s="150">
        <f t="shared" si="54"/>
        <v>0</v>
      </c>
      <c r="T701" s="152" t="str">
        <f>+VLOOKUP($L701,Data_Validation!$A:$D,1,0)</f>
        <v>815C</v>
      </c>
      <c r="U701" s="152" t="str">
        <f>+VLOOKUP($L701,Data_Validation!$A:$D,3,0)</f>
        <v>Véhicules usagés</v>
      </c>
      <c r="V701" s="152" t="str">
        <f>+VLOOKUP($L701,Data_Validation!$A:$D,4,0)</f>
        <v>RBSC used</v>
      </c>
      <c r="W701" s="152" t="str">
        <f>+VLOOKUP($L701,Data_Validation!$A:$E,5,0)</f>
        <v>$</v>
      </c>
      <c r="X701" s="152">
        <f>+VLOOKUP($L701,Data_Validation!$A:$F,6,0)</f>
        <v>0</v>
      </c>
    </row>
    <row r="702" spans="1:24" ht="15.75" customHeight="1">
      <c r="A702" s="671" t="s">
        <v>1478</v>
      </c>
      <c r="B702" s="671" t="s">
        <v>1479</v>
      </c>
      <c r="C702" s="672">
        <v>-70.56</v>
      </c>
      <c r="D702" s="672">
        <v>0</v>
      </c>
      <c r="E702" s="672">
        <v>-70.56</v>
      </c>
      <c r="F702" s="671" t="s">
        <v>2231</v>
      </c>
      <c r="G702" s="671" t="s">
        <v>1479</v>
      </c>
      <c r="H702" s="666"/>
      <c r="I702" s="665"/>
      <c r="J702" s="665"/>
      <c r="K702" s="665"/>
      <c r="L702" s="149" t="str">
        <f t="shared" si="50"/>
        <v>801</v>
      </c>
      <c r="M702" s="150" t="str">
        <f t="shared" si="51"/>
        <v>INTERETS GAGNES</v>
      </c>
      <c r="N702" s="151">
        <f>+IF(OR($Q702=Parametres!$G$2,$Q702=Parametres!$G$3),I702,C702)</f>
        <v>-70.56</v>
      </c>
      <c r="O702" s="151">
        <f>+IF(OR($Q702=Parametres!$G$2,$Q702=Parametres!$G$3),J702,D702)</f>
        <v>0</v>
      </c>
      <c r="P702" s="151">
        <f>+IF(OR($Q702=Parametres!$G$2,$Q702=Parametres!$G$3),K702,E702)</f>
        <v>-70.56</v>
      </c>
      <c r="Q702" s="150" t="str">
        <f t="shared" si="52"/>
        <v>8-Autres revenus</v>
      </c>
      <c r="R702" s="149" t="str">
        <f t="shared" si="53"/>
        <v>801</v>
      </c>
      <c r="S702" s="150">
        <f t="shared" si="54"/>
        <v>0</v>
      </c>
      <c r="T702" s="152" t="str">
        <f>+VLOOKUP($L702,Data_Validation!$A:$D,1,0)</f>
        <v>801</v>
      </c>
      <c r="U702" s="152" t="str">
        <f>+VLOOKUP($L702,Data_Validation!$A:$D,3,0)</f>
        <v>TOTAL  DES  REVENUS  ET  DÉPENSES</v>
      </c>
      <c r="V702" s="152" t="str">
        <f>+VLOOKUP($L702,Data_Validation!$A:$D,4,0)</f>
        <v>Revenus autres</v>
      </c>
      <c r="W702" s="152" t="str">
        <f>+VLOOKUP($L702,Data_Validation!$A:$E,5,0)</f>
        <v>$</v>
      </c>
      <c r="X702" s="152">
        <f>+VLOOKUP($L702,Data_Validation!$A:$F,6,0)</f>
        <v>0</v>
      </c>
    </row>
    <row r="703" spans="1:24" ht="15.75" customHeight="1">
      <c r="A703" s="671" t="s">
        <v>413</v>
      </c>
      <c r="B703" s="671" t="s">
        <v>414</v>
      </c>
      <c r="C703" s="672">
        <v>-26075</v>
      </c>
      <c r="D703" s="672">
        <v>0</v>
      </c>
      <c r="E703" s="672">
        <v>-26075</v>
      </c>
      <c r="F703" s="671" t="s">
        <v>2302</v>
      </c>
      <c r="G703" s="671" t="s">
        <v>414</v>
      </c>
      <c r="H703" s="666"/>
      <c r="I703" s="665"/>
      <c r="J703" s="665"/>
      <c r="K703" s="665"/>
      <c r="L703" s="149" t="str">
        <f t="shared" si="50"/>
        <v>817</v>
      </c>
      <c r="M703" s="150" t="str">
        <f t="shared" si="51"/>
        <v>REVENU PERFORMANCE 360</v>
      </c>
      <c r="N703" s="151">
        <f>+IF(OR($Q703=Parametres!$G$2,$Q703=Parametres!$G$3),I703,C703)</f>
        <v>-26075</v>
      </c>
      <c r="O703" s="151">
        <f>+IF(OR($Q703=Parametres!$G$2,$Q703=Parametres!$G$3),J703,D703)</f>
        <v>0</v>
      </c>
      <c r="P703" s="151">
        <f>+IF(OR($Q703=Parametres!$G$2,$Q703=Parametres!$G$3),K703,E703)</f>
        <v>-26075</v>
      </c>
      <c r="Q703" s="150" t="str">
        <f t="shared" si="52"/>
        <v>9-Autres déductions</v>
      </c>
      <c r="R703" s="149" t="str">
        <f t="shared" si="53"/>
        <v>817</v>
      </c>
      <c r="S703" s="150">
        <f t="shared" si="54"/>
        <v>0</v>
      </c>
      <c r="T703" s="152" t="str">
        <f>+VLOOKUP($L703,Data_Validation!$A:$D,1,0)</f>
        <v>817</v>
      </c>
      <c r="U703" s="152" t="str">
        <f>+VLOOKUP($L703,Data_Validation!$A:$D,3,0)</f>
        <v>Véhicules usagés</v>
      </c>
      <c r="V703" s="152" t="str">
        <f>+VLOOKUP($L703,Data_Validation!$A:$D,4,0)</f>
        <v>Programme 360</v>
      </c>
      <c r="W703" s="152" t="str">
        <f>+VLOOKUP($L703,Data_Validation!$A:$E,5,0)</f>
        <v>$</v>
      </c>
      <c r="X703" s="152">
        <f>+VLOOKUP($L703,Data_Validation!$A:$F,6,0)</f>
        <v>0</v>
      </c>
    </row>
    <row r="704" spans="1:24" ht="15.75" customHeight="1">
      <c r="A704" s="671" t="s">
        <v>801</v>
      </c>
      <c r="B704" s="671" t="s">
        <v>802</v>
      </c>
      <c r="C704" s="672">
        <v>-446.69</v>
      </c>
      <c r="D704" s="672">
        <v>0</v>
      </c>
      <c r="E704" s="672">
        <v>-446.69</v>
      </c>
      <c r="F704" s="671" t="s">
        <v>2302</v>
      </c>
      <c r="G704" s="671" t="s">
        <v>2284</v>
      </c>
      <c r="H704" s="666"/>
      <c r="I704" s="665"/>
      <c r="J704" s="665"/>
      <c r="K704" s="665"/>
      <c r="L704" s="149" t="str">
        <f t="shared" si="50"/>
        <v>851</v>
      </c>
      <c r="M704" s="150" t="str">
        <f t="shared" si="51"/>
        <v>INTERETS PAYES</v>
      </c>
      <c r="N704" s="151">
        <f>+IF(OR($Q704=Parametres!$G$2,$Q704=Parametres!$G$3),I704,C704)</f>
        <v>-446.69</v>
      </c>
      <c r="O704" s="151">
        <f>+IF(OR($Q704=Parametres!$G$2,$Q704=Parametres!$G$3),J704,D704)</f>
        <v>0</v>
      </c>
      <c r="P704" s="151">
        <f>+IF(OR($Q704=Parametres!$G$2,$Q704=Parametres!$G$3),K704,E704)</f>
        <v>-446.69</v>
      </c>
      <c r="Q704" s="150" t="str">
        <f t="shared" si="52"/>
        <v>9-Autres déductions</v>
      </c>
      <c r="R704" s="149" t="str">
        <f t="shared" si="53"/>
        <v>73</v>
      </c>
      <c r="S704" s="150">
        <f t="shared" si="54"/>
        <v>0</v>
      </c>
      <c r="T704" s="152" t="str">
        <f>+VLOOKUP($L704,Data_Validation!$A:$D,1,0)</f>
        <v>851</v>
      </c>
      <c r="U704" s="152" t="str">
        <f>+VLOOKUP($L704,Data_Validation!$A:$D,3,0)</f>
        <v>TOTAL  DES  REVENUS  ET  DÉPENSES</v>
      </c>
      <c r="V704" s="152" t="str">
        <f>+VLOOKUP($L704,Data_Validation!$A:$D,4,0)</f>
        <v>Revenus autres</v>
      </c>
      <c r="W704" s="152" t="str">
        <f>+VLOOKUP($L704,Data_Validation!$A:$E,5,0)</f>
        <v>$</v>
      </c>
      <c r="X704" s="152">
        <f>+VLOOKUP($L704,Data_Validation!$A:$F,6,0)</f>
        <v>0</v>
      </c>
    </row>
    <row r="705" spans="1:24" ht="15.75" customHeight="1">
      <c r="A705" s="671" t="s">
        <v>1482</v>
      </c>
      <c r="B705" s="671" t="s">
        <v>688</v>
      </c>
      <c r="C705" s="672"/>
      <c r="D705" s="672"/>
      <c r="E705" s="672"/>
      <c r="F705" s="671" t="s">
        <v>4</v>
      </c>
      <c r="G705" s="671" t="s">
        <v>352</v>
      </c>
      <c r="H705" s="666"/>
      <c r="I705" s="665">
        <v>28</v>
      </c>
      <c r="J705" s="665">
        <v>-5</v>
      </c>
      <c r="K705" s="665">
        <v>23</v>
      </c>
      <c r="L705" s="149" t="str">
        <f t="shared" si="50"/>
        <v>230@</v>
      </c>
      <c r="M705" s="150" t="str">
        <f t="shared" si="51"/>
        <v># DE VOITURES NEUVES BMW</v>
      </c>
      <c r="N705" s="151">
        <f>+IF(OR($Q705=Parametres!$G$2,$Q705=Parametres!$G$3),I705,C705)</f>
        <v>28</v>
      </c>
      <c r="O705" s="151">
        <f>+IF(OR($Q705=Parametres!$G$2,$Q705=Parametres!$G$3),J705,D705)</f>
        <v>-5</v>
      </c>
      <c r="P705" s="151">
        <f>+IF(OR($Q705=Parametres!$G$2,$Q705=Parametres!$G$3),K705,E705)</f>
        <v>23</v>
      </c>
      <c r="Q705" s="150" t="str">
        <f t="shared" si="52"/>
        <v>10-Compte compteur</v>
      </c>
      <c r="R705" s="149" t="str">
        <f t="shared" si="53"/>
        <v>230</v>
      </c>
      <c r="S705" s="150">
        <f t="shared" si="54"/>
        <v>0</v>
      </c>
      <c r="T705" s="152" t="str">
        <f>+VLOOKUP($L705,Data_Validation!$A:$D,1,0)</f>
        <v>230@</v>
      </c>
      <c r="U705" s="152" t="str">
        <f>+VLOOKUP($L705,Data_Validation!$A:$D,3,0)</f>
        <v>Autres</v>
      </c>
      <c r="V705" s="152">
        <f>+VLOOKUP($L705,Data_Validation!$A:$D,4,0)</f>
        <v>0</v>
      </c>
      <c r="W705" s="152">
        <f>+VLOOKUP($L705,Data_Validation!$A:$E,5,0)</f>
        <v>0</v>
      </c>
      <c r="X705" s="152">
        <f>+VLOOKUP($L705,Data_Validation!$A:$F,6,0)</f>
        <v>0</v>
      </c>
    </row>
    <row r="706" spans="1:24" ht="15.75" customHeight="1">
      <c r="A706" s="671" t="s">
        <v>1483</v>
      </c>
      <c r="B706" s="671" t="s">
        <v>689</v>
      </c>
      <c r="C706" s="672"/>
      <c r="D706" s="672"/>
      <c r="E706" s="672"/>
      <c r="F706" s="671" t="s">
        <v>4</v>
      </c>
      <c r="G706" s="671" t="s">
        <v>382</v>
      </c>
      <c r="H706" s="666"/>
      <c r="I706" s="665">
        <v>54</v>
      </c>
      <c r="J706" s="665">
        <v>-15</v>
      </c>
      <c r="K706" s="665">
        <v>39</v>
      </c>
      <c r="L706" s="149" t="str">
        <f t="shared" ref="L706:L769" si="55">+B706</f>
        <v>232@</v>
      </c>
      <c r="M706" s="150" t="str">
        <f t="shared" ref="M706:M769" si="56">+A706</f>
        <v># DE CAMIONS NEUFS BMW</v>
      </c>
      <c r="N706" s="151">
        <f>+IF(OR($Q706=Parametres!$G$2,$Q706=Parametres!$G$3),I706,C706)</f>
        <v>54</v>
      </c>
      <c r="O706" s="151">
        <f>+IF(OR($Q706=Parametres!$G$2,$Q706=Parametres!$G$3),J706,D706)</f>
        <v>-15</v>
      </c>
      <c r="P706" s="151">
        <f>+IF(OR($Q706=Parametres!$G$2,$Q706=Parametres!$G$3),K706,E706)</f>
        <v>39</v>
      </c>
      <c r="Q706" s="150" t="str">
        <f t="shared" ref="Q706:Q769" si="57">+F706</f>
        <v>10-Compte compteur</v>
      </c>
      <c r="R706" s="149" t="str">
        <f t="shared" ref="R706:R769" si="58">+G706</f>
        <v>232</v>
      </c>
      <c r="S706" s="150">
        <f t="shared" ref="S706:S769" si="59">+H706</f>
        <v>0</v>
      </c>
      <c r="T706" s="152" t="str">
        <f>+VLOOKUP($L706,Data_Validation!$A:$D,1,0)</f>
        <v>232@</v>
      </c>
      <c r="U706" s="152" t="str">
        <f>+VLOOKUP($L706,Data_Validation!$A:$D,3,0)</f>
        <v>Autres</v>
      </c>
      <c r="V706" s="152">
        <f>+VLOOKUP($L706,Data_Validation!$A:$D,4,0)</f>
        <v>0</v>
      </c>
      <c r="W706" s="152">
        <f>+VLOOKUP($L706,Data_Validation!$A:$E,5,0)</f>
        <v>0</v>
      </c>
      <c r="X706" s="152">
        <f>+VLOOKUP($L706,Data_Validation!$A:$F,6,0)</f>
        <v>0</v>
      </c>
    </row>
    <row r="707" spans="1:24" ht="15.75" customHeight="1">
      <c r="A707" s="671" t="s">
        <v>1875</v>
      </c>
      <c r="B707" s="671" t="s">
        <v>1001</v>
      </c>
      <c r="C707" s="672"/>
      <c r="D707" s="672"/>
      <c r="E707" s="672"/>
      <c r="F707" s="671" t="s">
        <v>4</v>
      </c>
      <c r="G707" s="671" t="s">
        <v>353</v>
      </c>
      <c r="H707" s="666"/>
      <c r="I707" s="665">
        <v>18</v>
      </c>
      <c r="J707" s="665">
        <v>-3</v>
      </c>
      <c r="K707" s="665">
        <v>15</v>
      </c>
      <c r="L707" s="149" t="str">
        <f t="shared" si="55"/>
        <v>234@</v>
      </c>
      <c r="M707" s="150" t="str">
        <f t="shared" si="56"/>
        <v># OF INVENTAIRE VEHICULES I</v>
      </c>
      <c r="N707" s="151">
        <f>+IF(OR($Q707=Parametres!$G$2,$Q707=Parametres!$G$3),I707,C707)</f>
        <v>18</v>
      </c>
      <c r="O707" s="151">
        <f>+IF(OR($Q707=Parametres!$G$2,$Q707=Parametres!$G$3),J707,D707)</f>
        <v>-3</v>
      </c>
      <c r="P707" s="151">
        <f>+IF(OR($Q707=Parametres!$G$2,$Q707=Parametres!$G$3),K707,E707)</f>
        <v>15</v>
      </c>
      <c r="Q707" s="150" t="str">
        <f t="shared" si="57"/>
        <v>10-Compte compteur</v>
      </c>
      <c r="R707" s="149" t="str">
        <f t="shared" si="58"/>
        <v>234</v>
      </c>
      <c r="S707" s="150">
        <f t="shared" si="59"/>
        <v>0</v>
      </c>
      <c r="T707" s="152" t="str">
        <f>+VLOOKUP($L707,Data_Validation!$A:$D,1,0)</f>
        <v>234@</v>
      </c>
      <c r="U707" s="152" t="str">
        <f>+VLOOKUP($L707,Data_Validation!$A:$D,3,0)</f>
        <v>Autres</v>
      </c>
      <c r="V707" s="152">
        <f>+VLOOKUP($L707,Data_Validation!$A:$D,4,0)</f>
        <v>0</v>
      </c>
      <c r="W707" s="152">
        <f>+VLOOKUP($L707,Data_Validation!$A:$E,5,0)</f>
        <v>0</v>
      </c>
      <c r="X707" s="152">
        <f>+VLOOKUP($L707,Data_Validation!$A:$F,6,0)</f>
        <v>0</v>
      </c>
    </row>
    <row r="708" spans="1:24" ht="15.75" customHeight="1">
      <c r="A708" s="671" t="s">
        <v>1484</v>
      </c>
      <c r="B708" s="671" t="s">
        <v>690</v>
      </c>
      <c r="C708" s="672"/>
      <c r="D708" s="672"/>
      <c r="E708" s="672"/>
      <c r="F708" s="671" t="s">
        <v>4</v>
      </c>
      <c r="G708" s="671" t="s">
        <v>408</v>
      </c>
      <c r="H708" s="666"/>
      <c r="I708" s="665">
        <v>8</v>
      </c>
      <c r="J708" s="665">
        <v>6</v>
      </c>
      <c r="K708" s="665">
        <v>14</v>
      </c>
      <c r="L708" s="149" t="str">
        <f t="shared" si="55"/>
        <v>240A@</v>
      </c>
      <c r="M708" s="150" t="str">
        <f t="shared" si="56"/>
        <v># DE VOITURES USAGEES BMW</v>
      </c>
      <c r="N708" s="151">
        <f>+IF(OR($Q708=Parametres!$G$2,$Q708=Parametres!$G$3),I708,C708)</f>
        <v>8</v>
      </c>
      <c r="O708" s="151">
        <f>+IF(OR($Q708=Parametres!$G$2,$Q708=Parametres!$G$3),J708,D708)</f>
        <v>6</v>
      </c>
      <c r="P708" s="151">
        <f>+IF(OR($Q708=Parametres!$G$2,$Q708=Parametres!$G$3),K708,E708)</f>
        <v>14</v>
      </c>
      <c r="Q708" s="150" t="str">
        <f t="shared" si="57"/>
        <v>10-Compte compteur</v>
      </c>
      <c r="R708" s="149" t="str">
        <f t="shared" si="58"/>
        <v>240A</v>
      </c>
      <c r="S708" s="150">
        <f t="shared" si="59"/>
        <v>0</v>
      </c>
      <c r="T708" s="152" t="str">
        <f>+VLOOKUP($L708,Data_Validation!$A:$D,1,0)</f>
        <v>240A@</v>
      </c>
      <c r="U708" s="152" t="str">
        <f>+VLOOKUP($L708,Data_Validation!$A:$D,3,0)</f>
        <v>Autres</v>
      </c>
      <c r="V708" s="152">
        <f>+VLOOKUP($L708,Data_Validation!$A:$D,4,0)</f>
        <v>0</v>
      </c>
      <c r="W708" s="152">
        <f>+VLOOKUP($L708,Data_Validation!$A:$E,5,0)</f>
        <v>0</v>
      </c>
      <c r="X708" s="152">
        <f>+VLOOKUP($L708,Data_Validation!$A:$F,6,0)</f>
        <v>0</v>
      </c>
    </row>
    <row r="709" spans="1:24" ht="15.75" customHeight="1">
      <c r="A709" s="671" t="s">
        <v>1485</v>
      </c>
      <c r="B709" s="671" t="s">
        <v>691</v>
      </c>
      <c r="C709" s="672"/>
      <c r="D709" s="672"/>
      <c r="E709" s="672"/>
      <c r="F709" s="671" t="s">
        <v>4</v>
      </c>
      <c r="G709" s="671" t="s">
        <v>432</v>
      </c>
      <c r="H709" s="666"/>
      <c r="I709" s="665">
        <v>15</v>
      </c>
      <c r="J709" s="665">
        <v>1</v>
      </c>
      <c r="K709" s="665">
        <v>16</v>
      </c>
      <c r="L709" s="149" t="str">
        <f t="shared" si="55"/>
        <v>240C@</v>
      </c>
      <c r="M709" s="150" t="str">
        <f t="shared" si="56"/>
        <v># DE VEHICULES USAGES AUTRES</v>
      </c>
      <c r="N709" s="151">
        <f>+IF(OR($Q709=Parametres!$G$2,$Q709=Parametres!$G$3),I709,C709)</f>
        <v>15</v>
      </c>
      <c r="O709" s="151">
        <f>+IF(OR($Q709=Parametres!$G$2,$Q709=Parametres!$G$3),J709,D709)</f>
        <v>1</v>
      </c>
      <c r="P709" s="151">
        <f>+IF(OR($Q709=Parametres!$G$2,$Q709=Parametres!$G$3),K709,E709)</f>
        <v>16</v>
      </c>
      <c r="Q709" s="150" t="str">
        <f t="shared" si="57"/>
        <v>10-Compte compteur</v>
      </c>
      <c r="R709" s="149" t="str">
        <f t="shared" si="58"/>
        <v>240C</v>
      </c>
      <c r="S709" s="150">
        <f t="shared" si="59"/>
        <v>0</v>
      </c>
      <c r="T709" s="152" t="str">
        <f>+VLOOKUP($L709,Data_Validation!$A:$D,1,0)</f>
        <v>240C@</v>
      </c>
      <c r="U709" s="152" t="str">
        <f>+VLOOKUP($L709,Data_Validation!$A:$D,3,0)</f>
        <v>Autres</v>
      </c>
      <c r="V709" s="152">
        <f>+VLOOKUP($L709,Data_Validation!$A:$D,4,0)</f>
        <v>0</v>
      </c>
      <c r="W709" s="152">
        <f>+VLOOKUP($L709,Data_Validation!$A:$E,5,0)</f>
        <v>0</v>
      </c>
      <c r="X709" s="152">
        <f>+VLOOKUP($L709,Data_Validation!$A:$F,6,0)</f>
        <v>0</v>
      </c>
    </row>
    <row r="710" spans="1:24" ht="15.75" customHeight="1">
      <c r="A710" s="671" t="s">
        <v>1486</v>
      </c>
      <c r="B710" s="671" t="s">
        <v>1035</v>
      </c>
      <c r="C710" s="672"/>
      <c r="D710" s="672"/>
      <c r="E710" s="672"/>
      <c r="F710" s="671" t="s">
        <v>4</v>
      </c>
      <c r="G710" s="671" t="s">
        <v>819</v>
      </c>
      <c r="H710" s="666"/>
      <c r="I710" s="665">
        <v>12</v>
      </c>
      <c r="J710" s="665">
        <v>3</v>
      </c>
      <c r="K710" s="665">
        <v>15</v>
      </c>
      <c r="L710" s="149" t="str">
        <f t="shared" si="55"/>
        <v>242A@</v>
      </c>
      <c r="M710" s="150" t="str">
        <f t="shared" si="56"/>
        <v># DE CAMIONS USAGES BMW</v>
      </c>
      <c r="N710" s="151">
        <f>+IF(OR($Q710=Parametres!$G$2,$Q710=Parametres!$G$3),I710,C710)</f>
        <v>12</v>
      </c>
      <c r="O710" s="151">
        <f>+IF(OR($Q710=Parametres!$G$2,$Q710=Parametres!$G$3),J710,D710)</f>
        <v>3</v>
      </c>
      <c r="P710" s="151">
        <f>+IF(OR($Q710=Parametres!$G$2,$Q710=Parametres!$G$3),K710,E710)</f>
        <v>15</v>
      </c>
      <c r="Q710" s="150" t="str">
        <f t="shared" si="57"/>
        <v>10-Compte compteur</v>
      </c>
      <c r="R710" s="149" t="str">
        <f t="shared" si="58"/>
        <v>242A</v>
      </c>
      <c r="S710" s="150">
        <f t="shared" si="59"/>
        <v>0</v>
      </c>
      <c r="T710" s="152" t="str">
        <f>+VLOOKUP($L710,Data_Validation!$A:$D,1,0)</f>
        <v>242A@</v>
      </c>
      <c r="U710" s="152" t="str">
        <f>+VLOOKUP($L710,Data_Validation!$A:$D,3,0)</f>
        <v>Autres</v>
      </c>
      <c r="V710" s="152">
        <f>+VLOOKUP($L710,Data_Validation!$A:$D,4,0)</f>
        <v>0</v>
      </c>
      <c r="W710" s="152">
        <f>+VLOOKUP($L710,Data_Validation!$A:$E,5,0)</f>
        <v>0</v>
      </c>
      <c r="X710" s="152">
        <f>+VLOOKUP($L710,Data_Validation!$A:$F,6,0)</f>
        <v>0</v>
      </c>
    </row>
    <row r="711" spans="1:24" ht="15.75" customHeight="1">
      <c r="A711" s="671" t="s">
        <v>2511</v>
      </c>
      <c r="B711" s="671" t="s">
        <v>2512</v>
      </c>
      <c r="C711" s="672"/>
      <c r="D711" s="672"/>
      <c r="E711" s="672"/>
      <c r="F711" s="671" t="s">
        <v>4</v>
      </c>
      <c r="G711" s="671" t="s">
        <v>2508</v>
      </c>
      <c r="H711" s="666"/>
      <c r="I711" s="665">
        <v>-1</v>
      </c>
      <c r="J711" s="665">
        <v>0</v>
      </c>
      <c r="K711" s="665">
        <v>-1</v>
      </c>
      <c r="L711" s="149" t="str">
        <f t="shared" si="55"/>
        <v>401F@</v>
      </c>
      <c r="M711" s="150" t="str">
        <f t="shared" si="56"/>
        <v># OF VTES -VTE - M2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401F</v>
      </c>
      <c r="S711" s="150">
        <f t="shared" si="59"/>
        <v>0</v>
      </c>
      <c r="T711" s="152" t="str">
        <f>+VLOOKUP($L711,Data_Validation!$A:$D,1,0)</f>
        <v>401F@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2397</v>
      </c>
      <c r="B712" s="671" t="s">
        <v>2398</v>
      </c>
      <c r="C712" s="672"/>
      <c r="D712" s="672"/>
      <c r="E712" s="672"/>
      <c r="F712" s="671" t="s">
        <v>4</v>
      </c>
      <c r="G712" s="671" t="s">
        <v>2388</v>
      </c>
      <c r="H712" s="666"/>
      <c r="I712" s="665">
        <v>-1</v>
      </c>
      <c r="J712" s="665">
        <v>0</v>
      </c>
      <c r="K712" s="665">
        <v>-1</v>
      </c>
      <c r="L712" s="149" t="str">
        <f t="shared" si="55"/>
        <v>402A@</v>
      </c>
      <c r="M712" s="150" t="str">
        <f t="shared" si="56"/>
        <v># DE VTE - IX XDRIVE 40</v>
      </c>
      <c r="N712" s="151">
        <f>+IF(OR($Q712=Parametres!$G$2,$Q712=Parametres!$G$3),I712,C712)</f>
        <v>-1</v>
      </c>
      <c r="O712" s="151">
        <f>+IF(OR($Q712=Parametres!$G$2,$Q712=Parametres!$G$3),J712,D712)</f>
        <v>0</v>
      </c>
      <c r="P712" s="151">
        <f>+IF(OR($Q712=Parametres!$G$2,$Q712=Parametres!$G$3),K712,E712)</f>
        <v>-1</v>
      </c>
      <c r="Q712" s="150" t="str">
        <f t="shared" si="57"/>
        <v>10-Compte compteur</v>
      </c>
      <c r="R712" s="149" t="str">
        <f t="shared" si="58"/>
        <v>402A</v>
      </c>
      <c r="S712" s="150">
        <f t="shared" si="59"/>
        <v>0</v>
      </c>
      <c r="T712" s="152" t="str">
        <f>+VLOOKUP($L712,Data_Validation!$A:$D,1,0)</f>
        <v>402A@</v>
      </c>
      <c r="U712" s="152" t="str">
        <f>+VLOOKUP($L712,Data_Validation!$A:$D,3,0)</f>
        <v>Véhicules neufs</v>
      </c>
      <c r="V712" s="152" t="str">
        <f>+VLOOKUP($L712,Data_Validation!$A:$D,4,0)</f>
        <v>Autos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2354</v>
      </c>
      <c r="B713" s="671" t="s">
        <v>2355</v>
      </c>
      <c r="C713" s="672"/>
      <c r="D713" s="672"/>
      <c r="E713" s="672"/>
      <c r="F713" s="671" t="s">
        <v>4</v>
      </c>
      <c r="G713" s="671" t="s">
        <v>2343</v>
      </c>
      <c r="H713" s="666"/>
      <c r="I713" s="665">
        <v>-3</v>
      </c>
      <c r="J713" s="665">
        <v>0</v>
      </c>
      <c r="K713" s="665">
        <v>-3</v>
      </c>
      <c r="L713" s="149" t="str">
        <f t="shared" si="55"/>
        <v>402B@</v>
      </c>
      <c r="M713" s="150" t="str">
        <f t="shared" si="56"/>
        <v># DE VTE - IX XDRIVE 50</v>
      </c>
      <c r="N713" s="151">
        <f>+IF(OR($Q713=Parametres!$G$2,$Q713=Parametres!$G$3),I713,C713)</f>
        <v>-3</v>
      </c>
      <c r="O713" s="151">
        <f>+IF(OR($Q713=Parametres!$G$2,$Q713=Parametres!$G$3),J713,D713)</f>
        <v>0</v>
      </c>
      <c r="P713" s="151">
        <f>+IF(OR($Q713=Parametres!$G$2,$Q713=Parametres!$G$3),K713,E713)</f>
        <v>-3</v>
      </c>
      <c r="Q713" s="150" t="str">
        <f t="shared" si="57"/>
        <v>10-Compte compteur</v>
      </c>
      <c r="R713" s="149" t="str">
        <f t="shared" si="58"/>
        <v>402B</v>
      </c>
      <c r="S713" s="150">
        <f t="shared" si="59"/>
        <v>0</v>
      </c>
      <c r="T713" s="152" t="str">
        <f>+VLOOKUP($L713,Data_Validation!$A:$D,1,0)</f>
        <v>402B@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2356</v>
      </c>
      <c r="B714" s="671" t="s">
        <v>2357</v>
      </c>
      <c r="C714" s="672"/>
      <c r="D714" s="672"/>
      <c r="E714" s="672"/>
      <c r="F714" s="671" t="s">
        <v>4</v>
      </c>
      <c r="G714" s="671" t="s">
        <v>2345</v>
      </c>
      <c r="H714" s="666"/>
      <c r="I714" s="666">
        <v>-4</v>
      </c>
      <c r="J714" s="666">
        <v>0</v>
      </c>
      <c r="K714" s="666">
        <v>-4</v>
      </c>
      <c r="L714" s="149" t="str">
        <f t="shared" si="55"/>
        <v>403I@</v>
      </c>
      <c r="M714" s="150" t="str">
        <f t="shared" si="56"/>
        <v># OF VTES -i4 M50i XDRIVE GRAN COUPE</v>
      </c>
      <c r="N714" s="151">
        <f>+IF(OR($Q714=Parametres!$G$2,$Q714=Parametres!$G$3),I714,C714)</f>
        <v>-4</v>
      </c>
      <c r="O714" s="151">
        <f>+IF(OR($Q714=Parametres!$G$2,$Q714=Parametres!$G$3),J714,D714)</f>
        <v>0</v>
      </c>
      <c r="P714" s="151">
        <f>+IF(OR($Q714=Parametres!$G$2,$Q714=Parametres!$G$3),K714,E714)</f>
        <v>-4</v>
      </c>
      <c r="Q714" s="150" t="str">
        <f t="shared" si="57"/>
        <v>10-Compte compteur</v>
      </c>
      <c r="R714" s="149" t="str">
        <f t="shared" si="58"/>
        <v>403I</v>
      </c>
      <c r="S714" s="150">
        <f t="shared" si="59"/>
        <v>0</v>
      </c>
      <c r="T714" s="152" t="str">
        <f>+VLOOKUP($L714,Data_Validation!$A:$D,1,0)</f>
        <v>403I@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2358</v>
      </c>
      <c r="B715" s="671" t="s">
        <v>2359</v>
      </c>
      <c r="C715" s="672"/>
      <c r="D715" s="672"/>
      <c r="E715" s="672"/>
      <c r="F715" s="671" t="s">
        <v>4</v>
      </c>
      <c r="G715" s="671" t="s">
        <v>2347</v>
      </c>
      <c r="H715" s="666"/>
      <c r="I715" s="666">
        <v>-17</v>
      </c>
      <c r="J715" s="666">
        <v>-2</v>
      </c>
      <c r="K715" s="666">
        <v>-19</v>
      </c>
      <c r="L715" s="149" t="str">
        <f t="shared" si="55"/>
        <v>404I@</v>
      </c>
      <c r="M715" s="150" t="str">
        <f t="shared" si="56"/>
        <v># OF VTES -i4 eDRIVE40 GRAN COUPE</v>
      </c>
      <c r="N715" s="151">
        <f>+IF(OR($Q715=Parametres!$G$2,$Q715=Parametres!$G$3),I715,C715)</f>
        <v>-17</v>
      </c>
      <c r="O715" s="151">
        <f>+IF(OR($Q715=Parametres!$G$2,$Q715=Parametres!$G$3),J715,D715)</f>
        <v>-2</v>
      </c>
      <c r="P715" s="151">
        <f>+IF(OR($Q715=Parametres!$G$2,$Q715=Parametres!$G$3),K715,E715)</f>
        <v>-19</v>
      </c>
      <c r="Q715" s="150" t="str">
        <f t="shared" si="57"/>
        <v>10-Compte compteur</v>
      </c>
      <c r="R715" s="149" t="str">
        <f t="shared" si="58"/>
        <v>404I</v>
      </c>
      <c r="S715" s="150">
        <f t="shared" si="59"/>
        <v>0</v>
      </c>
      <c r="T715" s="152" t="str">
        <f>+VLOOKUP($L715,Data_Validation!$A:$D,1,0)</f>
        <v>404I@</v>
      </c>
      <c r="U715" s="152" t="str">
        <f>+VLOOKUP($L715,Data_Validation!$A:$D,3,0)</f>
        <v>Véhicules neufs</v>
      </c>
      <c r="V715" s="152" t="str">
        <f>+VLOOKUP($L715,Data_Validation!$A:$D,4,0)</f>
        <v>Autos détail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2920</v>
      </c>
      <c r="B716" s="671" t="s">
        <v>2921</v>
      </c>
      <c r="C716" s="672"/>
      <c r="D716" s="672"/>
      <c r="E716" s="672"/>
      <c r="F716" s="671" t="s">
        <v>4</v>
      </c>
      <c r="G716" s="671" t="s">
        <v>2917</v>
      </c>
      <c r="H716" s="666"/>
      <c r="I716" s="666">
        <v>-2</v>
      </c>
      <c r="J716" s="666">
        <v>0</v>
      </c>
      <c r="K716" s="666">
        <v>-2</v>
      </c>
      <c r="L716" s="149" t="str">
        <f t="shared" si="55"/>
        <v>404J@</v>
      </c>
      <c r="M716" s="150" t="str">
        <f t="shared" si="56"/>
        <v># DE VTE - i4 xDRIVE40</v>
      </c>
      <c r="N716" s="151">
        <f>+IF(OR($Q716=Parametres!$G$2,$Q716=Parametres!$G$3),I716,C716)</f>
        <v>-2</v>
      </c>
      <c r="O716" s="151">
        <f>+IF(OR($Q716=Parametres!$G$2,$Q716=Parametres!$G$3),J716,D716)</f>
        <v>0</v>
      </c>
      <c r="P716" s="151">
        <f>+IF(OR($Q716=Parametres!$G$2,$Q716=Parametres!$G$3),K716,E716)</f>
        <v>-2</v>
      </c>
      <c r="Q716" s="150" t="str">
        <f t="shared" si="57"/>
        <v>10-Compte compteur</v>
      </c>
      <c r="R716" s="149" t="str">
        <f t="shared" si="58"/>
        <v>404J</v>
      </c>
      <c r="S716" s="150">
        <f t="shared" si="59"/>
        <v>0</v>
      </c>
      <c r="T716" s="152" t="str">
        <f>+VLOOKUP($L716,Data_Validation!$A:$D,1,0)</f>
        <v>404J@</v>
      </c>
      <c r="U716" s="152" t="str">
        <f>+VLOOKUP($L716,Data_Validation!$A:$D,3,0)</f>
        <v>Véhicules neufs</v>
      </c>
      <c r="V716" s="152" t="str">
        <f>+VLOOKUP($L716,Data_Validation!$A:$D,4,0)</f>
        <v>Autos détail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1487</v>
      </c>
      <c r="B717" s="671" t="s">
        <v>693</v>
      </c>
      <c r="C717" s="672"/>
      <c r="D717" s="672"/>
      <c r="E717" s="672"/>
      <c r="F717" s="671" t="s">
        <v>4</v>
      </c>
      <c r="G717" s="671" t="s">
        <v>605</v>
      </c>
      <c r="H717" s="666"/>
      <c r="I717" s="666">
        <v>-1</v>
      </c>
      <c r="J717" s="666">
        <v>0</v>
      </c>
      <c r="K717" s="666">
        <v>-1</v>
      </c>
      <c r="L717" s="149" t="str">
        <f t="shared" si="55"/>
        <v>405B@</v>
      </c>
      <c r="M717" s="150" t="str">
        <f t="shared" si="56"/>
        <v># DE VTE - 430I XDRIVE CABRIOLET</v>
      </c>
      <c r="N717" s="151">
        <f>+IF(OR($Q717=Parametres!$G$2,$Q717=Parametres!$G$3),I717,C717)</f>
        <v>-1</v>
      </c>
      <c r="O717" s="151">
        <f>+IF(OR($Q717=Parametres!$G$2,$Q717=Parametres!$G$3),J717,D717)</f>
        <v>0</v>
      </c>
      <c r="P717" s="151">
        <f>+IF(OR($Q717=Parametres!$G$2,$Q717=Parametres!$G$3),K717,E717)</f>
        <v>-1</v>
      </c>
      <c r="Q717" s="150" t="str">
        <f t="shared" si="57"/>
        <v>10-Compte compteur</v>
      </c>
      <c r="R717" s="149" t="str">
        <f t="shared" si="58"/>
        <v>405B</v>
      </c>
      <c r="S717" s="150">
        <f t="shared" si="59"/>
        <v>0</v>
      </c>
      <c r="T717" s="152" t="str">
        <f>+VLOOKUP($L717,Data_Validation!$A:$D,1,0)</f>
        <v>405B@</v>
      </c>
      <c r="U717" s="152" t="str">
        <f>+VLOOKUP($L717,Data_Validation!$A:$D,3,0)</f>
        <v>Véhicules neufs</v>
      </c>
      <c r="V717" s="152" t="str">
        <f>+VLOOKUP($L717,Data_Validation!$A:$D,4,0)</f>
        <v>Autos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2480</v>
      </c>
      <c r="B718" s="671" t="s">
        <v>2481</v>
      </c>
      <c r="C718" s="672"/>
      <c r="D718" s="672"/>
      <c r="E718" s="672"/>
      <c r="F718" s="671" t="s">
        <v>4</v>
      </c>
      <c r="G718" s="671" t="s">
        <v>2473</v>
      </c>
      <c r="H718" s="666"/>
      <c r="I718" s="666">
        <v>-9</v>
      </c>
      <c r="J718" s="666">
        <v>-1</v>
      </c>
      <c r="K718" s="666">
        <v>-10</v>
      </c>
      <c r="L718" s="149" t="str">
        <f t="shared" si="55"/>
        <v>405C@</v>
      </c>
      <c r="M718" s="150" t="str">
        <f t="shared" si="56"/>
        <v># DE VTE - 435I CABRIOLET</v>
      </c>
      <c r="N718" s="151">
        <f>+IF(OR($Q718=Parametres!$G$2,$Q718=Parametres!$G$3),I718,C718)</f>
        <v>-9</v>
      </c>
      <c r="O718" s="151">
        <f>+IF(OR($Q718=Parametres!$G$2,$Q718=Parametres!$G$3),J718,D718)</f>
        <v>-1</v>
      </c>
      <c r="P718" s="151">
        <f>+IF(OR($Q718=Parametres!$G$2,$Q718=Parametres!$G$3),K718,E718)</f>
        <v>-10</v>
      </c>
      <c r="Q718" s="150" t="str">
        <f t="shared" si="57"/>
        <v>10-Compte compteur</v>
      </c>
      <c r="R718" s="149" t="str">
        <f t="shared" si="58"/>
        <v>405C</v>
      </c>
      <c r="S718" s="150">
        <f t="shared" si="59"/>
        <v>0</v>
      </c>
      <c r="T718" s="152" t="str">
        <f>+VLOOKUP($L718,Data_Validation!$A:$D,1,0)</f>
        <v>405C@</v>
      </c>
      <c r="U718" s="152" t="str">
        <f>+VLOOKUP($L718,Data_Validation!$A:$D,3,0)</f>
        <v>Véhicules neufs</v>
      </c>
      <c r="V718" s="152" t="str">
        <f>+VLOOKUP($L718,Data_Validation!$A:$D,4,0)</f>
        <v>Autos détail</v>
      </c>
      <c r="W718" s="152" t="str">
        <f>+VLOOKUP($L718,Data_Validation!$A:$E,5,0)</f>
        <v>NB</v>
      </c>
    </row>
    <row r="719" spans="1:24" ht="15.75" customHeight="1">
      <c r="A719" s="671" t="s">
        <v>1876</v>
      </c>
      <c r="B719" s="671" t="s">
        <v>695</v>
      </c>
      <c r="C719" s="672"/>
      <c r="D719" s="672"/>
      <c r="E719" s="672"/>
      <c r="F719" s="671" t="s">
        <v>4</v>
      </c>
      <c r="G719" s="671" t="s">
        <v>607</v>
      </c>
      <c r="H719" s="666"/>
      <c r="I719" s="666">
        <v>-1</v>
      </c>
      <c r="J719" s="666">
        <v>-1</v>
      </c>
      <c r="K719" s="666">
        <v>-2</v>
      </c>
      <c r="L719" s="149" t="str">
        <f t="shared" si="55"/>
        <v>405F@</v>
      </c>
      <c r="M719" s="150" t="str">
        <f t="shared" si="56"/>
        <v># DE VTE - 440I XDRIVE GRAN COUPE</v>
      </c>
      <c r="N719" s="151">
        <f>+IF(OR($Q719=Parametres!$G$2,$Q719=Parametres!$G$3),I719,C719)</f>
        <v>-1</v>
      </c>
      <c r="O719" s="151">
        <f>+IF(OR($Q719=Parametres!$G$2,$Q719=Parametres!$G$3),J719,D719)</f>
        <v>-1</v>
      </c>
      <c r="P719" s="151">
        <f>+IF(OR($Q719=Parametres!$G$2,$Q719=Parametres!$G$3),K719,E719)</f>
        <v>-2</v>
      </c>
      <c r="Q719" s="150" t="str">
        <f t="shared" si="57"/>
        <v>10-Compte compteur</v>
      </c>
      <c r="R719" s="149" t="str">
        <f t="shared" si="58"/>
        <v>405F</v>
      </c>
      <c r="S719" s="150">
        <f t="shared" si="59"/>
        <v>0</v>
      </c>
      <c r="T719" s="152" t="str">
        <f>+VLOOKUP($L719,Data_Validation!$A:$D,1,0)</f>
        <v>405F@</v>
      </c>
      <c r="U719" s="152" t="str">
        <f>+VLOOKUP($L719,Data_Validation!$A:$D,3,0)</f>
        <v>Véhicules neufs</v>
      </c>
      <c r="V719" s="152" t="str">
        <f>+VLOOKUP($L719,Data_Validation!$A:$D,4,0)</f>
        <v>Autos détail</v>
      </c>
      <c r="W719" s="152" t="str">
        <f>+VLOOKUP($L719,Data_Validation!$A:$E,5,0)</f>
        <v>nb</v>
      </c>
    </row>
    <row r="720" spans="1:24" ht="15.75" customHeight="1">
      <c r="A720" s="671" t="s">
        <v>2374</v>
      </c>
      <c r="B720" s="671" t="s">
        <v>2375</v>
      </c>
      <c r="C720" s="672"/>
      <c r="D720" s="672"/>
      <c r="E720" s="672"/>
      <c r="F720" s="671" t="s">
        <v>4</v>
      </c>
      <c r="G720" s="671" t="s">
        <v>2482</v>
      </c>
      <c r="H720" s="666"/>
      <c r="I720" s="666">
        <v>-1</v>
      </c>
      <c r="J720" s="666">
        <v>0</v>
      </c>
      <c r="K720" s="666">
        <v>-1</v>
      </c>
      <c r="L720" s="149" t="str">
        <f t="shared" si="55"/>
        <v>405H@</v>
      </c>
      <c r="M720" s="150" t="str">
        <f t="shared" si="56"/>
        <v>M4 CABRIOLET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405</v>
      </c>
      <c r="S720" s="150">
        <f t="shared" si="59"/>
        <v>0</v>
      </c>
      <c r="T720" s="152" t="str">
        <f>+VLOOKUP($L720,Data_Validation!$A:$D,1,0)</f>
        <v>405H@</v>
      </c>
      <c r="U720" s="152" t="str">
        <f>+VLOOKUP($L720,Data_Validation!$A:$D,3,0)</f>
        <v>Véhicules neufs</v>
      </c>
      <c r="V720" s="152" t="str">
        <f>+VLOOKUP($L720,Data_Validation!$A:$D,4,0)</f>
        <v>Autos détail</v>
      </c>
      <c r="W720" s="152" t="str">
        <f>+VLOOKUP($L720,Data_Validation!$A:$E,5,0)</f>
        <v>NB</v>
      </c>
    </row>
    <row r="721" spans="1:24" ht="15.75" customHeight="1">
      <c r="A721" s="671" t="s">
        <v>2152</v>
      </c>
      <c r="B721" s="671" t="s">
        <v>2153</v>
      </c>
      <c r="C721" s="672"/>
      <c r="D721" s="672"/>
      <c r="E721" s="672"/>
      <c r="F721" s="671" t="s">
        <v>4</v>
      </c>
      <c r="G721" s="671" t="s">
        <v>2145</v>
      </c>
      <c r="H721" s="153"/>
      <c r="I721" s="153">
        <v>-1</v>
      </c>
      <c r="J721" s="153">
        <v>-3</v>
      </c>
      <c r="K721" s="153">
        <v>-4</v>
      </c>
      <c r="L721" s="149" t="str">
        <f t="shared" si="55"/>
        <v>405J@</v>
      </c>
      <c r="M721" s="150" t="str">
        <f t="shared" si="56"/>
        <v># OF VTES -M4 COMPETITION</v>
      </c>
      <c r="N721" s="151">
        <f>+IF(OR($Q721=Parametres!$G$2,$Q721=Parametres!$G$3),I721,C721)</f>
        <v>-1</v>
      </c>
      <c r="O721" s="151">
        <f>+IF(OR($Q721=Parametres!$G$2,$Q721=Parametres!$G$3),J721,D721)</f>
        <v>-3</v>
      </c>
      <c r="P721" s="151">
        <f>+IF(OR($Q721=Parametres!$G$2,$Q721=Parametres!$G$3),K721,E721)</f>
        <v>-4</v>
      </c>
      <c r="Q721" s="150" t="str">
        <f t="shared" si="57"/>
        <v>10-Compte compteur</v>
      </c>
      <c r="R721" s="149" t="str">
        <f t="shared" si="58"/>
        <v>405J</v>
      </c>
      <c r="S721" s="150">
        <f t="shared" si="59"/>
        <v>0</v>
      </c>
      <c r="T721" s="152" t="str">
        <f>+VLOOKUP($L721,Data_Validation!$A:$D,1,0)</f>
        <v>405J@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</row>
    <row r="722" spans="1:24" ht="15.75" customHeight="1">
      <c r="A722" s="671" t="s">
        <v>1991</v>
      </c>
      <c r="B722" s="671" t="s">
        <v>1992</v>
      </c>
      <c r="C722" s="672"/>
      <c r="D722" s="672"/>
      <c r="E722" s="672"/>
      <c r="F722" s="671" t="s">
        <v>4</v>
      </c>
      <c r="G722" s="671" t="s">
        <v>1984</v>
      </c>
      <c r="H722" s="153"/>
      <c r="I722" s="153">
        <v>-3</v>
      </c>
      <c r="J722" s="153">
        <v>-1</v>
      </c>
      <c r="K722" s="153">
        <v>-4</v>
      </c>
      <c r="L722" s="149" t="str">
        <f t="shared" si="55"/>
        <v>405K@</v>
      </c>
      <c r="M722" s="150" t="str">
        <f t="shared" si="56"/>
        <v># OF VTES -M440I XDR COUPE</v>
      </c>
      <c r="N722" s="151">
        <f>+IF(OR($Q722=Parametres!$G$2,$Q722=Parametres!$G$3),I722,C722)</f>
        <v>-3</v>
      </c>
      <c r="O722" s="151">
        <f>+IF(OR($Q722=Parametres!$G$2,$Q722=Parametres!$G$3),J722,D722)</f>
        <v>-1</v>
      </c>
      <c r="P722" s="151">
        <f>+IF(OR($Q722=Parametres!$G$2,$Q722=Parametres!$G$3),K722,E722)</f>
        <v>-4</v>
      </c>
      <c r="Q722" s="150" t="str">
        <f t="shared" si="57"/>
        <v>10-Compte compteur</v>
      </c>
      <c r="R722" s="149" t="str">
        <f t="shared" si="58"/>
        <v>405K</v>
      </c>
      <c r="S722" s="150">
        <f t="shared" si="59"/>
        <v>0</v>
      </c>
      <c r="T722" s="152" t="str">
        <f>+VLOOKUP($L722,Data_Validation!$A:$D,1,0)</f>
        <v>405K@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71" t="s">
        <v>2893</v>
      </c>
      <c r="B723" s="671" t="s">
        <v>2902</v>
      </c>
      <c r="C723" s="672"/>
      <c r="D723" s="672"/>
      <c r="E723" s="672"/>
      <c r="F723" s="671" t="s">
        <v>4</v>
      </c>
      <c r="G723" s="671" t="s">
        <v>2894</v>
      </c>
      <c r="H723" s="153"/>
      <c r="I723" s="153">
        <v>-1</v>
      </c>
      <c r="J723" s="153">
        <v>0</v>
      </c>
      <c r="K723" s="153">
        <v>-1</v>
      </c>
      <c r="L723" s="149" t="str">
        <f t="shared" si="55"/>
        <v>405L@</v>
      </c>
      <c r="M723" s="150" t="str">
        <f t="shared" si="56"/>
        <v>M440I XDRIVE CABRIOLET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405L</v>
      </c>
      <c r="S723" s="150">
        <f t="shared" si="59"/>
        <v>0</v>
      </c>
      <c r="T723" s="152" t="str">
        <f>+VLOOKUP($L723,Data_Validation!$A:$D,1,0)</f>
        <v>405L@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71" t="s">
        <v>1489</v>
      </c>
      <c r="B724" s="671" t="s">
        <v>696</v>
      </c>
      <c r="C724" s="672"/>
      <c r="D724" s="672"/>
      <c r="E724" s="672"/>
      <c r="F724" s="671" t="s">
        <v>4</v>
      </c>
      <c r="G724" s="671" t="s">
        <v>608</v>
      </c>
      <c r="H724" s="153"/>
      <c r="I724" s="153">
        <v>-1</v>
      </c>
      <c r="J724" s="153">
        <v>0</v>
      </c>
      <c r="K724" s="153">
        <v>-1</v>
      </c>
      <c r="L724" s="149" t="str">
        <f t="shared" si="55"/>
        <v>406D@</v>
      </c>
      <c r="M724" s="150" t="str">
        <f t="shared" si="56"/>
        <v># DE VTE - 228I XDR COUPE / 230I XDR COUPE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406D</v>
      </c>
      <c r="S724" s="150">
        <f t="shared" si="59"/>
        <v>0</v>
      </c>
      <c r="T724" s="152" t="str">
        <f>+VLOOKUP($L724,Data_Validation!$A:$D,1,0)</f>
        <v>406D@</v>
      </c>
      <c r="U724" s="152" t="str">
        <f>+VLOOKUP($L724,Data_Validation!$A:$D,3,0)</f>
        <v>Véhicules neufs</v>
      </c>
      <c r="V724" s="152" t="str">
        <f>+VLOOKUP($L724,Data_Validation!$A:$D,4,0)</f>
        <v>Autos détail</v>
      </c>
      <c r="W724" s="152" t="str">
        <f>+VLOOKUP($L724,Data_Validation!$A:$E,5,0)</f>
        <v>nb</v>
      </c>
    </row>
    <row r="725" spans="1:24" ht="15.75" customHeight="1">
      <c r="A725" s="671" t="s">
        <v>1491</v>
      </c>
      <c r="B725" s="671" t="s">
        <v>698</v>
      </c>
      <c r="C725" s="672"/>
      <c r="D725" s="672"/>
      <c r="E725" s="672"/>
      <c r="F725" s="671" t="s">
        <v>4</v>
      </c>
      <c r="G725" s="671" t="s">
        <v>610</v>
      </c>
      <c r="H725" s="153"/>
      <c r="I725" s="153">
        <v>-1</v>
      </c>
      <c r="J725" s="153">
        <v>0</v>
      </c>
      <c r="K725" s="153">
        <v>-1</v>
      </c>
      <c r="L725" s="149" t="str">
        <f t="shared" si="55"/>
        <v>406G@</v>
      </c>
      <c r="M725" s="150" t="str">
        <f t="shared" si="56"/>
        <v># DE VTE - M240I XDRIVE COUPE</v>
      </c>
      <c r="N725" s="151">
        <f>+IF(OR($Q725=Parametres!$G$2,$Q725=Parametres!$G$3),I725,C725)</f>
        <v>-1</v>
      </c>
      <c r="O725" s="151">
        <f>+IF(OR($Q725=Parametres!$G$2,$Q725=Parametres!$G$3),J725,D725)</f>
        <v>0</v>
      </c>
      <c r="P725" s="151">
        <f>+IF(OR($Q725=Parametres!$G$2,$Q725=Parametres!$G$3),K725,E725)</f>
        <v>-1</v>
      </c>
      <c r="Q725" s="150" t="str">
        <f t="shared" si="57"/>
        <v>10-Compte compteur</v>
      </c>
      <c r="R725" s="149" t="str">
        <f t="shared" si="58"/>
        <v>406G</v>
      </c>
      <c r="S725" s="150">
        <f t="shared" si="59"/>
        <v>0</v>
      </c>
      <c r="T725" s="152" t="str">
        <f>+VLOOKUP($L725,Data_Validation!$A:$D,1,0)</f>
        <v>406G@</v>
      </c>
      <c r="U725" s="152" t="str">
        <f>+VLOOKUP($L725,Data_Validation!$A:$D,3,0)</f>
        <v>Véhicules neufs</v>
      </c>
      <c r="V725" s="152" t="str">
        <f>+VLOOKUP($L725,Data_Validation!$A:$D,4,0)</f>
        <v>Autos détail</v>
      </c>
      <c r="W725" s="152" t="str">
        <f>+VLOOKUP($L725,Data_Validation!$A:$E,5,0)</f>
        <v>nb</v>
      </c>
    </row>
    <row r="726" spans="1:24" ht="15.75" customHeight="1">
      <c r="A726" s="671" t="s">
        <v>1493</v>
      </c>
      <c r="B726" s="671" t="s">
        <v>1494</v>
      </c>
      <c r="C726" s="672"/>
      <c r="D726" s="672"/>
      <c r="E726" s="672"/>
      <c r="F726" s="671" t="s">
        <v>4</v>
      </c>
      <c r="G726" s="671" t="s">
        <v>1376</v>
      </c>
      <c r="H726" s="153"/>
      <c r="I726" s="153">
        <v>-2</v>
      </c>
      <c r="J726" s="153">
        <v>0</v>
      </c>
      <c r="K726" s="153">
        <v>-2</v>
      </c>
      <c r="L726" s="149" t="str">
        <f t="shared" si="55"/>
        <v>407A@</v>
      </c>
      <c r="M726" s="150" t="str">
        <f t="shared" si="56"/>
        <v># DE VTE - M3 SEDAN</v>
      </c>
      <c r="N726" s="151">
        <f>+IF(OR($Q726=Parametres!$G$2,$Q726=Parametres!$G$3),I726,C726)</f>
        <v>-2</v>
      </c>
      <c r="O726" s="151">
        <f>+IF(OR($Q726=Parametres!$G$2,$Q726=Parametres!$G$3),J726,D726)</f>
        <v>0</v>
      </c>
      <c r="P726" s="151">
        <f>+IF(OR($Q726=Parametres!$G$2,$Q726=Parametres!$G$3),K726,E726)</f>
        <v>-2</v>
      </c>
      <c r="Q726" s="150" t="str">
        <f t="shared" si="57"/>
        <v>10-Compte compteur</v>
      </c>
      <c r="R726" s="149" t="str">
        <f t="shared" si="58"/>
        <v>407A</v>
      </c>
      <c r="S726" s="150">
        <f t="shared" si="59"/>
        <v>0</v>
      </c>
      <c r="T726" s="152" t="str">
        <f>+VLOOKUP($L726,Data_Validation!$A:$D,1,0)</f>
        <v>407A@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4" ht="15.75" customHeight="1">
      <c r="A727" s="671" t="s">
        <v>2044</v>
      </c>
      <c r="B727" s="671" t="s">
        <v>2045</v>
      </c>
      <c r="C727" s="672"/>
      <c r="D727" s="672"/>
      <c r="E727" s="672"/>
      <c r="F727" s="671" t="s">
        <v>4</v>
      </c>
      <c r="G727" s="671" t="s">
        <v>2031</v>
      </c>
      <c r="H727" s="153"/>
      <c r="I727" s="153">
        <v>-2</v>
      </c>
      <c r="J727" s="153">
        <v>0</v>
      </c>
      <c r="K727" s="153">
        <v>-2</v>
      </c>
      <c r="L727" s="149" t="str">
        <f t="shared" si="55"/>
        <v>407C@</v>
      </c>
      <c r="M727" s="150" t="str">
        <f t="shared" si="56"/>
        <v># OF VTES -M3 COMPETITION</v>
      </c>
      <c r="N727" s="151">
        <f>+IF(OR($Q727=Parametres!$G$2,$Q727=Parametres!$G$3),I727,C727)</f>
        <v>-2</v>
      </c>
      <c r="O727" s="151">
        <f>+IF(OR($Q727=Parametres!$G$2,$Q727=Parametres!$G$3),J727,D727)</f>
        <v>0</v>
      </c>
      <c r="P727" s="151">
        <f>+IF(OR($Q727=Parametres!$G$2,$Q727=Parametres!$G$3),K727,E727)</f>
        <v>-2</v>
      </c>
      <c r="Q727" s="150" t="str">
        <f t="shared" si="57"/>
        <v>10-Compte compteur</v>
      </c>
      <c r="R727" s="149" t="str">
        <f t="shared" si="58"/>
        <v>407C</v>
      </c>
      <c r="S727" s="150">
        <f t="shared" si="59"/>
        <v>0</v>
      </c>
      <c r="T727" s="152" t="str">
        <f>+VLOOKUP($L727,Data_Validation!$A:$D,1,0)</f>
        <v>407C@</v>
      </c>
      <c r="U727" s="152" t="str">
        <f>+VLOOKUP($L727,Data_Validation!$A:$D,3,0)</f>
        <v>Véhicules neufs</v>
      </c>
      <c r="V727" s="152" t="str">
        <f>+VLOOKUP($L727,Data_Validation!$A:$D,4,0)</f>
        <v>Autos détail</v>
      </c>
      <c r="W727" s="152" t="str">
        <f>+VLOOKUP($L727,Data_Validation!$A:$E,5,0)</f>
        <v>NB</v>
      </c>
    </row>
    <row r="728" spans="1:24" ht="15.75" customHeight="1">
      <c r="A728" s="671" t="s">
        <v>2376</v>
      </c>
      <c r="B728" s="671" t="s">
        <v>2377</v>
      </c>
      <c r="C728" s="672"/>
      <c r="D728" s="672"/>
      <c r="E728" s="672"/>
      <c r="F728" s="671" t="s">
        <v>4</v>
      </c>
      <c r="G728" s="671" t="s">
        <v>2486</v>
      </c>
      <c r="H728" s="153"/>
      <c r="I728" s="153">
        <v>-1</v>
      </c>
      <c r="J728" s="153">
        <v>0</v>
      </c>
      <c r="K728" s="153">
        <v>-1</v>
      </c>
      <c r="L728" s="149" t="str">
        <f t="shared" si="55"/>
        <v>407D@</v>
      </c>
      <c r="M728" s="150" t="str">
        <f t="shared" si="56"/>
        <v>M3 COMPETITION XDRIVE</v>
      </c>
      <c r="N728" s="151">
        <f>+IF(OR($Q728=Parametres!$G$2,$Q728=Parametres!$G$3),I728,C728)</f>
        <v>-1</v>
      </c>
      <c r="O728" s="151">
        <f>+IF(OR($Q728=Parametres!$G$2,$Q728=Parametres!$G$3),J728,D728)</f>
        <v>0</v>
      </c>
      <c r="P728" s="151">
        <f>+IF(OR($Q728=Parametres!$G$2,$Q728=Parametres!$G$3),K728,E728)</f>
        <v>-1</v>
      </c>
      <c r="Q728" s="150" t="str">
        <f t="shared" si="57"/>
        <v>10-Compte compteur</v>
      </c>
      <c r="R728" s="149" t="str">
        <f t="shared" si="58"/>
        <v>407</v>
      </c>
      <c r="S728" s="150">
        <f t="shared" si="59"/>
        <v>0</v>
      </c>
      <c r="T728" s="152" t="str">
        <f>+VLOOKUP($L728,Data_Validation!$A:$D,1,0)</f>
        <v>407D@</v>
      </c>
      <c r="U728" s="152" t="str">
        <f>+VLOOKUP($L728,Data_Validation!$A:$D,3,0)</f>
        <v>Véhicules neufs</v>
      </c>
      <c r="V728" s="152" t="str">
        <f>+VLOOKUP($L728,Data_Validation!$A:$D,4,0)</f>
        <v>Autos détail</v>
      </c>
      <c r="W728" s="152" t="str">
        <f>+VLOOKUP($L728,Data_Validation!$A:$E,5,0)</f>
        <v>NB</v>
      </c>
    </row>
    <row r="729" spans="1:24" ht="15.75" customHeight="1">
      <c r="A729" s="671" t="s">
        <v>2888</v>
      </c>
      <c r="B729" s="671" t="s">
        <v>2891</v>
      </c>
      <c r="C729" s="672"/>
      <c r="D729" s="672"/>
      <c r="E729" s="672"/>
      <c r="F729" s="671" t="s">
        <v>4</v>
      </c>
      <c r="G729" s="671" t="s">
        <v>2889</v>
      </c>
      <c r="H729" s="153"/>
      <c r="I729" s="153">
        <v>-9</v>
      </c>
      <c r="J729" s="153">
        <v>-1</v>
      </c>
      <c r="K729" s="153">
        <v>-10</v>
      </c>
      <c r="L729" s="149" t="str">
        <f t="shared" si="55"/>
        <v>409@</v>
      </c>
      <c r="M729" s="150" t="str">
        <f t="shared" si="56"/>
        <v>X2 XDRIVE28I</v>
      </c>
      <c r="N729" s="151">
        <f>+IF(OR($Q729=Parametres!$G$2,$Q729=Parametres!$G$3),I729,C729)</f>
        <v>-9</v>
      </c>
      <c r="O729" s="151">
        <f>+IF(OR($Q729=Parametres!$G$2,$Q729=Parametres!$G$3),J729,D729)</f>
        <v>-1</v>
      </c>
      <c r="P729" s="151">
        <f>+IF(OR($Q729=Parametres!$G$2,$Q729=Parametres!$G$3),K729,E729)</f>
        <v>-10</v>
      </c>
      <c r="Q729" s="150" t="str">
        <f t="shared" si="57"/>
        <v>10-Compte compteur</v>
      </c>
      <c r="R729" s="149" t="str">
        <f t="shared" si="58"/>
        <v>409</v>
      </c>
      <c r="S729" s="150">
        <f t="shared" si="59"/>
        <v>0</v>
      </c>
      <c r="T729" s="152" t="str">
        <f>+VLOOKUP($L729,Data_Validation!$A:$D,1,0)</f>
        <v>409@</v>
      </c>
      <c r="U729" s="152" t="str">
        <f>+VLOOKUP($L729,Data_Validation!$A:$D,3,0)</f>
        <v>Véhicules neufs</v>
      </c>
      <c r="V729" s="152" t="str">
        <f>+VLOOKUP($L729,Data_Validation!$A:$D,4,0)</f>
        <v>Camions détail</v>
      </c>
      <c r="W729" s="152" t="str">
        <f>+VLOOKUP($L729,Data_Validation!$A:$E,5,0)</f>
        <v>NB</v>
      </c>
    </row>
    <row r="730" spans="1:24" ht="15.75" customHeight="1">
      <c r="A730" s="671" t="s">
        <v>2874</v>
      </c>
      <c r="B730" s="671" t="s">
        <v>2877</v>
      </c>
      <c r="C730" s="672"/>
      <c r="D730" s="672"/>
      <c r="E730" s="672"/>
      <c r="F730" s="671" t="s">
        <v>4</v>
      </c>
      <c r="G730" s="671" t="s">
        <v>2875</v>
      </c>
      <c r="H730" s="153"/>
      <c r="I730" s="153">
        <v>-2</v>
      </c>
      <c r="J730" s="153">
        <v>0</v>
      </c>
      <c r="K730" s="153">
        <v>-2</v>
      </c>
      <c r="L730" s="149" t="str">
        <f t="shared" si="55"/>
        <v>409A@</v>
      </c>
      <c r="M730" s="150" t="str">
        <f t="shared" si="56"/>
        <v>X2 M35I XDRIVE</v>
      </c>
      <c r="N730" s="151">
        <f>+IF(OR($Q730=Parametres!$G$2,$Q730=Parametres!$G$3),I730,C730)</f>
        <v>-2</v>
      </c>
      <c r="O730" s="151">
        <f>+IF(OR($Q730=Parametres!$G$2,$Q730=Parametres!$G$3),J730,D730)</f>
        <v>0</v>
      </c>
      <c r="P730" s="151">
        <f>+IF(OR($Q730=Parametres!$G$2,$Q730=Parametres!$G$3),K730,E730)</f>
        <v>-2</v>
      </c>
      <c r="Q730" s="150" t="str">
        <f t="shared" si="57"/>
        <v>10-Compte compteur</v>
      </c>
      <c r="R730" s="149" t="str">
        <f t="shared" si="58"/>
        <v>409A</v>
      </c>
      <c r="S730" s="150">
        <f t="shared" si="59"/>
        <v>0</v>
      </c>
      <c r="T730" s="152" t="str">
        <f>+VLOOKUP($L730,Data_Validation!$A:$D,1,0)</f>
        <v>409A@</v>
      </c>
      <c r="U730" s="152" t="str">
        <f>+VLOOKUP($L730,Data_Validation!$A:$D,3,0)</f>
        <v>Véhicules neufs</v>
      </c>
      <c r="V730" s="152" t="str">
        <f>+VLOOKUP($L730,Data_Validation!$A:$D,4,0)</f>
        <v>Camions détail</v>
      </c>
      <c r="W730" s="152" t="str">
        <f>+VLOOKUP($L730,Data_Validation!$A:$E,5,0)</f>
        <v>NB</v>
      </c>
    </row>
    <row r="731" spans="1:24" ht="15.75" customHeight="1">
      <c r="A731" s="671" t="s">
        <v>1037</v>
      </c>
      <c r="B731" s="671" t="s">
        <v>700</v>
      </c>
      <c r="C731" s="672"/>
      <c r="D731" s="672"/>
      <c r="E731" s="672"/>
      <c r="F731" s="671" t="s">
        <v>4</v>
      </c>
      <c r="G731" s="671" t="s">
        <v>612</v>
      </c>
      <c r="H731" s="153"/>
      <c r="I731" s="153">
        <v>-1</v>
      </c>
      <c r="J731" s="153">
        <v>0</v>
      </c>
      <c r="K731" s="153">
        <v>-1</v>
      </c>
      <c r="L731" s="149" t="str">
        <f t="shared" si="55"/>
        <v>411C@</v>
      </c>
      <c r="M731" s="150" t="str">
        <f t="shared" si="56"/>
        <v># DE VTE - 330I XDRIVE SEDAN</v>
      </c>
      <c r="N731" s="151">
        <f>+IF(OR($Q731=Parametres!$G$2,$Q731=Parametres!$G$3),I731,C731)</f>
        <v>-1</v>
      </c>
      <c r="O731" s="151">
        <f>+IF(OR($Q731=Parametres!$G$2,$Q731=Parametres!$G$3),J731,D731)</f>
        <v>0</v>
      </c>
      <c r="P731" s="151">
        <f>+IF(OR($Q731=Parametres!$G$2,$Q731=Parametres!$G$3),K731,E731)</f>
        <v>-1</v>
      </c>
      <c r="Q731" s="150" t="str">
        <f t="shared" si="57"/>
        <v>10-Compte compteur</v>
      </c>
      <c r="R731" s="149" t="str">
        <f t="shared" si="58"/>
        <v>411C</v>
      </c>
      <c r="S731" s="150">
        <f t="shared" si="59"/>
        <v>0</v>
      </c>
      <c r="T731" s="152" t="str">
        <f>+VLOOKUP($L731,Data_Validation!$A:$D,1,0)</f>
        <v>411C@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4" ht="15.75" customHeight="1">
      <c r="A732" s="671" t="s">
        <v>1925</v>
      </c>
      <c r="B732" s="671" t="s">
        <v>1928</v>
      </c>
      <c r="C732" s="672"/>
      <c r="D732" s="672"/>
      <c r="E732" s="672"/>
      <c r="F732" s="671" t="s">
        <v>4</v>
      </c>
      <c r="G732" s="671" t="s">
        <v>1926</v>
      </c>
      <c r="H732" s="153"/>
      <c r="I732" s="153">
        <v>-4</v>
      </c>
      <c r="J732" s="153">
        <v>0</v>
      </c>
      <c r="K732" s="153">
        <v>-4</v>
      </c>
      <c r="L732" s="149" t="str">
        <f t="shared" si="55"/>
        <v>411H@</v>
      </c>
      <c r="M732" s="150" t="str">
        <f t="shared" si="56"/>
        <v>330E XDRIVE BERLINE</v>
      </c>
      <c r="N732" s="151">
        <f>+IF(OR($Q732=Parametres!$G$2,$Q732=Parametres!$G$3),I732,C732)</f>
        <v>-4</v>
      </c>
      <c r="O732" s="151">
        <f>+IF(OR($Q732=Parametres!$G$2,$Q732=Parametres!$G$3),J732,D732)</f>
        <v>0</v>
      </c>
      <c r="P732" s="151">
        <f>+IF(OR($Q732=Parametres!$G$2,$Q732=Parametres!$G$3),K732,E732)</f>
        <v>-4</v>
      </c>
      <c r="Q732" s="150" t="str">
        <f t="shared" si="57"/>
        <v>10-Compte compteur</v>
      </c>
      <c r="R732" s="149" t="str">
        <f t="shared" si="58"/>
        <v>411H</v>
      </c>
      <c r="S732" s="150">
        <f t="shared" si="59"/>
        <v>0</v>
      </c>
      <c r="T732" s="152" t="str">
        <f>+VLOOKUP($L732,Data_Validation!$A:$D,1,0)</f>
        <v>411H@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71" t="s">
        <v>1979</v>
      </c>
      <c r="B733" s="671" t="s">
        <v>1982</v>
      </c>
      <c r="C733" s="672"/>
      <c r="D733" s="672"/>
      <c r="E733" s="672"/>
      <c r="F733" s="671" t="s">
        <v>4</v>
      </c>
      <c r="G733" s="671" t="s">
        <v>1980</v>
      </c>
      <c r="H733" s="153"/>
      <c r="I733" s="153">
        <v>-1</v>
      </c>
      <c r="J733" s="153">
        <v>0</v>
      </c>
      <c r="K733" s="153">
        <v>-1</v>
      </c>
      <c r="L733" s="149" t="str">
        <f t="shared" si="55"/>
        <v>412C@</v>
      </c>
      <c r="M733" s="150" t="str">
        <f t="shared" si="56"/>
        <v>M340I XDRIVE</v>
      </c>
      <c r="N733" s="151">
        <f>+IF(OR($Q733=Parametres!$G$2,$Q733=Parametres!$G$3),I733,C733)</f>
        <v>-1</v>
      </c>
      <c r="O733" s="151">
        <f>+IF(OR($Q733=Parametres!$G$2,$Q733=Parametres!$G$3),J733,D733)</f>
        <v>0</v>
      </c>
      <c r="P733" s="151">
        <f>+IF(OR($Q733=Parametres!$G$2,$Q733=Parametres!$G$3),K733,E733)</f>
        <v>-1</v>
      </c>
      <c r="Q733" s="150" t="str">
        <f t="shared" si="57"/>
        <v>10-Compte compteur</v>
      </c>
      <c r="R733" s="149" t="str">
        <f t="shared" si="58"/>
        <v>412C</v>
      </c>
      <c r="S733" s="150">
        <f t="shared" si="59"/>
        <v>0</v>
      </c>
      <c r="T733" s="152" t="str">
        <f>+VLOOKUP($L733,Data_Validation!$A:$D,1,0)</f>
        <v>412C@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71" t="s">
        <v>2948</v>
      </c>
      <c r="B734" s="671" t="s">
        <v>2949</v>
      </c>
      <c r="C734" s="672"/>
      <c r="D734" s="672"/>
      <c r="E734" s="672"/>
      <c r="F734" s="671" t="s">
        <v>4</v>
      </c>
      <c r="G734" s="671" t="s">
        <v>2936</v>
      </c>
      <c r="H734" s="153"/>
      <c r="I734" s="153">
        <v>-1</v>
      </c>
      <c r="J734" s="153">
        <v>0</v>
      </c>
      <c r="K734" s="153">
        <v>-1</v>
      </c>
      <c r="L734" s="149" t="str">
        <f t="shared" si="55"/>
        <v>415@</v>
      </c>
      <c r="M734" s="150" t="str">
        <f t="shared" si="56"/>
        <v># DE VTE - ACTIVEHYBRID 7 L</v>
      </c>
      <c r="N734" s="151">
        <f>+IF(OR($Q734=Parametres!$G$2,$Q734=Parametres!$G$3),I734,C734)</f>
        <v>-1</v>
      </c>
      <c r="O734" s="151">
        <f>+IF(OR($Q734=Parametres!$G$2,$Q734=Parametres!$G$3),J734,D734)</f>
        <v>0</v>
      </c>
      <c r="P734" s="151">
        <f>+IF(OR($Q734=Parametres!$G$2,$Q734=Parametres!$G$3),K734,E734)</f>
        <v>-1</v>
      </c>
      <c r="Q734" s="150" t="str">
        <f t="shared" si="57"/>
        <v>10-Compte compteur</v>
      </c>
      <c r="R734" s="149" t="str">
        <f t="shared" si="58"/>
        <v>415</v>
      </c>
      <c r="S734" s="150">
        <f t="shared" si="59"/>
        <v>0</v>
      </c>
      <c r="T734" s="152" t="str">
        <f>+VLOOKUP($L734,Data_Validation!$A:$D,1,0)</f>
        <v>415@</v>
      </c>
      <c r="U734" s="152" t="str">
        <f>+VLOOKUP($L734,Data_Validation!$A:$D,3,0)</f>
        <v>Véhicules neufs</v>
      </c>
      <c r="V734" s="152" t="str">
        <f>+VLOOKUP($L734,Data_Validation!$A:$D,4,0)</f>
        <v>Autos détail</v>
      </c>
      <c r="W734" s="152" t="str">
        <f>+VLOOKUP($L734,Data_Validation!$A:$E,5,0)</f>
        <v>nb</v>
      </c>
    </row>
    <row r="735" spans="1:24" ht="15.75" customHeight="1">
      <c r="A735" s="671" t="s">
        <v>2903</v>
      </c>
      <c r="B735" s="671" t="s">
        <v>2904</v>
      </c>
      <c r="C735" s="672"/>
      <c r="D735" s="672"/>
      <c r="E735" s="672"/>
      <c r="F735" s="671" t="s">
        <v>4</v>
      </c>
      <c r="G735" s="671" t="s">
        <v>2896</v>
      </c>
      <c r="H735" s="153"/>
      <c r="I735" s="153">
        <v>-1</v>
      </c>
      <c r="J735" s="153">
        <v>0</v>
      </c>
      <c r="K735" s="153">
        <v>-1</v>
      </c>
      <c r="L735" s="149" t="str">
        <f t="shared" si="55"/>
        <v>415A@</v>
      </c>
      <c r="M735" s="150" t="str">
        <f t="shared" si="56"/>
        <v># DE VTE - 750e xDRIVE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415A</v>
      </c>
      <c r="S735" s="150">
        <f t="shared" si="59"/>
        <v>0</v>
      </c>
      <c r="T735" s="152" t="str">
        <f>+VLOOKUP($L735,Data_Validation!$A:$D,1,0)</f>
        <v>415A@</v>
      </c>
      <c r="U735" s="152" t="str">
        <f>+VLOOKUP($L735,Data_Validation!$A:$D,3,0)</f>
        <v>Véhicules neufs</v>
      </c>
      <c r="V735" s="152" t="str">
        <f>+VLOOKUP($L735,Data_Validation!$A:$D,4,0)</f>
        <v>Autos détail</v>
      </c>
      <c r="W735" s="152" t="str">
        <f>+VLOOKUP($L735,Data_Validation!$A:$E,5,0)</f>
        <v>nb</v>
      </c>
    </row>
    <row r="736" spans="1:24" ht="15.75" customHeight="1">
      <c r="A736" s="671" t="s">
        <v>1498</v>
      </c>
      <c r="B736" s="671" t="s">
        <v>702</v>
      </c>
      <c r="C736" s="672"/>
      <c r="D736" s="672"/>
      <c r="E736" s="672"/>
      <c r="F736" s="671" t="s">
        <v>4</v>
      </c>
      <c r="G736" s="671" t="s">
        <v>410</v>
      </c>
      <c r="H736" s="153"/>
      <c r="I736" s="153">
        <v>-21</v>
      </c>
      <c r="J736" s="153">
        <v>-5</v>
      </c>
      <c r="K736" s="153">
        <v>-26</v>
      </c>
      <c r="L736" s="149" t="str">
        <f t="shared" si="55"/>
        <v>416@</v>
      </c>
      <c r="M736" s="150" t="str">
        <f t="shared" si="56"/>
        <v># DE VTE - X1 XDRIVE 28I</v>
      </c>
      <c r="N736" s="151">
        <f>+IF(OR($Q736=Parametres!$G$2,$Q736=Parametres!$G$3),I736,C736)</f>
        <v>-21</v>
      </c>
      <c r="O736" s="151">
        <f>+IF(OR($Q736=Parametres!$G$2,$Q736=Parametres!$G$3),J736,D736)</f>
        <v>-5</v>
      </c>
      <c r="P736" s="151">
        <f>+IF(OR($Q736=Parametres!$G$2,$Q736=Parametres!$G$3),K736,E736)</f>
        <v>-26</v>
      </c>
      <c r="Q736" s="150" t="str">
        <f t="shared" si="57"/>
        <v>10-Compte compteur</v>
      </c>
      <c r="R736" s="149" t="str">
        <f t="shared" si="58"/>
        <v>416</v>
      </c>
      <c r="S736" s="150">
        <f t="shared" si="59"/>
        <v>0</v>
      </c>
      <c r="T736" s="152" t="str">
        <f>+VLOOKUP($L736,Data_Validation!$A:$D,1,0)</f>
        <v>416@</v>
      </c>
      <c r="U736" s="152" t="str">
        <f>+VLOOKUP($L736,Data_Validation!$A:$D,3,0)</f>
        <v>Véhicules neufs</v>
      </c>
      <c r="V736" s="152" t="str">
        <f>+VLOOKUP($L736,Data_Validation!$A:$D,4,0)</f>
        <v>Camions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2538</v>
      </c>
      <c r="B737" s="671" t="s">
        <v>2539</v>
      </c>
      <c r="C737" s="672"/>
      <c r="D737" s="672"/>
      <c r="E737" s="672"/>
      <c r="F737" s="671" t="s">
        <v>4</v>
      </c>
      <c r="G737" s="671" t="s">
        <v>2531</v>
      </c>
      <c r="H737" s="153"/>
      <c r="I737" s="153">
        <v>-3</v>
      </c>
      <c r="J737" s="153">
        <v>-2</v>
      </c>
      <c r="K737" s="153">
        <v>-5</v>
      </c>
      <c r="L737" s="149" t="str">
        <f t="shared" si="55"/>
        <v>416A@</v>
      </c>
      <c r="M737" s="150" t="str">
        <f t="shared" si="56"/>
        <v># DE VTE - X1 M35i xDRIVE</v>
      </c>
      <c r="N737" s="151">
        <f>+IF(OR($Q737=Parametres!$G$2,$Q737=Parametres!$G$3),I737,C737)</f>
        <v>-3</v>
      </c>
      <c r="O737" s="151">
        <f>+IF(OR($Q737=Parametres!$G$2,$Q737=Parametres!$G$3),J737,D737)</f>
        <v>-2</v>
      </c>
      <c r="P737" s="151">
        <f>+IF(OR($Q737=Parametres!$G$2,$Q737=Parametres!$G$3),K737,E737)</f>
        <v>-5</v>
      </c>
      <c r="Q737" s="150" t="str">
        <f t="shared" si="57"/>
        <v>10-Compte compteur</v>
      </c>
      <c r="R737" s="149" t="str">
        <f t="shared" si="58"/>
        <v>416A</v>
      </c>
      <c r="S737" s="150">
        <f t="shared" si="59"/>
        <v>0</v>
      </c>
      <c r="T737" s="152" t="str">
        <f>+VLOOKUP($L737,Data_Validation!$A:$D,1,0)</f>
        <v>416A@</v>
      </c>
      <c r="U737" s="152" t="str">
        <f>+VLOOKUP($L737,Data_Validation!$A:$D,3,0)</f>
        <v>Véhicules neufs</v>
      </c>
      <c r="V737" s="152" t="str">
        <f>+VLOOKUP($L737,Data_Validation!$A:$D,4,0)</f>
        <v>Camions détail</v>
      </c>
      <c r="W737" s="152" t="str">
        <f>+VLOOKUP($L737,Data_Validation!$A:$E,5,0)</f>
        <v>NB</v>
      </c>
    </row>
    <row r="738" spans="1:24" ht="15.75" customHeight="1">
      <c r="A738" s="671" t="s">
        <v>1500</v>
      </c>
      <c r="B738" s="671" t="s">
        <v>705</v>
      </c>
      <c r="C738" s="672"/>
      <c r="D738" s="672"/>
      <c r="E738" s="672"/>
      <c r="F738" s="671" t="s">
        <v>4</v>
      </c>
      <c r="G738" s="671" t="s">
        <v>616</v>
      </c>
      <c r="H738" s="153"/>
      <c r="I738" s="153">
        <v>-19</v>
      </c>
      <c r="J738" s="153">
        <v>-3</v>
      </c>
      <c r="K738" s="153">
        <v>-22</v>
      </c>
      <c r="L738" s="149" t="str">
        <f t="shared" si="55"/>
        <v>418@</v>
      </c>
      <c r="M738" s="150" t="str">
        <f t="shared" si="56"/>
        <v># DE VTE - AUTRES MODELES BMW</v>
      </c>
      <c r="N738" s="151">
        <f>+IF(OR($Q738=Parametres!$G$2,$Q738=Parametres!$G$3),I738,C738)</f>
        <v>-19</v>
      </c>
      <c r="O738" s="151">
        <f>+IF(OR($Q738=Parametres!$G$2,$Q738=Parametres!$G$3),J738,D738)</f>
        <v>-3</v>
      </c>
      <c r="P738" s="151">
        <f>+IF(OR($Q738=Parametres!$G$2,$Q738=Parametres!$G$3),K738,E738)</f>
        <v>-22</v>
      </c>
      <c r="Q738" s="150" t="str">
        <f t="shared" si="57"/>
        <v>10-Compte compteur</v>
      </c>
      <c r="R738" s="149" t="str">
        <f t="shared" si="58"/>
        <v>418</v>
      </c>
      <c r="S738" s="150">
        <f t="shared" si="59"/>
        <v>0</v>
      </c>
      <c r="T738" s="152" t="str">
        <f>+VLOOKUP($L738,Data_Validation!$A:$D,1,0)</f>
        <v>418@</v>
      </c>
      <c r="U738" s="152" t="str">
        <f>+VLOOKUP($L738,Data_Validation!$A:$D,3,0)</f>
        <v>Véhicules neufs</v>
      </c>
      <c r="V738" s="152" t="str">
        <f>+VLOOKUP($L738,Data_Validation!$A:$D,4,0)</f>
        <v>Ex-Démos et courtoisies</v>
      </c>
      <c r="W738" s="152" t="str">
        <f>+VLOOKUP($L738,Data_Validation!$A:$E,5,0)</f>
        <v>nb</v>
      </c>
    </row>
    <row r="739" spans="1:24" ht="15.75" customHeight="1">
      <c r="A739" s="671" t="s">
        <v>1501</v>
      </c>
      <c r="B739" s="671" t="s">
        <v>706</v>
      </c>
      <c r="C739" s="672"/>
      <c r="D739" s="672"/>
      <c r="E739" s="672"/>
      <c r="F739" s="671" t="s">
        <v>4</v>
      </c>
      <c r="G739" s="671" t="s">
        <v>616</v>
      </c>
      <c r="H739" s="153"/>
      <c r="I739" s="153">
        <v>-12</v>
      </c>
      <c r="J739" s="153">
        <v>0</v>
      </c>
      <c r="K739" s="153">
        <v>-12</v>
      </c>
      <c r="L739" s="149" t="str">
        <f t="shared" si="55"/>
        <v>418A@</v>
      </c>
      <c r="M739" s="150" t="str">
        <f t="shared" si="56"/>
        <v># DE VTE - AUTRES MODELES BMW CAMION</v>
      </c>
      <c r="N739" s="151">
        <f>+IF(OR($Q739=Parametres!$G$2,$Q739=Parametres!$G$3),I739,C739)</f>
        <v>-12</v>
      </c>
      <c r="O739" s="151">
        <f>+IF(OR($Q739=Parametres!$G$2,$Q739=Parametres!$G$3),J739,D739)</f>
        <v>0</v>
      </c>
      <c r="P739" s="151">
        <f>+IF(OR($Q739=Parametres!$G$2,$Q739=Parametres!$G$3),K739,E739)</f>
        <v>-12</v>
      </c>
      <c r="Q739" s="150" t="str">
        <f t="shared" si="57"/>
        <v>10-Compte compteur</v>
      </c>
      <c r="R739" s="149" t="str">
        <f t="shared" si="58"/>
        <v>418</v>
      </c>
      <c r="S739" s="150">
        <f t="shared" si="59"/>
        <v>0</v>
      </c>
      <c r="T739" s="152" t="str">
        <f>+VLOOKUP($L739,Data_Validation!$A:$D,1,0)</f>
        <v>418A@</v>
      </c>
      <c r="U739" s="152" t="str">
        <f>+VLOOKUP($L739,Data_Validation!$A:$D,3,0)</f>
        <v>Véhicules neufs</v>
      </c>
      <c r="V739" s="152" t="str">
        <f>+VLOOKUP($L739,Data_Validation!$A:$D,4,0)</f>
        <v>Ex-Démos et courtoisies</v>
      </c>
      <c r="W739" s="152" t="str">
        <f>+VLOOKUP($L739,Data_Validation!$A:$E,5,0)</f>
        <v>nb</v>
      </c>
    </row>
    <row r="740" spans="1:24" ht="15.75" customHeight="1">
      <c r="A740" s="671" t="s">
        <v>1502</v>
      </c>
      <c r="B740" s="671" t="s">
        <v>707</v>
      </c>
      <c r="C740" s="672"/>
      <c r="D740" s="672"/>
      <c r="E740" s="672"/>
      <c r="F740" s="671" t="s">
        <v>4</v>
      </c>
      <c r="G740" s="671" t="s">
        <v>423</v>
      </c>
      <c r="H740" s="153"/>
      <c r="I740" s="153">
        <v>-3</v>
      </c>
      <c r="J740" s="153">
        <v>-2</v>
      </c>
      <c r="K740" s="153">
        <v>-5</v>
      </c>
      <c r="L740" s="149" t="str">
        <f t="shared" si="55"/>
        <v>419@</v>
      </c>
      <c r="M740" s="150" t="str">
        <f t="shared" si="56"/>
        <v># DE VTE - FLEET VOITURE BMW</v>
      </c>
      <c r="N740" s="151">
        <f>+IF(OR($Q740=Parametres!$G$2,$Q740=Parametres!$G$3),I740,C740)</f>
        <v>-3</v>
      </c>
      <c r="O740" s="151">
        <f>+IF(OR($Q740=Parametres!$G$2,$Q740=Parametres!$G$3),J740,D740)</f>
        <v>-2</v>
      </c>
      <c r="P740" s="151">
        <f>+IF(OR($Q740=Parametres!$G$2,$Q740=Parametres!$G$3),K740,E740)</f>
        <v>-5</v>
      </c>
      <c r="Q740" s="150" t="str">
        <f t="shared" si="57"/>
        <v>10-Compte compteur</v>
      </c>
      <c r="R740" s="149" t="str">
        <f t="shared" si="58"/>
        <v>419</v>
      </c>
      <c r="S740" s="150">
        <f t="shared" si="59"/>
        <v>0</v>
      </c>
      <c r="T740" s="152" t="str">
        <f>+VLOOKUP($L740,Data_Validation!$A:$D,1,0)</f>
        <v>419@</v>
      </c>
      <c r="U740" s="152" t="str">
        <f>+VLOOKUP($L740,Data_Validation!$A:$D,3,0)</f>
        <v>Véhicules neufs</v>
      </c>
      <c r="V740" s="152" t="str">
        <f>+VLOOKUP($L740,Data_Validation!$A:$D,4,0)</f>
        <v>Flottes</v>
      </c>
      <c r="W740" s="152" t="str">
        <f>+VLOOKUP($L740,Data_Validation!$A:$E,5,0)</f>
        <v>nb</v>
      </c>
    </row>
    <row r="741" spans="1:24" ht="15.75" customHeight="1">
      <c r="A741" s="671" t="s">
        <v>1504</v>
      </c>
      <c r="B741" s="671" t="s">
        <v>709</v>
      </c>
      <c r="C741" s="672"/>
      <c r="D741" s="672"/>
      <c r="E741" s="672"/>
      <c r="F741" s="671" t="s">
        <v>4</v>
      </c>
      <c r="G741" s="671" t="s">
        <v>419</v>
      </c>
      <c r="H741" s="153"/>
      <c r="I741" s="153">
        <v>-2</v>
      </c>
      <c r="J741" s="153">
        <v>-2</v>
      </c>
      <c r="K741" s="153">
        <v>-4</v>
      </c>
      <c r="L741" s="149" t="str">
        <f t="shared" si="55"/>
        <v>422A@</v>
      </c>
      <c r="M741" s="150" t="str">
        <f t="shared" si="56"/>
        <v># DE VTE - X6 XDRIVE 35I</v>
      </c>
      <c r="N741" s="151">
        <f>+IF(OR($Q741=Parametres!$G$2,$Q741=Parametres!$G$3),I741,C741)</f>
        <v>-2</v>
      </c>
      <c r="O741" s="151">
        <f>+IF(OR($Q741=Parametres!$G$2,$Q741=Parametres!$G$3),J741,D741)</f>
        <v>-2</v>
      </c>
      <c r="P741" s="151">
        <f>+IF(OR($Q741=Parametres!$G$2,$Q741=Parametres!$G$3),K741,E741)</f>
        <v>-4</v>
      </c>
      <c r="Q741" s="150" t="str">
        <f t="shared" si="57"/>
        <v>10-Compte compteur</v>
      </c>
      <c r="R741" s="149" t="str">
        <f t="shared" si="58"/>
        <v>422A</v>
      </c>
      <c r="S741" s="150">
        <f t="shared" si="59"/>
        <v>0</v>
      </c>
      <c r="T741" s="152" t="str">
        <f>+VLOOKUP($L741,Data_Validation!$A:$D,1,0)</f>
        <v>422A@</v>
      </c>
      <c r="U741" s="152" t="str">
        <f>+VLOOKUP($L741,Data_Validation!$A:$D,3,0)</f>
        <v>Véhicules neufs</v>
      </c>
      <c r="V741" s="152" t="str">
        <f>+VLOOKUP($L741,Data_Validation!$A:$D,4,0)</f>
        <v>Camions détail</v>
      </c>
      <c r="W741" s="152" t="str">
        <f>+VLOOKUP($L741,Data_Validation!$A:$E,5,0)</f>
        <v>nb</v>
      </c>
    </row>
    <row r="742" spans="1:24" ht="15.75" customHeight="1">
      <c r="A742" s="671" t="s">
        <v>2399</v>
      </c>
      <c r="B742" s="671" t="s">
        <v>2400</v>
      </c>
      <c r="C742" s="672"/>
      <c r="D742" s="672"/>
      <c r="E742" s="672"/>
      <c r="F742" s="671" t="s">
        <v>4</v>
      </c>
      <c r="G742" s="671" t="s">
        <v>2390</v>
      </c>
      <c r="H742" s="153"/>
      <c r="I742" s="153">
        <v>0</v>
      </c>
      <c r="J742" s="153">
        <v>-1</v>
      </c>
      <c r="K742" s="153">
        <v>-1</v>
      </c>
      <c r="L742" s="149" t="str">
        <f t="shared" si="55"/>
        <v>422B@</v>
      </c>
      <c r="M742" s="150" t="str">
        <f t="shared" si="56"/>
        <v># DE VTE - X6 XDRIVE 50I</v>
      </c>
      <c r="N742" s="151">
        <f>+IF(OR($Q742=Parametres!$G$2,$Q742=Parametres!$G$3),I742,C742)</f>
        <v>0</v>
      </c>
      <c r="O742" s="151">
        <f>+IF(OR($Q742=Parametres!$G$2,$Q742=Parametres!$G$3),J742,D742)</f>
        <v>-1</v>
      </c>
      <c r="P742" s="151">
        <f>+IF(OR($Q742=Parametres!$G$2,$Q742=Parametres!$G$3),K742,E742)</f>
        <v>-1</v>
      </c>
      <c r="Q742" s="150" t="str">
        <f t="shared" si="57"/>
        <v>10-Compte compteur</v>
      </c>
      <c r="R742" s="149" t="str">
        <f t="shared" si="58"/>
        <v>422B</v>
      </c>
      <c r="S742" s="150">
        <f t="shared" si="59"/>
        <v>0</v>
      </c>
      <c r="T742" s="152" t="str">
        <f>+VLOOKUP($L742,Data_Validation!$A:$D,1,0)</f>
        <v>422B@</v>
      </c>
      <c r="U742" s="152" t="str">
        <f>+VLOOKUP($L742,Data_Validation!$A:$D,3,0)</f>
        <v>Véhicules neufs</v>
      </c>
      <c r="V742" s="152" t="str">
        <f>+VLOOKUP($L742,Data_Validation!$A:$D,4,0)</f>
        <v>Camions détail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2557</v>
      </c>
      <c r="B743" s="671" t="s">
        <v>2558</v>
      </c>
      <c r="C743" s="672"/>
      <c r="D743" s="672"/>
      <c r="E743" s="672"/>
      <c r="F743" s="671" t="s">
        <v>4</v>
      </c>
      <c r="G743" s="671" t="s">
        <v>2554</v>
      </c>
      <c r="H743" s="153"/>
      <c r="I743" s="153">
        <v>-2</v>
      </c>
      <c r="J743" s="153">
        <v>-1</v>
      </c>
      <c r="K743" s="153">
        <v>-3</v>
      </c>
      <c r="L743" s="149" t="str">
        <f t="shared" si="55"/>
        <v>422C@</v>
      </c>
      <c r="M743" s="150" t="str">
        <f t="shared" si="56"/>
        <v># DE VTE - X6 M60i</v>
      </c>
      <c r="N743" s="151">
        <f>+IF(OR($Q743=Parametres!$G$2,$Q743=Parametres!$G$3),I743,C743)</f>
        <v>-2</v>
      </c>
      <c r="O743" s="151">
        <f>+IF(OR($Q743=Parametres!$G$2,$Q743=Parametres!$G$3),J743,D743)</f>
        <v>-1</v>
      </c>
      <c r="P743" s="151">
        <f>+IF(OR($Q743=Parametres!$G$2,$Q743=Parametres!$G$3),K743,E743)</f>
        <v>-3</v>
      </c>
      <c r="Q743" s="150" t="str">
        <f t="shared" si="57"/>
        <v>10-Compte compteur</v>
      </c>
      <c r="R743" s="149" t="str">
        <f t="shared" si="58"/>
        <v>422C</v>
      </c>
      <c r="S743" s="150">
        <f t="shared" si="59"/>
        <v>0</v>
      </c>
      <c r="T743" s="152" t="str">
        <f>+VLOOKUP($L743,Data_Validation!$A:$D,1,0)</f>
        <v>422C@</v>
      </c>
      <c r="U743" s="152" t="str">
        <f>+VLOOKUP($L743,Data_Validation!$A:$D,3,0)</f>
        <v>Véhicules neufs</v>
      </c>
      <c r="V743" s="152" t="str">
        <f>+VLOOKUP($L743,Data_Validation!$A:$D,4,0)</f>
        <v>Camions détail</v>
      </c>
      <c r="W743" s="152" t="str">
        <f>+VLOOKUP($L743,Data_Validation!$A:$E,5,0)</f>
        <v>NB</v>
      </c>
    </row>
    <row r="744" spans="1:24" ht="15.75" customHeight="1">
      <c r="A744" s="671" t="s">
        <v>2435</v>
      </c>
      <c r="B744" s="671" t="s">
        <v>710</v>
      </c>
      <c r="C744" s="672"/>
      <c r="D744" s="672"/>
      <c r="E744" s="672"/>
      <c r="F744" s="671" t="s">
        <v>4</v>
      </c>
      <c r="G744" s="671" t="s">
        <v>402</v>
      </c>
      <c r="H744" s="153"/>
      <c r="I744" s="153">
        <v>-23</v>
      </c>
      <c r="J744" s="153">
        <v>0</v>
      </c>
      <c r="K744" s="153">
        <v>-23</v>
      </c>
      <c r="L744" s="149" t="str">
        <f t="shared" si="55"/>
        <v>423B@</v>
      </c>
      <c r="M744" s="150" t="str">
        <f t="shared" si="56"/>
        <v># DE VTE - X3 XDRIVE 30I</v>
      </c>
      <c r="N744" s="151">
        <f>+IF(OR($Q744=Parametres!$G$2,$Q744=Parametres!$G$3),I744,C744)</f>
        <v>-23</v>
      </c>
      <c r="O744" s="151">
        <f>+IF(OR($Q744=Parametres!$G$2,$Q744=Parametres!$G$3),J744,D744)</f>
        <v>0</v>
      </c>
      <c r="P744" s="151">
        <f>+IF(OR($Q744=Parametres!$G$2,$Q744=Parametres!$G$3),K744,E744)</f>
        <v>-23</v>
      </c>
      <c r="Q744" s="150" t="str">
        <f t="shared" si="57"/>
        <v>10-Compte compteur</v>
      </c>
      <c r="R744" s="149" t="str">
        <f t="shared" si="58"/>
        <v>423B</v>
      </c>
      <c r="S744" s="150">
        <f t="shared" si="59"/>
        <v>0</v>
      </c>
      <c r="T744" s="152" t="str">
        <f>+VLOOKUP($L744,Data_Validation!$A:$D,1,0)</f>
        <v>423B@</v>
      </c>
      <c r="U744" s="152" t="str">
        <f>+VLOOKUP($L744,Data_Validation!$A:$D,3,0)</f>
        <v>Véhicules neufs</v>
      </c>
      <c r="V744" s="152" t="str">
        <f>+VLOOKUP($L744,Data_Validation!$A:$D,4,0)</f>
        <v>Camions détail</v>
      </c>
      <c r="W744" s="152" t="str">
        <f>+VLOOKUP($L744,Data_Validation!$A:$E,5,0)</f>
        <v>nb</v>
      </c>
    </row>
    <row r="745" spans="1:24" ht="15.75" customHeight="1">
      <c r="A745" s="671" t="s">
        <v>1505</v>
      </c>
      <c r="B745" s="671" t="s">
        <v>711</v>
      </c>
      <c r="C745" s="672"/>
      <c r="D745" s="672"/>
      <c r="E745" s="672"/>
      <c r="F745" s="671" t="s">
        <v>4</v>
      </c>
      <c r="G745" s="671" t="s">
        <v>617</v>
      </c>
      <c r="H745" s="153"/>
      <c r="I745" s="153">
        <v>-9</v>
      </c>
      <c r="J745" s="153">
        <v>-5</v>
      </c>
      <c r="K745" s="153">
        <v>-14</v>
      </c>
      <c r="L745" s="149" t="str">
        <f t="shared" si="55"/>
        <v>423C@</v>
      </c>
      <c r="M745" s="150" t="str">
        <f t="shared" si="56"/>
        <v># DE VTE - X3 XDRIVE 30E</v>
      </c>
      <c r="N745" s="151">
        <f>+IF(OR($Q745=Parametres!$G$2,$Q745=Parametres!$G$3),I745,C745)</f>
        <v>-9</v>
      </c>
      <c r="O745" s="151">
        <f>+IF(OR($Q745=Parametres!$G$2,$Q745=Parametres!$G$3),J745,D745)</f>
        <v>-5</v>
      </c>
      <c r="P745" s="151">
        <f>+IF(OR($Q745=Parametres!$G$2,$Q745=Parametres!$G$3),K745,E745)</f>
        <v>-14</v>
      </c>
      <c r="Q745" s="150" t="str">
        <f t="shared" si="57"/>
        <v>10-Compte compteur</v>
      </c>
      <c r="R745" s="149" t="str">
        <f t="shared" si="58"/>
        <v>423C</v>
      </c>
      <c r="S745" s="150">
        <f t="shared" si="59"/>
        <v>0</v>
      </c>
      <c r="T745" s="152" t="str">
        <f>+VLOOKUP($L745,Data_Validation!$A:$D,1,0)</f>
        <v>423C@</v>
      </c>
      <c r="U745" s="152" t="str">
        <f>+VLOOKUP($L745,Data_Validation!$A:$D,3,0)</f>
        <v>Véhicules neufs</v>
      </c>
      <c r="V745" s="152" t="str">
        <f>+VLOOKUP($L745,Data_Validation!$A:$D,4,0)</f>
        <v>Camions détail</v>
      </c>
      <c r="W745" s="152" t="str">
        <f>+VLOOKUP($L745,Data_Validation!$A:$E,5,0)</f>
        <v>nb</v>
      </c>
    </row>
    <row r="746" spans="1:24" ht="15.75" customHeight="1">
      <c r="A746" s="671" t="s">
        <v>1506</v>
      </c>
      <c r="B746" s="671" t="s">
        <v>712</v>
      </c>
      <c r="C746" s="672"/>
      <c r="D746" s="672"/>
      <c r="E746" s="672"/>
      <c r="F746" s="671" t="s">
        <v>4</v>
      </c>
      <c r="G746" s="671" t="s">
        <v>618</v>
      </c>
      <c r="H746" s="153"/>
      <c r="I746" s="153">
        <v>-8</v>
      </c>
      <c r="J746" s="153">
        <v>-3</v>
      </c>
      <c r="K746" s="153">
        <v>-11</v>
      </c>
      <c r="L746" s="149" t="str">
        <f t="shared" si="55"/>
        <v>423D@</v>
      </c>
      <c r="M746" s="150" t="str">
        <f t="shared" si="56"/>
        <v># DE VTE - X5 XDRIVE 35I/ X5 XDRIVE 40I</v>
      </c>
      <c r="N746" s="151">
        <f>+IF(OR($Q746=Parametres!$G$2,$Q746=Parametres!$G$3),I746,C746)</f>
        <v>-8</v>
      </c>
      <c r="O746" s="151">
        <f>+IF(OR($Q746=Parametres!$G$2,$Q746=Parametres!$G$3),J746,D746)</f>
        <v>-3</v>
      </c>
      <c r="P746" s="151">
        <f>+IF(OR($Q746=Parametres!$G$2,$Q746=Parametres!$G$3),K746,E746)</f>
        <v>-11</v>
      </c>
      <c r="Q746" s="150" t="str">
        <f t="shared" si="57"/>
        <v>10-Compte compteur</v>
      </c>
      <c r="R746" s="149" t="str">
        <f t="shared" si="58"/>
        <v>423D</v>
      </c>
      <c r="S746" s="150">
        <f t="shared" si="59"/>
        <v>0</v>
      </c>
      <c r="T746" s="152" t="str">
        <f>+VLOOKUP($L746,Data_Validation!$A:$D,1,0)</f>
        <v>423D@</v>
      </c>
      <c r="U746" s="152" t="str">
        <f>+VLOOKUP($L746,Data_Validation!$A:$D,3,0)</f>
        <v>Véhicules neufs</v>
      </c>
      <c r="V746" s="152" t="str">
        <f>+VLOOKUP($L746,Data_Validation!$A:$D,4,0)</f>
        <v>Camions détail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2491</v>
      </c>
      <c r="B747" s="671" t="s">
        <v>2492</v>
      </c>
      <c r="C747" s="672"/>
      <c r="D747" s="672"/>
      <c r="E747" s="672"/>
      <c r="F747" s="671" t="s">
        <v>4</v>
      </c>
      <c r="G747" s="671" t="s">
        <v>2488</v>
      </c>
      <c r="H747" s="153"/>
      <c r="I747" s="153">
        <v>-9</v>
      </c>
      <c r="J747" s="153">
        <v>-1</v>
      </c>
      <c r="K747" s="153">
        <v>-10</v>
      </c>
      <c r="L747" s="149" t="str">
        <f t="shared" si="55"/>
        <v>423F@</v>
      </c>
      <c r="M747" s="150" t="str">
        <f t="shared" si="56"/>
        <v># DE VTE - X5 xDRIVE50e</v>
      </c>
      <c r="N747" s="151">
        <f>+IF(OR($Q747=Parametres!$G$2,$Q747=Parametres!$G$3),I747,C747)</f>
        <v>-9</v>
      </c>
      <c r="O747" s="151">
        <f>+IF(OR($Q747=Parametres!$G$2,$Q747=Parametres!$G$3),J747,D747)</f>
        <v>-1</v>
      </c>
      <c r="P747" s="151">
        <f>+IF(OR($Q747=Parametres!$G$2,$Q747=Parametres!$G$3),K747,E747)</f>
        <v>-10</v>
      </c>
      <c r="Q747" s="150" t="str">
        <f t="shared" si="57"/>
        <v>10-Compte compteur</v>
      </c>
      <c r="R747" s="149" t="str">
        <f t="shared" si="58"/>
        <v>423F</v>
      </c>
      <c r="S747" s="150">
        <f t="shared" si="59"/>
        <v>0</v>
      </c>
      <c r="T747" s="152" t="str">
        <f>+VLOOKUP($L747,Data_Validation!$A:$D,1,0)</f>
        <v>423F@</v>
      </c>
      <c r="U747" s="152" t="str">
        <f>+VLOOKUP($L747,Data_Validation!$A:$D,3,0)</f>
        <v>Véhicules neufs</v>
      </c>
      <c r="V747" s="152" t="str">
        <f>+VLOOKUP($L747,Data_Validation!$A:$D,4,0)</f>
        <v>Camions détail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1507</v>
      </c>
      <c r="B748" s="671" t="s">
        <v>713</v>
      </c>
      <c r="C748" s="672"/>
      <c r="D748" s="672"/>
      <c r="E748" s="672"/>
      <c r="F748" s="671" t="s">
        <v>4</v>
      </c>
      <c r="G748" s="671" t="s">
        <v>619</v>
      </c>
      <c r="H748" s="153"/>
      <c r="I748" s="153">
        <v>-4</v>
      </c>
      <c r="J748" s="153">
        <v>0</v>
      </c>
      <c r="K748" s="153">
        <v>-4</v>
      </c>
      <c r="L748" s="149" t="str">
        <f t="shared" si="55"/>
        <v>423G@</v>
      </c>
      <c r="M748" s="150" t="str">
        <f t="shared" si="56"/>
        <v># DE VTE - X3 XDR M40I</v>
      </c>
      <c r="N748" s="151">
        <f>+IF(OR($Q748=Parametres!$G$2,$Q748=Parametres!$G$3),I748,C748)</f>
        <v>-4</v>
      </c>
      <c r="O748" s="151">
        <f>+IF(OR($Q748=Parametres!$G$2,$Q748=Parametres!$G$3),J748,D748)</f>
        <v>0</v>
      </c>
      <c r="P748" s="151">
        <f>+IF(OR($Q748=Parametres!$G$2,$Q748=Parametres!$G$3),K748,E748)</f>
        <v>-4</v>
      </c>
      <c r="Q748" s="150" t="str">
        <f t="shared" si="57"/>
        <v>10-Compte compteur</v>
      </c>
      <c r="R748" s="149" t="str">
        <f t="shared" si="58"/>
        <v>423G</v>
      </c>
      <c r="S748" s="150">
        <f t="shared" si="59"/>
        <v>0</v>
      </c>
      <c r="T748" s="152" t="str">
        <f>+VLOOKUP($L748,Data_Validation!$A:$D,1,0)</f>
        <v>423G@</v>
      </c>
      <c r="U748" s="152" t="str">
        <f>+VLOOKUP($L748,Data_Validation!$A:$D,3,0)</f>
        <v>Véhicules neufs</v>
      </c>
      <c r="V748" s="152" t="str">
        <f>+VLOOKUP($L748,Data_Validation!$A:$D,4,0)</f>
        <v>Camions détail</v>
      </c>
      <c r="W748" s="152" t="str">
        <f>+VLOOKUP($L748,Data_Validation!$A:$E,5,0)</f>
        <v>nb</v>
      </c>
    </row>
    <row r="749" spans="1:24" ht="15.75" customHeight="1">
      <c r="A749" s="671" t="s">
        <v>2950</v>
      </c>
      <c r="B749" s="671" t="s">
        <v>2222</v>
      </c>
      <c r="C749" s="672"/>
      <c r="D749" s="672"/>
      <c r="E749" s="672"/>
      <c r="F749" s="671" t="s">
        <v>4</v>
      </c>
      <c r="G749" s="671" t="s">
        <v>2220</v>
      </c>
      <c r="H749" s="153"/>
      <c r="I749" s="153">
        <v>-1</v>
      </c>
      <c r="J749" s="153">
        <v>0</v>
      </c>
      <c r="K749" s="153">
        <v>-1</v>
      </c>
      <c r="L749" s="149" t="str">
        <f t="shared" si="55"/>
        <v>423H@</v>
      </c>
      <c r="M749" s="150" t="str">
        <f t="shared" si="56"/>
        <v># OF VTES -VTES -X3 M / M3 M COMPETITION</v>
      </c>
      <c r="N749" s="151">
        <f>+IF(OR($Q749=Parametres!$G$2,$Q749=Parametres!$G$3),I749,C749)</f>
        <v>-1</v>
      </c>
      <c r="O749" s="151">
        <f>+IF(OR($Q749=Parametres!$G$2,$Q749=Parametres!$G$3),J749,D749)</f>
        <v>0</v>
      </c>
      <c r="P749" s="151">
        <f>+IF(OR($Q749=Parametres!$G$2,$Q749=Parametres!$G$3),K749,E749)</f>
        <v>-1</v>
      </c>
      <c r="Q749" s="150" t="str">
        <f t="shared" si="57"/>
        <v>10-Compte compteur</v>
      </c>
      <c r="R749" s="149" t="str">
        <f t="shared" si="58"/>
        <v>423H</v>
      </c>
      <c r="S749" s="150">
        <f t="shared" si="59"/>
        <v>0</v>
      </c>
      <c r="T749" s="152" t="str">
        <f>+VLOOKUP($L749,Data_Validation!$A:$D,1,0)</f>
        <v>423H@</v>
      </c>
      <c r="U749" s="152" t="str">
        <f>+VLOOKUP($L749,Data_Validation!$A:$D,3,0)</f>
        <v>Véhicules neufs</v>
      </c>
      <c r="V749" s="152" t="str">
        <f>+VLOOKUP($L749,Data_Validation!$A:$D,4,0)</f>
        <v>Camions détail</v>
      </c>
      <c r="W749" s="152" t="str">
        <f>+VLOOKUP($L749,Data_Validation!$A:$E,5,0)</f>
        <v>nb</v>
      </c>
    </row>
    <row r="750" spans="1:24" ht="15.75" customHeight="1">
      <c r="A750" s="671" t="s">
        <v>2540</v>
      </c>
      <c r="B750" s="671" t="s">
        <v>2541</v>
      </c>
      <c r="C750" s="672"/>
      <c r="D750" s="672"/>
      <c r="E750" s="672"/>
      <c r="F750" s="671" t="s">
        <v>4</v>
      </c>
      <c r="G750" s="671" t="s">
        <v>2533</v>
      </c>
      <c r="H750" s="153"/>
      <c r="I750" s="153">
        <v>-2</v>
      </c>
      <c r="J750" s="153">
        <v>-1</v>
      </c>
      <c r="K750" s="153">
        <v>-3</v>
      </c>
      <c r="L750" s="149" t="str">
        <f t="shared" si="55"/>
        <v>424E@</v>
      </c>
      <c r="M750" s="150" t="str">
        <f t="shared" si="56"/>
        <v># OF VTES -VTE - i5 M60 xDRIVE</v>
      </c>
      <c r="N750" s="151">
        <f>+IF(OR($Q750=Parametres!$G$2,$Q750=Parametres!$G$3),I750,C750)</f>
        <v>-2</v>
      </c>
      <c r="O750" s="151">
        <f>+IF(OR($Q750=Parametres!$G$2,$Q750=Parametres!$G$3),J750,D750)</f>
        <v>-1</v>
      </c>
      <c r="P750" s="151">
        <f>+IF(OR($Q750=Parametres!$G$2,$Q750=Parametres!$G$3),K750,E750)</f>
        <v>-3</v>
      </c>
      <c r="Q750" s="150" t="str">
        <f t="shared" si="57"/>
        <v>10-Compte compteur</v>
      </c>
      <c r="R750" s="149" t="str">
        <f t="shared" si="58"/>
        <v>424E</v>
      </c>
      <c r="S750" s="150">
        <f t="shared" si="59"/>
        <v>0</v>
      </c>
      <c r="T750" s="152" t="str">
        <f>+VLOOKUP($L750,Data_Validation!$A:$D,1,0)</f>
        <v>424E@</v>
      </c>
      <c r="U750" s="152" t="str">
        <f>+VLOOKUP($L750,Data_Validation!$A:$D,3,0)</f>
        <v>Véhicules neufs</v>
      </c>
      <c r="V750" s="152" t="str">
        <f>+VLOOKUP($L750,Data_Validation!$A:$D,4,0)</f>
        <v>Autos détail</v>
      </c>
      <c r="W750" s="152" t="str">
        <f>+VLOOKUP($L750,Data_Validation!$A:$E,5,0)</f>
        <v>NB</v>
      </c>
    </row>
    <row r="751" spans="1:24" ht="15.75" customHeight="1">
      <c r="A751" s="671" t="s">
        <v>1508</v>
      </c>
      <c r="B751" s="671" t="s">
        <v>716</v>
      </c>
      <c r="C751" s="672"/>
      <c r="D751" s="672"/>
      <c r="E751" s="672"/>
      <c r="F751" s="671" t="s">
        <v>4</v>
      </c>
      <c r="G751" s="671" t="s">
        <v>623</v>
      </c>
      <c r="H751" s="153"/>
      <c r="I751" s="153">
        <v>0</v>
      </c>
      <c r="J751" s="153">
        <v>-1</v>
      </c>
      <c r="K751" s="153">
        <v>-1</v>
      </c>
      <c r="L751" s="149" t="str">
        <f t="shared" si="55"/>
        <v>428@</v>
      </c>
      <c r="M751" s="150" t="str">
        <f t="shared" si="56"/>
        <v># DE VTE - X6 M</v>
      </c>
      <c r="N751" s="151">
        <f>+IF(OR($Q751=Parametres!$G$2,$Q751=Parametres!$G$3),I751,C751)</f>
        <v>0</v>
      </c>
      <c r="O751" s="151">
        <f>+IF(OR($Q751=Parametres!$G$2,$Q751=Parametres!$G$3),J751,D751)</f>
        <v>-1</v>
      </c>
      <c r="P751" s="151">
        <f>+IF(OR($Q751=Parametres!$G$2,$Q751=Parametres!$G$3),K751,E751)</f>
        <v>-1</v>
      </c>
      <c r="Q751" s="150" t="str">
        <f t="shared" si="57"/>
        <v>10-Compte compteur</v>
      </c>
      <c r="R751" s="149" t="str">
        <f t="shared" si="58"/>
        <v>428</v>
      </c>
      <c r="S751" s="150">
        <f t="shared" si="59"/>
        <v>0</v>
      </c>
      <c r="T751" s="152" t="str">
        <f>+VLOOKUP($L751,Data_Validation!$A:$D,1,0)</f>
        <v>428@</v>
      </c>
      <c r="U751" s="152" t="str">
        <f>+VLOOKUP($L751,Data_Validation!$A:$D,3,0)</f>
        <v>Véhicules neufs</v>
      </c>
      <c r="V751" s="152" t="str">
        <f>+VLOOKUP($L751,Data_Validation!$A:$D,4,0)</f>
        <v>Camions détail</v>
      </c>
      <c r="W751" s="152" t="str">
        <f>+VLOOKUP($L751,Data_Validation!$A:$E,5,0)</f>
        <v>nb</v>
      </c>
    </row>
    <row r="752" spans="1:24" ht="15.75" customHeight="1">
      <c r="A752" s="671" t="s">
        <v>2465</v>
      </c>
      <c r="B752" s="671" t="s">
        <v>717</v>
      </c>
      <c r="C752" s="672"/>
      <c r="D752" s="672"/>
      <c r="E752" s="672"/>
      <c r="F752" s="671" t="s">
        <v>4</v>
      </c>
      <c r="G752" s="671" t="s">
        <v>624</v>
      </c>
      <c r="H752" s="153"/>
      <c r="I752" s="153">
        <v>-3</v>
      </c>
      <c r="J752" s="153">
        <v>0</v>
      </c>
      <c r="K752" s="153">
        <v>-3</v>
      </c>
      <c r="L752" s="149" t="str">
        <f t="shared" si="55"/>
        <v>429A@</v>
      </c>
      <c r="M752" s="150" t="str">
        <f t="shared" si="56"/>
        <v>X4 XDRIVE 40I/ X4 XDRIVE 30I</v>
      </c>
      <c r="N752" s="151">
        <f>+IF(OR($Q752=Parametres!$G$2,$Q752=Parametres!$G$3),I752,C752)</f>
        <v>-3</v>
      </c>
      <c r="O752" s="151">
        <f>+IF(OR($Q752=Parametres!$G$2,$Q752=Parametres!$G$3),J752,D752)</f>
        <v>0</v>
      </c>
      <c r="P752" s="151">
        <f>+IF(OR($Q752=Parametres!$G$2,$Q752=Parametres!$G$3),K752,E752)</f>
        <v>-3</v>
      </c>
      <c r="Q752" s="150" t="str">
        <f t="shared" si="57"/>
        <v>10-Compte compteur</v>
      </c>
      <c r="R752" s="149" t="str">
        <f t="shared" si="58"/>
        <v>429A</v>
      </c>
      <c r="S752" s="150">
        <f t="shared" si="59"/>
        <v>0</v>
      </c>
      <c r="T752" s="152" t="str">
        <f>+VLOOKUP($L752,Data_Validation!$A:$D,1,0)</f>
        <v>429A@</v>
      </c>
      <c r="U752" s="152" t="str">
        <f>+VLOOKUP($L752,Data_Validation!$A:$D,3,0)</f>
        <v>Véhicules neufs</v>
      </c>
      <c r="V752" s="152" t="str">
        <f>+VLOOKUP($L752,Data_Validation!$A:$D,4,0)</f>
        <v>Camions détail</v>
      </c>
      <c r="W752" s="152" t="str">
        <f>+VLOOKUP($L752,Data_Validation!$A:$E,5,0)</f>
        <v>nb</v>
      </c>
    </row>
    <row r="753" spans="1:23" ht="15.75" customHeight="1">
      <c r="A753" s="671" t="s">
        <v>1040</v>
      </c>
      <c r="B753" s="671" t="s">
        <v>718</v>
      </c>
      <c r="C753" s="672"/>
      <c r="D753" s="672"/>
      <c r="E753" s="672"/>
      <c r="F753" s="671" t="s">
        <v>4</v>
      </c>
      <c r="G753" s="671" t="s">
        <v>407</v>
      </c>
      <c r="H753" s="153"/>
      <c r="I753" s="153">
        <v>-2</v>
      </c>
      <c r="J753" s="153">
        <v>0</v>
      </c>
      <c r="K753" s="153">
        <v>-2</v>
      </c>
      <c r="L753" s="149" t="str">
        <f t="shared" si="55"/>
        <v>429C@</v>
      </c>
      <c r="M753" s="150" t="str">
        <f t="shared" si="56"/>
        <v># DE VTE - X4 M40I XDRIVE</v>
      </c>
      <c r="N753" s="151">
        <f>+IF(OR($Q753=Parametres!$G$2,$Q753=Parametres!$G$3),I753,C753)</f>
        <v>-2</v>
      </c>
      <c r="O753" s="151">
        <f>+IF(OR($Q753=Parametres!$G$2,$Q753=Parametres!$G$3),J753,D753)</f>
        <v>0</v>
      </c>
      <c r="P753" s="151">
        <f>+IF(OR($Q753=Parametres!$G$2,$Q753=Parametres!$G$3),K753,E753)</f>
        <v>-2</v>
      </c>
      <c r="Q753" s="150" t="str">
        <f t="shared" si="57"/>
        <v>10-Compte compteur</v>
      </c>
      <c r="R753" s="149" t="str">
        <f t="shared" si="58"/>
        <v>429C</v>
      </c>
      <c r="S753" s="150">
        <f t="shared" si="59"/>
        <v>0</v>
      </c>
      <c r="T753" s="152" t="str">
        <f>+VLOOKUP($L753,Data_Validation!$A:$D,1,0)</f>
        <v>429C@</v>
      </c>
      <c r="U753" s="152" t="str">
        <f>+VLOOKUP($L753,Data_Validation!$A:$D,3,0)</f>
        <v>Véhicules neufs</v>
      </c>
      <c r="V753" s="152" t="str">
        <f>+VLOOKUP($L753,Data_Validation!$A:$D,4,0)</f>
        <v>Camions détail</v>
      </c>
      <c r="W753" s="152" t="str">
        <f>+VLOOKUP($L753,Data_Validation!$A:$E,5,0)</f>
        <v>nb</v>
      </c>
    </row>
    <row r="754" spans="1:23" ht="15.75" customHeight="1">
      <c r="A754" s="671" t="s">
        <v>1510</v>
      </c>
      <c r="B754" s="671" t="s">
        <v>1041</v>
      </c>
      <c r="C754" s="672"/>
      <c r="D754" s="672"/>
      <c r="E754" s="672"/>
      <c r="F754" s="671" t="s">
        <v>4</v>
      </c>
      <c r="G754" s="671" t="s">
        <v>625</v>
      </c>
      <c r="H754" s="153"/>
      <c r="I754" s="153">
        <v>-194</v>
      </c>
      <c r="J754" s="153">
        <v>-34</v>
      </c>
      <c r="K754" s="153">
        <v>-228</v>
      </c>
      <c r="L754" s="149" t="str">
        <f t="shared" si="55"/>
        <v>430A@</v>
      </c>
      <c r="M754" s="150" t="str">
        <f t="shared" si="56"/>
        <v># DE VTE - MARQUAGE OTOPROTEC NEUF BMW AUTO</v>
      </c>
      <c r="N754" s="151">
        <f>+IF(OR($Q754=Parametres!$G$2,$Q754=Parametres!$G$3),I754,C754)</f>
        <v>-194</v>
      </c>
      <c r="O754" s="151">
        <f>+IF(OR($Q754=Parametres!$G$2,$Q754=Parametres!$G$3),J754,D754)</f>
        <v>-34</v>
      </c>
      <c r="P754" s="151">
        <f>+IF(OR($Q754=Parametres!$G$2,$Q754=Parametres!$G$3),K754,E754)</f>
        <v>-228</v>
      </c>
      <c r="Q754" s="150" t="str">
        <f t="shared" si="57"/>
        <v>10-Compte compteur</v>
      </c>
      <c r="R754" s="149" t="str">
        <f t="shared" si="58"/>
        <v>430</v>
      </c>
      <c r="S754" s="150">
        <f t="shared" si="59"/>
        <v>0</v>
      </c>
      <c r="T754" s="152" t="str">
        <f>+VLOOKUP($L754,Data_Validation!$A:$D,1,0)</f>
        <v>430A@</v>
      </c>
      <c r="U754" s="152" t="str">
        <f>+VLOOKUP($L754,Data_Validation!$A:$D,3,0)</f>
        <v>Véhicules neufs</v>
      </c>
      <c r="V754" s="152" t="str">
        <f>+VLOOKUP($L754,Data_Validation!$A:$D,4,0)</f>
        <v>Rev. Autres</v>
      </c>
      <c r="W754" s="152" t="str">
        <f>+VLOOKUP($L754,Data_Validation!$A:$E,5,0)</f>
        <v>nb</v>
      </c>
    </row>
    <row r="755" spans="1:23" ht="15.75" customHeight="1">
      <c r="A755" s="671" t="s">
        <v>1511</v>
      </c>
      <c r="B755" s="671" t="s">
        <v>1042</v>
      </c>
      <c r="C755" s="672"/>
      <c r="D755" s="672"/>
      <c r="E755" s="672"/>
      <c r="F755" s="671" t="s">
        <v>4</v>
      </c>
      <c r="G755" s="671" t="s">
        <v>625</v>
      </c>
      <c r="H755" s="153"/>
      <c r="I755" s="153">
        <v>-30</v>
      </c>
      <c r="J755" s="153">
        <v>-4</v>
      </c>
      <c r="K755" s="153">
        <v>-34</v>
      </c>
      <c r="L755" s="149" t="str">
        <f t="shared" si="55"/>
        <v>430C@</v>
      </c>
      <c r="M755" s="150" t="str">
        <f t="shared" si="56"/>
        <v># DE VTE - ACCESSOIRES NEUFS BMW AUTO</v>
      </c>
      <c r="N755" s="151">
        <f>+IF(OR($Q755=Parametres!$G$2,$Q755=Parametres!$G$3),I755,C755)</f>
        <v>-30</v>
      </c>
      <c r="O755" s="151">
        <f>+IF(OR($Q755=Parametres!$G$2,$Q755=Parametres!$G$3),J755,D755)</f>
        <v>-4</v>
      </c>
      <c r="P755" s="151">
        <f>+IF(OR($Q755=Parametres!$G$2,$Q755=Parametres!$G$3),K755,E755)</f>
        <v>-34</v>
      </c>
      <c r="Q755" s="150" t="str">
        <f t="shared" si="57"/>
        <v>10-Compte compteur</v>
      </c>
      <c r="R755" s="149" t="str">
        <f t="shared" si="58"/>
        <v>430</v>
      </c>
      <c r="S755" s="150">
        <f t="shared" si="59"/>
        <v>0</v>
      </c>
      <c r="T755" s="152" t="str">
        <f>+VLOOKUP($L755,Data_Validation!$A:$D,1,0)</f>
        <v>430C@</v>
      </c>
      <c r="U755" s="152" t="str">
        <f>+VLOOKUP($L755,Data_Validation!$A:$D,3,0)</f>
        <v>Véhicules neufs</v>
      </c>
      <c r="V755" s="152" t="str">
        <f>+VLOOKUP($L755,Data_Validation!$A:$D,4,0)</f>
        <v>Rev. Autres</v>
      </c>
      <c r="W755" s="152" t="str">
        <f>+VLOOKUP($L755,Data_Validation!$A:$E,5,0)</f>
        <v>nb</v>
      </c>
    </row>
    <row r="756" spans="1:23" ht="15.75" customHeight="1">
      <c r="A756" s="671" t="s">
        <v>1512</v>
      </c>
      <c r="B756" s="671" t="s">
        <v>1513</v>
      </c>
      <c r="C756" s="672"/>
      <c r="D756" s="672"/>
      <c r="E756" s="672"/>
      <c r="F756" s="671" t="s">
        <v>4</v>
      </c>
      <c r="G756" s="671" t="s">
        <v>625</v>
      </c>
      <c r="H756" s="153"/>
      <c r="I756" s="153">
        <v>-189</v>
      </c>
      <c r="J756" s="153">
        <v>-34</v>
      </c>
      <c r="K756" s="153">
        <v>-223</v>
      </c>
      <c r="L756" s="149" t="str">
        <f t="shared" si="55"/>
        <v>430E@</v>
      </c>
      <c r="M756" s="150" t="str">
        <f t="shared" si="56"/>
        <v># DE SLS - PROTEC ESTHETIQUE NEUF BMW AUTO</v>
      </c>
      <c r="N756" s="151">
        <f>+IF(OR($Q756=Parametres!$G$2,$Q756=Parametres!$G$3),I756,C756)</f>
        <v>-189</v>
      </c>
      <c r="O756" s="151">
        <f>+IF(OR($Q756=Parametres!$G$2,$Q756=Parametres!$G$3),J756,D756)</f>
        <v>-34</v>
      </c>
      <c r="P756" s="151">
        <f>+IF(OR($Q756=Parametres!$G$2,$Q756=Parametres!$G$3),K756,E756)</f>
        <v>-223</v>
      </c>
      <c r="Q756" s="150" t="str">
        <f t="shared" si="57"/>
        <v>10-Compte compteur</v>
      </c>
      <c r="R756" s="149" t="str">
        <f t="shared" si="58"/>
        <v>430</v>
      </c>
      <c r="S756" s="150">
        <f t="shared" si="59"/>
        <v>0</v>
      </c>
      <c r="T756" s="152" t="str">
        <f>+VLOOKUP($L756,Data_Validation!$A:$D,1,0)</f>
        <v>430E@</v>
      </c>
      <c r="U756" s="152" t="str">
        <f>+VLOOKUP($L756,Data_Validation!$A:$D,3,0)</f>
        <v>Véhicules neufs</v>
      </c>
      <c r="V756" s="152" t="str">
        <f>+VLOOKUP($L756,Data_Validation!$A:$D,4,0)</f>
        <v>Rev. Protections</v>
      </c>
      <c r="W756" s="152" t="str">
        <f>+VLOOKUP($L756,Data_Validation!$A:$E,5,0)</f>
        <v>nb</v>
      </c>
    </row>
    <row r="757" spans="1:23" ht="15.75" customHeight="1">
      <c r="A757" s="671" t="s">
        <v>1514</v>
      </c>
      <c r="B757" s="671" t="s">
        <v>1515</v>
      </c>
      <c r="C757" s="672"/>
      <c r="D757" s="672"/>
      <c r="E757" s="672"/>
      <c r="F757" s="671" t="s">
        <v>4</v>
      </c>
      <c r="G757" s="671" t="s">
        <v>625</v>
      </c>
      <c r="H757" s="153"/>
      <c r="I757" s="153">
        <v>-2</v>
      </c>
      <c r="J757" s="153">
        <v>0</v>
      </c>
      <c r="K757" s="153">
        <v>-2</v>
      </c>
      <c r="L757" s="149" t="str">
        <f t="shared" si="55"/>
        <v>430F@</v>
      </c>
      <c r="M757" s="150" t="str">
        <f t="shared" si="56"/>
        <v># DE VTE - RIST FIN NEUF BMW AUTO</v>
      </c>
      <c r="N757" s="151">
        <f>+IF(OR($Q757=Parametres!$G$2,$Q757=Parametres!$G$3),I757,C757)</f>
        <v>-2</v>
      </c>
      <c r="O757" s="151">
        <f>+IF(OR($Q757=Parametres!$G$2,$Q757=Parametres!$G$3),J757,D757)</f>
        <v>0</v>
      </c>
      <c r="P757" s="151">
        <f>+IF(OR($Q757=Parametres!$G$2,$Q757=Parametres!$G$3),K757,E757)</f>
        <v>-2</v>
      </c>
      <c r="Q757" s="150" t="str">
        <f t="shared" si="57"/>
        <v>10-Compte compteur</v>
      </c>
      <c r="R757" s="149" t="str">
        <f t="shared" si="58"/>
        <v>430</v>
      </c>
      <c r="S757" s="150">
        <f t="shared" si="59"/>
        <v>0</v>
      </c>
      <c r="T757" s="152" t="str">
        <f>+VLOOKUP($L757,Data_Validation!$A:$D,1,0)</f>
        <v>430F@</v>
      </c>
      <c r="U757" s="152" t="str">
        <f>+VLOOKUP($L757,Data_Validation!$A:$D,3,0)</f>
        <v>Véhicules neufs</v>
      </c>
      <c r="V757" s="152" t="str">
        <f>+VLOOKUP($L757,Data_Validation!$A:$D,4,0)</f>
        <v>Rev. Finances</v>
      </c>
      <c r="W757" s="152" t="str">
        <f>+VLOOKUP($L757,Data_Validation!$A:$E,5,0)</f>
        <v>nb</v>
      </c>
    </row>
    <row r="758" spans="1:23" ht="15.75" customHeight="1">
      <c r="A758" s="671" t="s">
        <v>1516</v>
      </c>
      <c r="B758" s="671" t="s">
        <v>1043</v>
      </c>
      <c r="C758" s="672"/>
      <c r="D758" s="672"/>
      <c r="E758" s="672"/>
      <c r="F758" s="671" t="s">
        <v>4</v>
      </c>
      <c r="G758" s="671" t="s">
        <v>625</v>
      </c>
      <c r="H758" s="153"/>
      <c r="I758" s="153">
        <v>-6</v>
      </c>
      <c r="J758" s="153">
        <v>-3</v>
      </c>
      <c r="K758" s="153">
        <v>-9</v>
      </c>
      <c r="L758" s="149" t="str">
        <f t="shared" si="55"/>
        <v>430P@</v>
      </c>
      <c r="M758" s="150" t="str">
        <f t="shared" si="56"/>
        <v># DE VTE - PROTEC PNEUS/JANTES NEUF BMW AUTO</v>
      </c>
      <c r="N758" s="151">
        <f>+IF(OR($Q758=Parametres!$G$2,$Q758=Parametres!$G$3),I758,C758)</f>
        <v>-6</v>
      </c>
      <c r="O758" s="151">
        <f>+IF(OR($Q758=Parametres!$G$2,$Q758=Parametres!$G$3),J758,D758)</f>
        <v>-3</v>
      </c>
      <c r="P758" s="151">
        <f>+IF(OR($Q758=Parametres!$G$2,$Q758=Parametres!$G$3),K758,E758)</f>
        <v>-9</v>
      </c>
      <c r="Q758" s="150" t="str">
        <f t="shared" si="57"/>
        <v>10-Compte compteur</v>
      </c>
      <c r="R758" s="149" t="str">
        <f t="shared" si="58"/>
        <v>430</v>
      </c>
      <c r="S758" s="150">
        <f t="shared" si="59"/>
        <v>0</v>
      </c>
      <c r="T758" s="152" t="str">
        <f>+VLOOKUP($L758,Data_Validation!$A:$D,1,0)</f>
        <v>430P@</v>
      </c>
      <c r="U758" s="152" t="str">
        <f>+VLOOKUP($L758,Data_Validation!$A:$D,3,0)</f>
        <v>Véhicules neufs</v>
      </c>
      <c r="V758" s="152" t="str">
        <f>+VLOOKUP($L758,Data_Validation!$A:$D,4,0)</f>
        <v>Rev. Protections</v>
      </c>
      <c r="W758" s="152" t="str">
        <f>+VLOOKUP($L758,Data_Validation!$A:$E,5,0)</f>
        <v>nb</v>
      </c>
    </row>
    <row r="759" spans="1:23" ht="15.75" customHeight="1">
      <c r="A759" s="671" t="s">
        <v>1950</v>
      </c>
      <c r="B759" s="671" t="s">
        <v>1951</v>
      </c>
      <c r="C759" s="672"/>
      <c r="D759" s="672"/>
      <c r="E759" s="672"/>
      <c r="F759" s="671" t="s">
        <v>4</v>
      </c>
      <c r="G759" s="671" t="s">
        <v>625</v>
      </c>
      <c r="H759" s="153"/>
      <c r="I759" s="153">
        <v>-1</v>
      </c>
      <c r="J759" s="153">
        <v>0</v>
      </c>
      <c r="K759" s="153">
        <v>-1</v>
      </c>
      <c r="L759" s="149" t="str">
        <f t="shared" si="55"/>
        <v>430R@</v>
      </c>
      <c r="M759" s="150" t="str">
        <f t="shared" si="56"/>
        <v># DE VTE - ASS. REMP. NEUF BMW AUTO</v>
      </c>
      <c r="N759" s="151">
        <f>+IF(OR($Q759=Parametres!$G$2,$Q759=Parametres!$G$3),I759,C759)</f>
        <v>-1</v>
      </c>
      <c r="O759" s="151">
        <f>+IF(OR($Q759=Parametres!$G$2,$Q759=Parametres!$G$3),J759,D759)</f>
        <v>0</v>
      </c>
      <c r="P759" s="151">
        <f>+IF(OR($Q759=Parametres!$G$2,$Q759=Parametres!$G$3),K759,E759)</f>
        <v>-1</v>
      </c>
      <c r="Q759" s="150" t="str">
        <f t="shared" si="57"/>
        <v>10-Compte compteur</v>
      </c>
      <c r="R759" s="149" t="str">
        <f t="shared" si="58"/>
        <v>430</v>
      </c>
      <c r="S759" s="150">
        <f t="shared" si="59"/>
        <v>0</v>
      </c>
      <c r="T759" s="152" t="str">
        <f>+VLOOKUP($L759,Data_Validation!$A:$D,1,0)</f>
        <v>430R@</v>
      </c>
      <c r="U759" s="152" t="str">
        <f>+VLOOKUP($L759,Data_Validation!$A:$D,3,0)</f>
        <v>Véhicules neufs</v>
      </c>
      <c r="V759" s="152" t="str">
        <f>+VLOOKUP($L759,Data_Validation!$A:$D,4,0)</f>
        <v>Rev. Protections</v>
      </c>
      <c r="W759" s="152" t="str">
        <f>+VLOOKUP($L759,Data_Validation!$A:$E,5,0)</f>
        <v>nb</v>
      </c>
    </row>
    <row r="760" spans="1:23" ht="15.75" customHeight="1">
      <c r="A760" s="671" t="s">
        <v>1517</v>
      </c>
      <c r="B760" s="671" t="s">
        <v>1518</v>
      </c>
      <c r="C760" s="672"/>
      <c r="D760" s="672"/>
      <c r="E760" s="672"/>
      <c r="F760" s="671" t="s">
        <v>4</v>
      </c>
      <c r="G760" s="671" t="s">
        <v>625</v>
      </c>
      <c r="H760" s="153"/>
      <c r="I760" s="153">
        <v>-3</v>
      </c>
      <c r="J760" s="153">
        <v>0</v>
      </c>
      <c r="K760" s="153">
        <v>-3</v>
      </c>
      <c r="L760" s="149" t="str">
        <f t="shared" si="55"/>
        <v>430T@</v>
      </c>
      <c r="M760" s="150" t="str">
        <f t="shared" si="56"/>
        <v># DE SLS - TRAITEMENT OTOPROTEC NEUF BMW AUTO</v>
      </c>
      <c r="N760" s="151">
        <f>+IF(OR($Q760=Parametres!$G$2,$Q760=Parametres!$G$3),I760,C760)</f>
        <v>-3</v>
      </c>
      <c r="O760" s="151">
        <f>+IF(OR($Q760=Parametres!$G$2,$Q760=Parametres!$G$3),J760,D760)</f>
        <v>0</v>
      </c>
      <c r="P760" s="151">
        <f>+IF(OR($Q760=Parametres!$G$2,$Q760=Parametres!$G$3),K760,E760)</f>
        <v>-3</v>
      </c>
      <c r="Q760" s="150" t="str">
        <f t="shared" si="57"/>
        <v>10-Compte compteur</v>
      </c>
      <c r="R760" s="149" t="str">
        <f t="shared" si="58"/>
        <v>430</v>
      </c>
      <c r="S760" s="150">
        <f t="shared" si="59"/>
        <v>0</v>
      </c>
      <c r="T760" s="152" t="str">
        <f>+VLOOKUP($L760,Data_Validation!$A:$D,1,0)</f>
        <v>430T@</v>
      </c>
      <c r="U760" s="152" t="str">
        <f>+VLOOKUP($L760,Data_Validation!$A:$D,3,0)</f>
        <v>Véhicules neufs</v>
      </c>
      <c r="V760" s="152" t="str">
        <f>+VLOOKUP($L760,Data_Validation!$A:$D,4,0)</f>
        <v>Rev. Autres</v>
      </c>
      <c r="W760" s="152" t="str">
        <f>+VLOOKUP($L760,Data_Validation!$A:$E,5,0)</f>
        <v>nb</v>
      </c>
    </row>
    <row r="761" spans="1:23" ht="15.75" customHeight="1">
      <c r="A761" s="671" t="s">
        <v>1519</v>
      </c>
      <c r="B761" s="671" t="s">
        <v>1520</v>
      </c>
      <c r="C761" s="672"/>
      <c r="D761" s="672"/>
      <c r="E761" s="672"/>
      <c r="F761" s="671" t="s">
        <v>4</v>
      </c>
      <c r="G761" s="671" t="s">
        <v>625</v>
      </c>
      <c r="H761" s="153"/>
      <c r="I761" s="153">
        <v>-74</v>
      </c>
      <c r="J761" s="153">
        <v>-19</v>
      </c>
      <c r="K761" s="153">
        <v>-93</v>
      </c>
      <c r="L761" s="149" t="str">
        <f t="shared" si="55"/>
        <v>430U@</v>
      </c>
      <c r="M761" s="150" t="str">
        <f t="shared" si="56"/>
        <v># DE VTE - ASSIS USU NEUF BMW AUTO</v>
      </c>
      <c r="N761" s="151">
        <f>+IF(OR($Q761=Parametres!$G$2,$Q761=Parametres!$G$3),I761,C761)</f>
        <v>-74</v>
      </c>
      <c r="O761" s="151">
        <f>+IF(OR($Q761=Parametres!$G$2,$Q761=Parametres!$G$3),J761,D761)</f>
        <v>-19</v>
      </c>
      <c r="P761" s="151">
        <f>+IF(OR($Q761=Parametres!$G$2,$Q761=Parametres!$G$3),K761,E761)</f>
        <v>-93</v>
      </c>
      <c r="Q761" s="150" t="str">
        <f t="shared" si="57"/>
        <v>10-Compte compteur</v>
      </c>
      <c r="R761" s="149" t="str">
        <f t="shared" si="58"/>
        <v>430</v>
      </c>
      <c r="S761" s="150">
        <f t="shared" si="59"/>
        <v>0</v>
      </c>
      <c r="T761" s="152" t="str">
        <f>+VLOOKUP($L761,Data_Validation!$A:$D,1,0)</f>
        <v>430U@</v>
      </c>
      <c r="U761" s="152" t="str">
        <f>+VLOOKUP($L761,Data_Validation!$A:$D,3,0)</f>
        <v>Véhicules neufs</v>
      </c>
      <c r="V761" s="152" t="str">
        <f>+VLOOKUP($L761,Data_Validation!$A:$D,4,0)</f>
        <v>Rev. Protections</v>
      </c>
      <c r="W761" s="152" t="str">
        <f>+VLOOKUP($L761,Data_Validation!$A:$E,5,0)</f>
        <v>nb</v>
      </c>
    </row>
    <row r="762" spans="1:23" ht="15.75" customHeight="1">
      <c r="A762" s="664" t="s">
        <v>1524</v>
      </c>
      <c r="B762" s="664" t="s">
        <v>721</v>
      </c>
      <c r="C762" s="665"/>
      <c r="D762" s="665"/>
      <c r="E762" s="665"/>
      <c r="F762" s="664" t="s">
        <v>4</v>
      </c>
      <c r="G762" s="664" t="s">
        <v>2012</v>
      </c>
      <c r="H762" s="153"/>
      <c r="I762" s="153">
        <v>-29</v>
      </c>
      <c r="J762" s="153">
        <v>-7</v>
      </c>
      <c r="K762" s="153">
        <v>-36</v>
      </c>
      <c r="L762" s="149" t="str">
        <f t="shared" si="55"/>
        <v>432A@</v>
      </c>
      <c r="M762" s="150" t="str">
        <f t="shared" si="56"/>
        <v># DE VTE - GAR PROL NEUF BMW AUTO</v>
      </c>
      <c r="N762" s="151">
        <f>+IF(OR($Q762=Parametres!$G$2,$Q762=Parametres!$G$3),I762,C762)</f>
        <v>-29</v>
      </c>
      <c r="O762" s="151">
        <f>+IF(OR($Q762=Parametres!$G$2,$Q762=Parametres!$G$3),J762,D762)</f>
        <v>-7</v>
      </c>
      <c r="P762" s="151">
        <f>+IF(OR($Q762=Parametres!$G$2,$Q762=Parametres!$G$3),K762,E762)</f>
        <v>-36</v>
      </c>
      <c r="Q762" s="150" t="str">
        <f t="shared" si="57"/>
        <v>10-Compte compteur</v>
      </c>
      <c r="R762" s="149" t="str">
        <f t="shared" si="58"/>
        <v>432</v>
      </c>
      <c r="S762" s="150">
        <f t="shared" si="59"/>
        <v>0</v>
      </c>
      <c r="T762" s="152" t="str">
        <f>+VLOOKUP($L762,Data_Validation!$A:$D,1,0)</f>
        <v>432A@</v>
      </c>
      <c r="U762" s="152" t="str">
        <f>+VLOOKUP($L762,Data_Validation!$A:$D,3,0)</f>
        <v>Véhicules neufs</v>
      </c>
      <c r="V762" s="152" t="str">
        <f>+VLOOKUP($L762,Data_Validation!$A:$D,4,0)</f>
        <v>Rev. Protections</v>
      </c>
      <c r="W762" s="152" t="str">
        <f>+VLOOKUP($L762,Data_Validation!$A:$E,5,0)</f>
        <v>nb</v>
      </c>
    </row>
    <row r="763" spans="1:23" ht="15.75" customHeight="1">
      <c r="A763" s="664" t="s">
        <v>2109</v>
      </c>
      <c r="B763" s="664" t="s">
        <v>2108</v>
      </c>
      <c r="C763" s="665"/>
      <c r="D763" s="665"/>
      <c r="E763" s="665"/>
      <c r="F763" s="664" t="s">
        <v>4</v>
      </c>
      <c r="G763" s="664" t="s">
        <v>2361</v>
      </c>
      <c r="H763" s="153"/>
      <c r="I763" s="153">
        <v>-52</v>
      </c>
      <c r="J763" s="153">
        <v>-10</v>
      </c>
      <c r="K763" s="153">
        <v>-62</v>
      </c>
      <c r="L763" s="149" t="str">
        <f t="shared" si="55"/>
        <v>434A@</v>
      </c>
      <c r="M763" s="150" t="str">
        <f t="shared" si="56"/>
        <v># DE VTE - CONT ENTR NEUF BMW AUTO</v>
      </c>
      <c r="N763" s="151">
        <f>+IF(OR($Q763=Parametres!$G$2,$Q763=Parametres!$G$3),I763,C763)</f>
        <v>-52</v>
      </c>
      <c r="O763" s="151">
        <f>+IF(OR($Q763=Parametres!$G$2,$Q763=Parametres!$G$3),J763,D763)</f>
        <v>-10</v>
      </c>
      <c r="P763" s="151">
        <f>+IF(OR($Q763=Parametres!$G$2,$Q763=Parametres!$G$3),K763,E763)</f>
        <v>-62</v>
      </c>
      <c r="Q763" s="150" t="str">
        <f t="shared" si="57"/>
        <v>10-Compte compteur</v>
      </c>
      <c r="R763" s="149" t="str">
        <f t="shared" si="58"/>
        <v>434</v>
      </c>
      <c r="S763" s="150">
        <f t="shared" si="59"/>
        <v>0</v>
      </c>
      <c r="T763" s="152" t="str">
        <f>+VLOOKUP($L763,Data_Validation!$A:$D,1,0)</f>
        <v>434A@</v>
      </c>
      <c r="U763" s="152" t="str">
        <f>+VLOOKUP($L763,Data_Validation!$A:$D,3,0)</f>
        <v>Véhicules neufs</v>
      </c>
      <c r="V763" s="152" t="str">
        <f>+VLOOKUP($L763,Data_Validation!$A:$D,4,0)</f>
        <v>Rev. Protections</v>
      </c>
      <c r="W763" s="152" t="str">
        <f>+VLOOKUP($L763,Data_Validation!$A:$E,5,0)</f>
        <v>nb</v>
      </c>
    </row>
    <row r="764" spans="1:23" ht="15.75" customHeight="1">
      <c r="A764" s="664" t="s">
        <v>1525</v>
      </c>
      <c r="B764" s="664" t="s">
        <v>722</v>
      </c>
      <c r="C764" s="665"/>
      <c r="D764" s="665"/>
      <c r="E764" s="665"/>
      <c r="F764" s="664" t="s">
        <v>4</v>
      </c>
      <c r="G764" s="664" t="s">
        <v>420</v>
      </c>
      <c r="H764" s="153"/>
      <c r="I764" s="153">
        <v>-25</v>
      </c>
      <c r="J764" s="153">
        <v>0</v>
      </c>
      <c r="K764" s="153">
        <v>-25</v>
      </c>
      <c r="L764" s="149" t="str">
        <f t="shared" si="55"/>
        <v>440A@</v>
      </c>
      <c r="M764" s="150" t="str">
        <f t="shared" si="56"/>
        <v># DE VTE - USAGE BMW AUTO CERT</v>
      </c>
      <c r="N764" s="151">
        <f>+IF(OR($Q764=Parametres!$G$2,$Q764=Parametres!$G$3),I764,C764)</f>
        <v>-25</v>
      </c>
      <c r="O764" s="151">
        <f>+IF(OR($Q764=Parametres!$G$2,$Q764=Parametres!$G$3),J764,D764)</f>
        <v>0</v>
      </c>
      <c r="P764" s="151">
        <f>+IF(OR($Q764=Parametres!$G$2,$Q764=Parametres!$G$3),K764,E764)</f>
        <v>-25</v>
      </c>
      <c r="Q764" s="150" t="str">
        <f t="shared" si="57"/>
        <v>10-Compte compteur</v>
      </c>
      <c r="R764" s="149" t="str">
        <f t="shared" si="58"/>
        <v>440A</v>
      </c>
      <c r="S764" s="150">
        <f t="shared" si="59"/>
        <v>0</v>
      </c>
      <c r="T764" s="152" t="str">
        <f>+VLOOKUP($L764,Data_Validation!$A:$D,1,0)</f>
        <v>440A@</v>
      </c>
      <c r="U764" s="152" t="str">
        <f>+VLOOKUP($L764,Data_Validation!$A:$D,3,0)</f>
        <v>Véhicules usagés</v>
      </c>
      <c r="V764" s="152" t="str">
        <f>+VLOOKUP($L764,Data_Validation!$A:$D,4,0)</f>
        <v>Certifié</v>
      </c>
      <c r="W764" s="152" t="str">
        <f>+VLOOKUP($L764,Data_Validation!$A:$E,5,0)</f>
        <v>nb</v>
      </c>
    </row>
    <row r="765" spans="1:23" ht="15.75" customHeight="1">
      <c r="A765" s="664" t="s">
        <v>1526</v>
      </c>
      <c r="B765" s="664" t="s">
        <v>723</v>
      </c>
      <c r="C765" s="665"/>
      <c r="D765" s="665"/>
      <c r="E765" s="665"/>
      <c r="F765" s="664" t="s">
        <v>4</v>
      </c>
      <c r="G765" s="664" t="s">
        <v>416</v>
      </c>
      <c r="H765" s="153"/>
      <c r="I765" s="153">
        <v>-32</v>
      </c>
      <c r="J765" s="153">
        <v>-1</v>
      </c>
      <c r="K765" s="153">
        <v>-33</v>
      </c>
      <c r="L765" s="149" t="str">
        <f t="shared" si="55"/>
        <v>440B@</v>
      </c>
      <c r="M765" s="150" t="str">
        <f t="shared" si="56"/>
        <v># DE VTE - USAGE BMW AUTO NON-CERT</v>
      </c>
      <c r="N765" s="151">
        <f>+IF(OR($Q765=Parametres!$G$2,$Q765=Parametres!$G$3),I765,C765)</f>
        <v>-32</v>
      </c>
      <c r="O765" s="151">
        <f>+IF(OR($Q765=Parametres!$G$2,$Q765=Parametres!$G$3),J765,D765)</f>
        <v>-1</v>
      </c>
      <c r="P765" s="151">
        <f>+IF(OR($Q765=Parametres!$G$2,$Q765=Parametres!$G$3),K765,E765)</f>
        <v>-33</v>
      </c>
      <c r="Q765" s="150" t="str">
        <f t="shared" si="57"/>
        <v>10-Compte compteur</v>
      </c>
      <c r="R765" s="149" t="str">
        <f t="shared" si="58"/>
        <v>440B</v>
      </c>
      <c r="S765" s="150">
        <f t="shared" si="59"/>
        <v>0</v>
      </c>
      <c r="T765" s="152" t="str">
        <f>+VLOOKUP($L765,Data_Validation!$A:$D,1,0)</f>
        <v>440B@</v>
      </c>
      <c r="U765" s="152" t="str">
        <f>+VLOOKUP($L765,Data_Validation!$A:$D,3,0)</f>
        <v>Véhicules usagés</v>
      </c>
      <c r="V765" s="152" t="str">
        <f>+VLOOKUP($L765,Data_Validation!$A:$D,4,0)</f>
        <v>Non Certifié</v>
      </c>
      <c r="W765" s="152" t="str">
        <f>+VLOOKUP($L765,Data_Validation!$A:$E,5,0)</f>
        <v>nb</v>
      </c>
    </row>
    <row r="766" spans="1:23" ht="15.75" customHeight="1">
      <c r="A766" s="664" t="s">
        <v>1527</v>
      </c>
      <c r="B766" s="664" t="s">
        <v>724</v>
      </c>
      <c r="C766" s="665"/>
      <c r="D766" s="665"/>
      <c r="E766" s="665"/>
      <c r="F766" s="664" t="s">
        <v>4</v>
      </c>
      <c r="G766" s="664" t="s">
        <v>384</v>
      </c>
      <c r="H766" s="153"/>
      <c r="I766" s="153">
        <v>-59</v>
      </c>
      <c r="J766" s="153">
        <v>-3</v>
      </c>
      <c r="K766" s="153">
        <v>-62</v>
      </c>
      <c r="L766" s="149" t="str">
        <f t="shared" si="55"/>
        <v>442@</v>
      </c>
      <c r="M766" s="150" t="str">
        <f t="shared" si="56"/>
        <v># DE VTE - USAGE AUTRES</v>
      </c>
      <c r="N766" s="151">
        <f>+IF(OR($Q766=Parametres!$G$2,$Q766=Parametres!$G$3),I766,C766)</f>
        <v>-59</v>
      </c>
      <c r="O766" s="151">
        <f>+IF(OR($Q766=Parametres!$G$2,$Q766=Parametres!$G$3),J766,D766)</f>
        <v>-3</v>
      </c>
      <c r="P766" s="151">
        <f>+IF(OR($Q766=Parametres!$G$2,$Q766=Parametres!$G$3),K766,E766)</f>
        <v>-62</v>
      </c>
      <c r="Q766" s="150" t="str">
        <f t="shared" si="57"/>
        <v>10-Compte compteur</v>
      </c>
      <c r="R766" s="149" t="str">
        <f t="shared" si="58"/>
        <v>442</v>
      </c>
      <c r="S766" s="150">
        <f t="shared" si="59"/>
        <v>0</v>
      </c>
      <c r="T766" s="152" t="str">
        <f>+VLOOKUP($L766,Data_Validation!$A:$D,1,0)</f>
        <v>442@</v>
      </c>
      <c r="U766" s="152" t="str">
        <f>+VLOOKUP($L766,Data_Validation!$A:$D,3,0)</f>
        <v>Véhicules usagés</v>
      </c>
      <c r="V766" s="152" t="str">
        <f>+VLOOKUP($L766,Data_Validation!$A:$D,4,0)</f>
        <v>Autres marques</v>
      </c>
      <c r="W766" s="152" t="str">
        <f>+VLOOKUP($L766,Data_Validation!$A:$E,5,0)</f>
        <v>nb</v>
      </c>
    </row>
    <row r="767" spans="1:23" ht="15.75" customHeight="1">
      <c r="A767" s="664" t="s">
        <v>1528</v>
      </c>
      <c r="B767" s="664" t="s">
        <v>1529</v>
      </c>
      <c r="C767" s="665"/>
      <c r="D767" s="665"/>
      <c r="E767" s="665"/>
      <c r="F767" s="664" t="s">
        <v>4</v>
      </c>
      <c r="G767" s="664" t="s">
        <v>1072</v>
      </c>
      <c r="H767" s="153"/>
      <c r="I767" s="153">
        <v>-36</v>
      </c>
      <c r="J767" s="153">
        <v>-2</v>
      </c>
      <c r="K767" s="153">
        <v>-38</v>
      </c>
      <c r="L767" s="149" t="str">
        <f t="shared" si="55"/>
        <v>444A@</v>
      </c>
      <c r="M767" s="150" t="str">
        <f t="shared" si="56"/>
        <v># DE VTE - GROS BMW AUTO</v>
      </c>
      <c r="N767" s="151">
        <f>+IF(OR($Q767=Parametres!$G$2,$Q767=Parametres!$G$3),I767,C767)</f>
        <v>-36</v>
      </c>
      <c r="O767" s="151">
        <f>+IF(OR($Q767=Parametres!$G$2,$Q767=Parametres!$G$3),J767,D767)</f>
        <v>-2</v>
      </c>
      <c r="P767" s="151">
        <f>+IF(OR($Q767=Parametres!$G$2,$Q767=Parametres!$G$3),K767,E767)</f>
        <v>-38</v>
      </c>
      <c r="Q767" s="150" t="str">
        <f t="shared" si="57"/>
        <v>10-Compte compteur</v>
      </c>
      <c r="R767" s="149" t="str">
        <f t="shared" si="58"/>
        <v>444A</v>
      </c>
      <c r="S767" s="150">
        <f t="shared" si="59"/>
        <v>0</v>
      </c>
      <c r="T767" s="152" t="str">
        <f>+VLOOKUP($L767,Data_Validation!$A:$D,1,0)</f>
        <v>444A@</v>
      </c>
      <c r="U767" s="152" t="str">
        <f>+VLOOKUP($L767,Data_Validation!$A:$D,3,0)</f>
        <v>Véhicules usagés</v>
      </c>
      <c r="V767" s="152" t="str">
        <f>+VLOOKUP($L767,Data_Validation!$A:$D,4,0)</f>
        <v>Ventes au Gros</v>
      </c>
      <c r="W767" s="152" t="str">
        <f>+VLOOKUP($L767,Data_Validation!$A:$E,5,0)</f>
        <v>nb</v>
      </c>
    </row>
    <row r="768" spans="1:23" ht="15.75" customHeight="1">
      <c r="A768" s="664" t="s">
        <v>1530</v>
      </c>
      <c r="B768" s="664" t="s">
        <v>725</v>
      </c>
      <c r="C768" s="665"/>
      <c r="D768" s="665"/>
      <c r="E768" s="665"/>
      <c r="F768" s="664" t="s">
        <v>4</v>
      </c>
      <c r="G768" s="664" t="s">
        <v>398</v>
      </c>
      <c r="H768" s="153"/>
      <c r="I768" s="153">
        <v>-49</v>
      </c>
      <c r="J768" s="153">
        <v>-9</v>
      </c>
      <c r="K768" s="153">
        <v>-58</v>
      </c>
      <c r="L768" s="149" t="str">
        <f t="shared" si="55"/>
        <v>444B@</v>
      </c>
      <c r="M768" s="150" t="str">
        <f t="shared" si="56"/>
        <v># DE VTE - GROS BMW CAMION</v>
      </c>
      <c r="N768" s="151">
        <f>+IF(OR($Q768=Parametres!$G$2,$Q768=Parametres!$G$3),I768,C768)</f>
        <v>-49</v>
      </c>
      <c r="O768" s="151">
        <f>+IF(OR($Q768=Parametres!$G$2,$Q768=Parametres!$G$3),J768,D768)</f>
        <v>-9</v>
      </c>
      <c r="P768" s="151">
        <f>+IF(OR($Q768=Parametres!$G$2,$Q768=Parametres!$G$3),K768,E768)</f>
        <v>-58</v>
      </c>
      <c r="Q768" s="150" t="str">
        <f t="shared" si="57"/>
        <v>10-Compte compteur</v>
      </c>
      <c r="R768" s="149" t="str">
        <f t="shared" si="58"/>
        <v>444B</v>
      </c>
      <c r="S768" s="150">
        <f t="shared" si="59"/>
        <v>0</v>
      </c>
      <c r="T768" s="152" t="str">
        <f>+VLOOKUP($L768,Data_Validation!$A:$D,1,0)</f>
        <v>444B@</v>
      </c>
      <c r="U768" s="152" t="str">
        <f>+VLOOKUP($L768,Data_Validation!$A:$D,3,0)</f>
        <v>Véhicules usagés</v>
      </c>
      <c r="V768" s="152" t="str">
        <f>+VLOOKUP($L768,Data_Validation!$A:$D,4,0)</f>
        <v>Ventes au Gros</v>
      </c>
      <c r="W768" s="152" t="str">
        <f>+VLOOKUP($L768,Data_Validation!$A:$E,5,0)</f>
        <v>nb</v>
      </c>
    </row>
    <row r="769" spans="1:23" ht="15.75" customHeight="1">
      <c r="A769" s="664" t="s">
        <v>1531</v>
      </c>
      <c r="B769" s="664" t="s">
        <v>726</v>
      </c>
      <c r="C769" s="665"/>
      <c r="D769" s="665"/>
      <c r="E769" s="665"/>
      <c r="F769" s="664" t="s">
        <v>4</v>
      </c>
      <c r="G769" s="664" t="s">
        <v>401</v>
      </c>
      <c r="H769" s="153"/>
      <c r="I769" s="153">
        <v>-102</v>
      </c>
      <c r="J769" s="153">
        <v>-9</v>
      </c>
      <c r="K769" s="153">
        <v>-111</v>
      </c>
      <c r="L769" s="149" t="str">
        <f t="shared" si="55"/>
        <v>444C@</v>
      </c>
      <c r="M769" s="150" t="str">
        <f t="shared" si="56"/>
        <v># DE VTE - GROS AUTRE</v>
      </c>
      <c r="N769" s="151">
        <f>+IF(OR($Q769=Parametres!$G$2,$Q769=Parametres!$G$3),I769,C769)</f>
        <v>-102</v>
      </c>
      <c r="O769" s="151">
        <f>+IF(OR($Q769=Parametres!$G$2,$Q769=Parametres!$G$3),J769,D769)</f>
        <v>-9</v>
      </c>
      <c r="P769" s="151">
        <f>+IF(OR($Q769=Parametres!$G$2,$Q769=Parametres!$G$3),K769,E769)</f>
        <v>-111</v>
      </c>
      <c r="Q769" s="150" t="str">
        <f t="shared" si="57"/>
        <v>10-Compte compteur</v>
      </c>
      <c r="R769" s="149" t="str">
        <f t="shared" si="58"/>
        <v>444C</v>
      </c>
      <c r="S769" s="150">
        <f t="shared" si="59"/>
        <v>0</v>
      </c>
      <c r="T769" s="152" t="str">
        <f>+VLOOKUP($L769,Data_Validation!$A:$D,1,0)</f>
        <v>444C@</v>
      </c>
      <c r="U769" s="152" t="str">
        <f>+VLOOKUP($L769,Data_Validation!$A:$D,3,0)</f>
        <v>Véhicules usagés</v>
      </c>
      <c r="V769" s="152" t="str">
        <f>+VLOOKUP($L769,Data_Validation!$A:$D,4,0)</f>
        <v>Ventes au Gros</v>
      </c>
      <c r="W769" s="152" t="str">
        <f>+VLOOKUP($L769,Data_Validation!$A:$E,5,0)</f>
        <v>nb</v>
      </c>
    </row>
    <row r="770" spans="1:23" ht="15.75" customHeight="1">
      <c r="A770" s="664" t="s">
        <v>1532</v>
      </c>
      <c r="B770" s="664" t="s">
        <v>727</v>
      </c>
      <c r="C770" s="665"/>
      <c r="D770" s="665"/>
      <c r="E770" s="665"/>
      <c r="F770" s="664" t="s">
        <v>4</v>
      </c>
      <c r="G770" s="664" t="s">
        <v>418</v>
      </c>
      <c r="H770" s="153"/>
      <c r="I770" s="153">
        <v>-30</v>
      </c>
      <c r="J770" s="153">
        <v>-2</v>
      </c>
      <c r="K770" s="153">
        <v>-32</v>
      </c>
      <c r="L770" s="149" t="str">
        <f t="shared" ref="L770:L833" si="60">+B770</f>
        <v>446A@</v>
      </c>
      <c r="M770" s="150" t="str">
        <f t="shared" ref="M770:M833" si="61">+A770</f>
        <v># DE VTE - USAGE BMW CAMION CERT</v>
      </c>
      <c r="N770" s="151">
        <f>+IF(OR($Q770=Parametres!$G$2,$Q770=Parametres!$G$3),I770,C770)</f>
        <v>-30</v>
      </c>
      <c r="O770" s="151">
        <f>+IF(OR($Q770=Parametres!$G$2,$Q770=Parametres!$G$3),J770,D770)</f>
        <v>-2</v>
      </c>
      <c r="P770" s="151">
        <f>+IF(OR($Q770=Parametres!$G$2,$Q770=Parametres!$G$3),K770,E770)</f>
        <v>-32</v>
      </c>
      <c r="Q770" s="150" t="str">
        <f t="shared" ref="Q770:Q833" si="62">+F770</f>
        <v>10-Compte compteur</v>
      </c>
      <c r="R770" s="149" t="str">
        <f t="shared" ref="R770:R833" si="63">+G770</f>
        <v>446A</v>
      </c>
      <c r="S770" s="150">
        <f t="shared" ref="S770:S833" si="64">+H770</f>
        <v>0</v>
      </c>
      <c r="T770" s="152" t="str">
        <f>+VLOOKUP($L770,Data_Validation!$A:$D,1,0)</f>
        <v>446A@</v>
      </c>
      <c r="U770" s="152" t="str">
        <f>+VLOOKUP($L770,Data_Validation!$A:$D,3,0)</f>
        <v>Véhicules usagés</v>
      </c>
      <c r="V770" s="152" t="str">
        <f>+VLOOKUP($L770,Data_Validation!$A:$D,4,0)</f>
        <v>Certifié</v>
      </c>
      <c r="W770" s="152" t="str">
        <f>+VLOOKUP($L770,Data_Validation!$A:$E,5,0)</f>
        <v>nb</v>
      </c>
    </row>
    <row r="771" spans="1:23" ht="15.75" customHeight="1">
      <c r="A771" s="664" t="s">
        <v>1533</v>
      </c>
      <c r="B771" s="664" t="s">
        <v>728</v>
      </c>
      <c r="C771" s="665"/>
      <c r="D771" s="665"/>
      <c r="E771" s="665"/>
      <c r="F771" s="664" t="s">
        <v>4</v>
      </c>
      <c r="G771" s="664" t="s">
        <v>404</v>
      </c>
      <c r="H771" s="153"/>
      <c r="I771" s="153">
        <v>-32</v>
      </c>
      <c r="J771" s="153">
        <v>-1</v>
      </c>
      <c r="K771" s="153">
        <v>-33</v>
      </c>
      <c r="L771" s="149" t="str">
        <f t="shared" si="60"/>
        <v>446B@</v>
      </c>
      <c r="M771" s="150" t="str">
        <f t="shared" si="61"/>
        <v># DE VTE - USAGE BMW CAMION NON-CERT</v>
      </c>
      <c r="N771" s="151">
        <f>+IF(OR($Q771=Parametres!$G$2,$Q771=Parametres!$G$3),I771,C771)</f>
        <v>-32</v>
      </c>
      <c r="O771" s="151">
        <f>+IF(OR($Q771=Parametres!$G$2,$Q771=Parametres!$G$3),J771,D771)</f>
        <v>-1</v>
      </c>
      <c r="P771" s="151">
        <f>+IF(OR($Q771=Parametres!$G$2,$Q771=Parametres!$G$3),K771,E771)</f>
        <v>-33</v>
      </c>
      <c r="Q771" s="150" t="str">
        <f t="shared" si="62"/>
        <v>10-Compte compteur</v>
      </c>
      <c r="R771" s="149" t="str">
        <f t="shared" si="63"/>
        <v>446B</v>
      </c>
      <c r="S771" s="150">
        <f t="shared" si="64"/>
        <v>0</v>
      </c>
      <c r="T771" s="152" t="str">
        <f>+VLOOKUP($L771,Data_Validation!$A:$D,1,0)</f>
        <v>446B@</v>
      </c>
      <c r="U771" s="152" t="str">
        <f>+VLOOKUP($L771,Data_Validation!$A:$D,3,0)</f>
        <v>Véhicules usagés</v>
      </c>
      <c r="V771" s="152" t="str">
        <f>+VLOOKUP($L771,Data_Validation!$A:$D,4,0)</f>
        <v>Non Certifié</v>
      </c>
      <c r="W771" s="152" t="str">
        <f>+VLOOKUP($L771,Data_Validation!$A:$E,5,0)</f>
        <v>nb</v>
      </c>
    </row>
    <row r="772" spans="1:23" ht="15.75" customHeight="1">
      <c r="A772" s="664" t="s">
        <v>1534</v>
      </c>
      <c r="B772" s="664" t="s">
        <v>729</v>
      </c>
      <c r="C772" s="665"/>
      <c r="D772" s="665"/>
      <c r="E772" s="665"/>
      <c r="F772" s="664" t="s">
        <v>4</v>
      </c>
      <c r="G772" s="664" t="s">
        <v>629</v>
      </c>
      <c r="H772" s="153"/>
      <c r="I772" s="153">
        <v>-1</v>
      </c>
      <c r="J772" s="153">
        <v>0</v>
      </c>
      <c r="K772" s="153">
        <v>-1</v>
      </c>
      <c r="L772" s="149" t="str">
        <f t="shared" si="60"/>
        <v>447@</v>
      </c>
      <c r="M772" s="150" t="str">
        <f t="shared" si="61"/>
        <v># DE VTE - X5 M</v>
      </c>
      <c r="N772" s="151">
        <f>+IF(OR($Q772=Parametres!$G$2,$Q772=Parametres!$G$3),I772,C772)</f>
        <v>-1</v>
      </c>
      <c r="O772" s="151">
        <f>+IF(OR($Q772=Parametres!$G$2,$Q772=Parametres!$G$3),J772,D772)</f>
        <v>0</v>
      </c>
      <c r="P772" s="151">
        <f>+IF(OR($Q772=Parametres!$G$2,$Q772=Parametres!$G$3),K772,E772)</f>
        <v>-1</v>
      </c>
      <c r="Q772" s="150" t="str">
        <f t="shared" si="62"/>
        <v>10-Compte compteur</v>
      </c>
      <c r="R772" s="149" t="str">
        <f t="shared" si="63"/>
        <v>447</v>
      </c>
      <c r="S772" s="150">
        <f t="shared" si="64"/>
        <v>0</v>
      </c>
      <c r="T772" s="152" t="str">
        <f>+VLOOKUP($L772,Data_Validation!$A:$D,1,0)</f>
        <v>447@</v>
      </c>
      <c r="U772" s="152" t="str">
        <f>+VLOOKUP($L772,Data_Validation!$A:$D,3,0)</f>
        <v>Véhicules neufs</v>
      </c>
      <c r="V772" s="152" t="str">
        <f>+VLOOKUP($L772,Data_Validation!$A:$D,4,0)</f>
        <v>Camions détail</v>
      </c>
      <c r="W772" s="152" t="str">
        <f>+VLOOKUP($L772,Data_Validation!$A:$E,5,0)</f>
        <v>nb</v>
      </c>
    </row>
    <row r="773" spans="1:23" ht="15.75" customHeight="1">
      <c r="A773" s="664" t="s">
        <v>1535</v>
      </c>
      <c r="B773" s="664" t="s">
        <v>730</v>
      </c>
      <c r="C773" s="665"/>
      <c r="D773" s="665"/>
      <c r="E773" s="665"/>
      <c r="F773" s="664" t="s">
        <v>4</v>
      </c>
      <c r="G773" s="664" t="s">
        <v>400</v>
      </c>
      <c r="H773" s="153"/>
      <c r="I773" s="153">
        <v>-45</v>
      </c>
      <c r="J773" s="153">
        <v>-1</v>
      </c>
      <c r="K773" s="153">
        <v>-46</v>
      </c>
      <c r="L773" s="149" t="str">
        <f t="shared" si="60"/>
        <v>448@</v>
      </c>
      <c r="M773" s="150" t="str">
        <f t="shared" si="61"/>
        <v># DE VTE - RACHAT LOCATION BMW</v>
      </c>
      <c r="N773" s="151">
        <f>+IF(OR($Q773=Parametres!$G$2,$Q773=Parametres!$G$3),I773,C773)</f>
        <v>-45</v>
      </c>
      <c r="O773" s="151">
        <f>+IF(OR($Q773=Parametres!$G$2,$Q773=Parametres!$G$3),J773,D773)</f>
        <v>-1</v>
      </c>
      <c r="P773" s="151">
        <f>+IF(OR($Q773=Parametres!$G$2,$Q773=Parametres!$G$3),K773,E773)</f>
        <v>-46</v>
      </c>
      <c r="Q773" s="150" t="str">
        <f t="shared" si="62"/>
        <v>10-Compte compteur</v>
      </c>
      <c r="R773" s="149" t="str">
        <f t="shared" si="63"/>
        <v>448</v>
      </c>
      <c r="S773" s="150">
        <f t="shared" si="64"/>
        <v>0</v>
      </c>
      <c r="T773" s="152" t="str">
        <f>+VLOOKUP($L773,Data_Validation!$A:$D,1,0)</f>
        <v>448@</v>
      </c>
      <c r="U773" s="152" t="str">
        <f>+VLOOKUP($L773,Data_Validation!$A:$D,3,0)</f>
        <v>Véhicules neufs</v>
      </c>
      <c r="V773" s="152" t="str">
        <f>+VLOOKUP($L773,Data_Validation!$A:$D,4,0)</f>
        <v>Rachat bail</v>
      </c>
      <c r="W773" s="152" t="str">
        <f>+VLOOKUP($L773,Data_Validation!$A:$E,5,0)</f>
        <v>nb</v>
      </c>
    </row>
    <row r="774" spans="1:23" ht="15.75" customHeight="1">
      <c r="A774" s="664" t="s">
        <v>1536</v>
      </c>
      <c r="B774" s="664" t="s">
        <v>1044</v>
      </c>
      <c r="C774" s="665"/>
      <c r="D774" s="665"/>
      <c r="E774" s="665"/>
      <c r="F774" s="664" t="s">
        <v>4</v>
      </c>
      <c r="G774" s="664" t="s">
        <v>1012</v>
      </c>
      <c r="H774" s="153"/>
      <c r="I774" s="153">
        <v>-44</v>
      </c>
      <c r="J774" s="153">
        <v>-2</v>
      </c>
      <c r="K774" s="153">
        <v>-46</v>
      </c>
      <c r="L774" s="149" t="str">
        <f t="shared" si="60"/>
        <v>450@</v>
      </c>
      <c r="M774" s="150" t="str">
        <f t="shared" si="61"/>
        <v># DE VTE - MARQUAGE OTOPROTEC USAGE BMW AUTO</v>
      </c>
      <c r="N774" s="151">
        <f>+IF(OR($Q774=Parametres!$G$2,$Q774=Parametres!$G$3),I774,C774)</f>
        <v>-44</v>
      </c>
      <c r="O774" s="151">
        <f>+IF(OR($Q774=Parametres!$G$2,$Q774=Parametres!$G$3),J774,D774)</f>
        <v>-2</v>
      </c>
      <c r="P774" s="151">
        <f>+IF(OR($Q774=Parametres!$G$2,$Q774=Parametres!$G$3),K774,E774)</f>
        <v>-46</v>
      </c>
      <c r="Q774" s="150" t="str">
        <f t="shared" si="62"/>
        <v>10-Compte compteur</v>
      </c>
      <c r="R774" s="149" t="str">
        <f t="shared" si="63"/>
        <v>450</v>
      </c>
      <c r="S774" s="150">
        <f t="shared" si="64"/>
        <v>0</v>
      </c>
      <c r="T774" s="152" t="str">
        <f>+VLOOKUP($L774,Data_Validation!$A:$D,1,0)</f>
        <v>450@</v>
      </c>
      <c r="U774" s="152" t="str">
        <f>+VLOOKUP($L774,Data_Validation!$A:$D,3,0)</f>
        <v>Véhicules usagés</v>
      </c>
      <c r="V774" s="152" t="str">
        <f>+VLOOKUP($L774,Data_Validation!$A:$D,4,0)</f>
        <v>Rev. Autres</v>
      </c>
      <c r="W774" s="152" t="str">
        <f>+VLOOKUP($L774,Data_Validation!$A:$E,5,0)</f>
        <v>nb</v>
      </c>
    </row>
    <row r="775" spans="1:23" ht="15.75" customHeight="1">
      <c r="A775" s="664" t="s">
        <v>1538</v>
      </c>
      <c r="B775" s="664" t="s">
        <v>732</v>
      </c>
      <c r="C775" s="665"/>
      <c r="D775" s="665"/>
      <c r="E775" s="665"/>
      <c r="F775" s="664" t="s">
        <v>4</v>
      </c>
      <c r="G775" s="664" t="s">
        <v>1012</v>
      </c>
      <c r="H775" s="153"/>
      <c r="I775" s="153">
        <v>-2</v>
      </c>
      <c r="J775" s="153">
        <v>0</v>
      </c>
      <c r="K775" s="153">
        <v>-2</v>
      </c>
      <c r="L775" s="149" t="str">
        <f t="shared" si="60"/>
        <v>450C@</v>
      </c>
      <c r="M775" s="150" t="str">
        <f t="shared" si="61"/>
        <v># DE VTE - ACCESSOIRES USAGE BMW</v>
      </c>
      <c r="N775" s="151">
        <f>+IF(OR($Q775=Parametres!$G$2,$Q775=Parametres!$G$3),I775,C775)</f>
        <v>-2</v>
      </c>
      <c r="O775" s="151">
        <f>+IF(OR($Q775=Parametres!$G$2,$Q775=Parametres!$G$3),J775,D775)</f>
        <v>0</v>
      </c>
      <c r="P775" s="151">
        <f>+IF(OR($Q775=Parametres!$G$2,$Q775=Parametres!$G$3),K775,E775)</f>
        <v>-2</v>
      </c>
      <c r="Q775" s="150" t="str">
        <f t="shared" si="62"/>
        <v>10-Compte compteur</v>
      </c>
      <c r="R775" s="149" t="str">
        <f t="shared" si="63"/>
        <v>450</v>
      </c>
      <c r="S775" s="150">
        <f t="shared" si="64"/>
        <v>0</v>
      </c>
      <c r="T775" s="152" t="str">
        <f>+VLOOKUP($L775,Data_Validation!$A:$D,1,0)</f>
        <v>450C@</v>
      </c>
      <c r="U775" s="152" t="str">
        <f>+VLOOKUP($L775,Data_Validation!$A:$D,3,0)</f>
        <v>Véhicules usagés</v>
      </c>
      <c r="V775" s="152" t="str">
        <f>+VLOOKUP($L775,Data_Validation!$A:$D,4,0)</f>
        <v>Rev. Autres</v>
      </c>
      <c r="W775" s="152" t="str">
        <f>+VLOOKUP($L775,Data_Validation!$A:$E,5,0)</f>
        <v>nb</v>
      </c>
    </row>
    <row r="776" spans="1:23" ht="15.75" customHeight="1">
      <c r="A776" s="664" t="s">
        <v>1539</v>
      </c>
      <c r="B776" s="664" t="s">
        <v>1540</v>
      </c>
      <c r="C776" s="665"/>
      <c r="D776" s="665"/>
      <c r="E776" s="665"/>
      <c r="F776" s="664" t="s">
        <v>4</v>
      </c>
      <c r="G776" s="664" t="s">
        <v>1012</v>
      </c>
      <c r="H776" s="153"/>
      <c r="I776" s="153">
        <v>-5</v>
      </c>
      <c r="J776" s="153">
        <v>0</v>
      </c>
      <c r="K776" s="153">
        <v>-5</v>
      </c>
      <c r="L776" s="149" t="str">
        <f t="shared" si="60"/>
        <v>450E@</v>
      </c>
      <c r="M776" s="150" t="str">
        <f t="shared" si="61"/>
        <v># DE SLS - PROTEC ESTHETIQUE USAGE BMW AUTO</v>
      </c>
      <c r="N776" s="151">
        <f>+IF(OR($Q776=Parametres!$G$2,$Q776=Parametres!$G$3),I776,C776)</f>
        <v>-5</v>
      </c>
      <c r="O776" s="151">
        <f>+IF(OR($Q776=Parametres!$G$2,$Q776=Parametres!$G$3),J776,D776)</f>
        <v>0</v>
      </c>
      <c r="P776" s="151">
        <f>+IF(OR($Q776=Parametres!$G$2,$Q776=Parametres!$G$3),K776,E776)</f>
        <v>-5</v>
      </c>
      <c r="Q776" s="150" t="str">
        <f t="shared" si="62"/>
        <v>10-Compte compteur</v>
      </c>
      <c r="R776" s="149" t="str">
        <f t="shared" si="63"/>
        <v>450</v>
      </c>
      <c r="S776" s="150">
        <f t="shared" si="64"/>
        <v>0</v>
      </c>
      <c r="T776" s="152" t="str">
        <f>+VLOOKUP($L776,Data_Validation!$A:$D,1,0)</f>
        <v>450E@</v>
      </c>
      <c r="U776" s="152" t="str">
        <f>+VLOOKUP($L776,Data_Validation!$A:$D,3,0)</f>
        <v>Véhicules usagés</v>
      </c>
      <c r="V776" s="152" t="str">
        <f>+VLOOKUP($L776,Data_Validation!$A:$D,4,0)</f>
        <v>Rev. Protections</v>
      </c>
      <c r="W776" s="152" t="str">
        <f>+VLOOKUP($L776,Data_Validation!$A:$E,5,0)</f>
        <v>nb</v>
      </c>
    </row>
    <row r="777" spans="1:23" ht="15.75" customHeight="1">
      <c r="A777" s="664" t="s">
        <v>1541</v>
      </c>
      <c r="B777" s="664" t="s">
        <v>733</v>
      </c>
      <c r="C777" s="665"/>
      <c r="D777" s="665"/>
      <c r="E777" s="665"/>
      <c r="F777" s="664" t="s">
        <v>4</v>
      </c>
      <c r="G777" s="664" t="s">
        <v>1012</v>
      </c>
      <c r="H777" s="153"/>
      <c r="I777" s="153">
        <v>-27</v>
      </c>
      <c r="J777" s="153">
        <v>0</v>
      </c>
      <c r="K777" s="153">
        <v>-27</v>
      </c>
      <c r="L777" s="149" t="str">
        <f t="shared" si="60"/>
        <v>450F@</v>
      </c>
      <c r="M777" s="150" t="str">
        <f t="shared" si="61"/>
        <v># DE VTE - RIST FIN USAGE BMW AUTO</v>
      </c>
      <c r="N777" s="151">
        <f>+IF(OR($Q777=Parametres!$G$2,$Q777=Parametres!$G$3),I777,C777)</f>
        <v>-27</v>
      </c>
      <c r="O777" s="151">
        <f>+IF(OR($Q777=Parametres!$G$2,$Q777=Parametres!$G$3),J777,D777)</f>
        <v>0</v>
      </c>
      <c r="P777" s="151">
        <f>+IF(OR($Q777=Parametres!$G$2,$Q777=Parametres!$G$3),K777,E777)</f>
        <v>-27</v>
      </c>
      <c r="Q777" s="150" t="str">
        <f t="shared" si="62"/>
        <v>10-Compte compteur</v>
      </c>
      <c r="R777" s="149" t="str">
        <f t="shared" si="63"/>
        <v>450</v>
      </c>
      <c r="S777" s="150">
        <f t="shared" si="64"/>
        <v>0</v>
      </c>
      <c r="T777" s="152" t="str">
        <f>+VLOOKUP($L777,Data_Validation!$A:$D,1,0)</f>
        <v>450F@</v>
      </c>
      <c r="U777" s="152" t="str">
        <f>+VLOOKUP($L777,Data_Validation!$A:$D,3,0)</f>
        <v>Véhicules usagés</v>
      </c>
      <c r="V777" s="152" t="str">
        <f>+VLOOKUP($L777,Data_Validation!$A:$D,4,0)</f>
        <v>Rev. Finances</v>
      </c>
      <c r="W777" s="152" t="str">
        <f>+VLOOKUP($L777,Data_Validation!$A:$E,5,0)</f>
        <v>nb</v>
      </c>
    </row>
    <row r="778" spans="1:23" ht="15.75" customHeight="1">
      <c r="A778" s="664" t="s">
        <v>1542</v>
      </c>
      <c r="B778" s="664" t="s">
        <v>1543</v>
      </c>
      <c r="C778" s="665"/>
      <c r="D778" s="665"/>
      <c r="E778" s="665"/>
      <c r="F778" s="664" t="s">
        <v>4</v>
      </c>
      <c r="G778" s="664" t="s">
        <v>1012</v>
      </c>
      <c r="H778" s="153"/>
      <c r="I778" s="153">
        <v>-1</v>
      </c>
      <c r="J778" s="153">
        <v>0</v>
      </c>
      <c r="K778" s="153">
        <v>-1</v>
      </c>
      <c r="L778" s="149" t="str">
        <f t="shared" si="60"/>
        <v>450H@</v>
      </c>
      <c r="M778" s="150" t="str">
        <f t="shared" si="61"/>
        <v># OF VTES -VTE - M850I XDR GRAN COUPE</v>
      </c>
      <c r="N778" s="151">
        <f>+IF(OR($Q778=Parametres!$G$2,$Q778=Parametres!$G$3),I778,C778)</f>
        <v>-1</v>
      </c>
      <c r="O778" s="151">
        <f>+IF(OR($Q778=Parametres!$G$2,$Q778=Parametres!$G$3),J778,D778)</f>
        <v>0</v>
      </c>
      <c r="P778" s="151">
        <f>+IF(OR($Q778=Parametres!$G$2,$Q778=Parametres!$G$3),K778,E778)</f>
        <v>-1</v>
      </c>
      <c r="Q778" s="150" t="str">
        <f t="shared" si="62"/>
        <v>10-Compte compteur</v>
      </c>
      <c r="R778" s="149" t="str">
        <f t="shared" si="63"/>
        <v>450</v>
      </c>
      <c r="S778" s="150">
        <f t="shared" si="64"/>
        <v>0</v>
      </c>
      <c r="T778" s="152" t="str">
        <f>+VLOOKUP($L778,Data_Validation!$A:$D,1,0)</f>
        <v>450H@</v>
      </c>
      <c r="U778" s="152" t="str">
        <f>+VLOOKUP($L778,Data_Validation!$A:$D,3,0)</f>
        <v>Véhicules neufs</v>
      </c>
      <c r="V778" s="152" t="str">
        <f>+VLOOKUP($L778,Data_Validation!$A:$D,4,0)</f>
        <v>Autos détail</v>
      </c>
      <c r="W778" s="152" t="str">
        <f>+VLOOKUP($L778,Data_Validation!$A:$E,5,0)</f>
        <v>nb</v>
      </c>
    </row>
    <row r="779" spans="1:23" ht="15.75" customHeight="1">
      <c r="A779" s="664" t="s">
        <v>2026</v>
      </c>
      <c r="B779" s="664" t="s">
        <v>2027</v>
      </c>
      <c r="C779" s="665"/>
      <c r="D779" s="665"/>
      <c r="E779" s="665"/>
      <c r="F779" s="664" t="s">
        <v>4</v>
      </c>
      <c r="G779" s="664" t="s">
        <v>1012</v>
      </c>
      <c r="H779" s="153"/>
      <c r="I779" s="153">
        <v>-1</v>
      </c>
      <c r="J779" s="153">
        <v>0</v>
      </c>
      <c r="K779" s="153">
        <v>-1</v>
      </c>
      <c r="L779" s="149" t="str">
        <f t="shared" si="60"/>
        <v>450R@</v>
      </c>
      <c r="M779" s="150" t="str">
        <f t="shared" si="61"/>
        <v># DE VTE - ASS. REMP. USAGE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62"/>
        <v>10-Compte compteur</v>
      </c>
      <c r="R779" s="149" t="str">
        <f t="shared" si="63"/>
        <v>450</v>
      </c>
      <c r="S779" s="150">
        <f t="shared" si="64"/>
        <v>0</v>
      </c>
      <c r="T779" s="152" t="str">
        <f>+VLOOKUP($L779,Data_Validation!$A:$D,1,0)</f>
        <v>450R@</v>
      </c>
      <c r="U779" s="152" t="str">
        <f>+VLOOKUP($L779,Data_Validation!$A:$D,3,0)</f>
        <v>Véhicules usagés</v>
      </c>
      <c r="V779" s="152" t="str">
        <f>+VLOOKUP($L779,Data_Validation!$A:$D,4,0)</f>
        <v>Rev. Protections</v>
      </c>
      <c r="W779" s="152" t="str">
        <f>+VLOOKUP($L779,Data_Validation!$A:$E,5,0)</f>
        <v>NB</v>
      </c>
    </row>
    <row r="780" spans="1:23" ht="15.75" customHeight="1">
      <c r="A780" s="664" t="s">
        <v>1552</v>
      </c>
      <c r="B780" s="664" t="s">
        <v>1553</v>
      </c>
      <c r="C780" s="665"/>
      <c r="D780" s="665"/>
      <c r="E780" s="665"/>
      <c r="F780" s="664" t="s">
        <v>4</v>
      </c>
      <c r="G780" s="664" t="s">
        <v>374</v>
      </c>
      <c r="H780" s="153"/>
      <c r="I780" s="153">
        <v>-38</v>
      </c>
      <c r="J780" s="153">
        <v>-3</v>
      </c>
      <c r="K780" s="153">
        <v>-41</v>
      </c>
      <c r="L780" s="149" t="str">
        <f t="shared" si="60"/>
        <v>451@</v>
      </c>
      <c r="M780" s="150" t="str">
        <f t="shared" si="61"/>
        <v># DE VTE - MARQUAGE OTOPROTEC USAGE AUTRE</v>
      </c>
      <c r="N780" s="151">
        <f>+IF(OR($Q780=Parametres!$G$2,$Q780=Parametres!$G$3),I780,C780)</f>
        <v>-38</v>
      </c>
      <c r="O780" s="151">
        <f>+IF(OR($Q780=Parametres!$G$2,$Q780=Parametres!$G$3),J780,D780)</f>
        <v>-3</v>
      </c>
      <c r="P780" s="151">
        <f>+IF(OR($Q780=Parametres!$G$2,$Q780=Parametres!$G$3),K780,E780)</f>
        <v>-41</v>
      </c>
      <c r="Q780" s="150" t="str">
        <f t="shared" si="62"/>
        <v>10-Compte compteur</v>
      </c>
      <c r="R780" s="149" t="str">
        <f t="shared" si="63"/>
        <v>451</v>
      </c>
      <c r="S780" s="150">
        <f t="shared" si="64"/>
        <v>0</v>
      </c>
      <c r="T780" s="152" t="str">
        <f>+VLOOKUP($L780,Data_Validation!$A:$D,1,0)</f>
        <v>451@</v>
      </c>
      <c r="U780" s="152" t="str">
        <f>+VLOOKUP($L780,Data_Validation!$A:$D,3,0)</f>
        <v>Véhicules usagés</v>
      </c>
      <c r="V780" s="152" t="str">
        <f>+VLOOKUP($L780,Data_Validation!$A:$D,4,0)</f>
        <v>Rev. Autres</v>
      </c>
      <c r="W780" s="152" t="str">
        <f>+VLOOKUP($L780,Data_Validation!$A:$E,5,0)</f>
        <v>nb</v>
      </c>
    </row>
    <row r="781" spans="1:23" ht="15.75" customHeight="1">
      <c r="A781" s="664" t="s">
        <v>2951</v>
      </c>
      <c r="B781" s="664" t="s">
        <v>2952</v>
      </c>
      <c r="C781" s="665"/>
      <c r="D781" s="665"/>
      <c r="E781" s="665"/>
      <c r="F781" s="664" t="s">
        <v>4</v>
      </c>
      <c r="G781" s="664" t="s">
        <v>374</v>
      </c>
      <c r="H781" s="153"/>
      <c r="I781" s="153">
        <v>-1</v>
      </c>
      <c r="J781" s="153">
        <v>0</v>
      </c>
      <c r="K781" s="153">
        <v>-1</v>
      </c>
      <c r="L781" s="149" t="str">
        <f t="shared" si="60"/>
        <v>451R@</v>
      </c>
      <c r="M781" s="150" t="str">
        <f t="shared" si="61"/>
        <v># DE VTE - ASS. REMP. USAGE AUTRE</v>
      </c>
      <c r="N781" s="151">
        <f>+IF(OR($Q781=Parametres!$G$2,$Q781=Parametres!$G$3),I781,C781)</f>
        <v>-1</v>
      </c>
      <c r="O781" s="151">
        <f>+IF(OR($Q781=Parametres!$G$2,$Q781=Parametres!$G$3),J781,D781)</f>
        <v>0</v>
      </c>
      <c r="P781" s="151">
        <f>+IF(OR($Q781=Parametres!$G$2,$Q781=Parametres!$G$3),K781,E781)</f>
        <v>-1</v>
      </c>
      <c r="Q781" s="150" t="str">
        <f t="shared" si="62"/>
        <v>10-Compte compteur</v>
      </c>
      <c r="R781" s="149" t="str">
        <f t="shared" si="63"/>
        <v>451</v>
      </c>
      <c r="S781" s="150">
        <f t="shared" si="64"/>
        <v>0</v>
      </c>
      <c r="T781" s="152" t="str">
        <f>+VLOOKUP($L781,Data_Validation!$A:$D,1,0)</f>
        <v>451R@</v>
      </c>
      <c r="U781" s="152" t="str">
        <f>+VLOOKUP($L781,Data_Validation!$A:$D,3,0)</f>
        <v>Véhicules usagés</v>
      </c>
      <c r="V781" s="152" t="str">
        <f>+VLOOKUP($L781,Data_Validation!$A:$D,4,0)</f>
        <v>Rev. Protections</v>
      </c>
      <c r="W781" s="152" t="str">
        <f>+VLOOKUP($L781,Data_Validation!$A:$E,5,0)</f>
        <v>nb</v>
      </c>
    </row>
    <row r="782" spans="1:23" ht="15.75" customHeight="1">
      <c r="A782" s="664" t="s">
        <v>2212</v>
      </c>
      <c r="B782" s="664" t="s">
        <v>2213</v>
      </c>
      <c r="C782" s="665"/>
      <c r="D782" s="665"/>
      <c r="E782" s="665"/>
      <c r="F782" s="664" t="s">
        <v>4</v>
      </c>
      <c r="G782" s="664" t="s">
        <v>374</v>
      </c>
      <c r="H782" s="153"/>
      <c r="I782" s="153">
        <v>-1</v>
      </c>
      <c r="J782" s="153">
        <v>0</v>
      </c>
      <c r="K782" s="153">
        <v>-1</v>
      </c>
      <c r="L782" s="149" t="str">
        <f t="shared" si="60"/>
        <v>451V@</v>
      </c>
      <c r="M782" s="150" t="str">
        <f t="shared" si="61"/>
        <v># DE VTE - ASS VIE/INV USAGE AUTRE</v>
      </c>
      <c r="N782" s="151">
        <f>+IF(OR($Q782=Parametres!$G$2,$Q782=Parametres!$G$3),I782,C782)</f>
        <v>-1</v>
      </c>
      <c r="O782" s="151">
        <f>+IF(OR($Q782=Parametres!$G$2,$Q782=Parametres!$G$3),J782,D782)</f>
        <v>0</v>
      </c>
      <c r="P782" s="151">
        <f>+IF(OR($Q782=Parametres!$G$2,$Q782=Parametres!$G$3),K782,E782)</f>
        <v>-1</v>
      </c>
      <c r="Q782" s="150" t="str">
        <f t="shared" si="62"/>
        <v>10-Compte compteur</v>
      </c>
      <c r="R782" s="149" t="str">
        <f t="shared" si="63"/>
        <v>451</v>
      </c>
      <c r="S782" s="150">
        <f t="shared" si="64"/>
        <v>0</v>
      </c>
      <c r="T782" s="152" t="str">
        <f>+VLOOKUP($L782,Data_Validation!$A:$D,1,0)</f>
        <v>451V@</v>
      </c>
      <c r="U782" s="152" t="str">
        <f>+VLOOKUP($L782,Data_Validation!$A:$D,3,0)</f>
        <v>Véhicules usagés</v>
      </c>
      <c r="V782" s="152" t="str">
        <f>+VLOOKUP($L782,Data_Validation!$A:$D,4,0)</f>
        <v>Rev. Protections</v>
      </c>
      <c r="W782" s="152" t="str">
        <f>+VLOOKUP($L782,Data_Validation!$A:$E,5,0)</f>
        <v>NB</v>
      </c>
    </row>
    <row r="783" spans="1:23" ht="15.75" customHeight="1">
      <c r="A783" s="664" t="s">
        <v>1556</v>
      </c>
      <c r="B783" s="664" t="s">
        <v>734</v>
      </c>
      <c r="C783" s="665"/>
      <c r="D783" s="665"/>
      <c r="E783" s="665"/>
      <c r="F783" s="664" t="s">
        <v>4</v>
      </c>
      <c r="G783" s="664" t="s">
        <v>368</v>
      </c>
      <c r="H783" s="153"/>
      <c r="I783" s="153">
        <v>-20</v>
      </c>
      <c r="J783" s="153">
        <v>-1</v>
      </c>
      <c r="K783" s="153">
        <v>-21</v>
      </c>
      <c r="L783" s="149" t="str">
        <f t="shared" si="60"/>
        <v>452@</v>
      </c>
      <c r="M783" s="150" t="str">
        <f t="shared" si="61"/>
        <v># DE VTE - GAR PROL USAGE BMW AUTO</v>
      </c>
      <c r="N783" s="151">
        <f>+IF(OR($Q783=Parametres!$G$2,$Q783=Parametres!$G$3),I783,C783)</f>
        <v>-20</v>
      </c>
      <c r="O783" s="151">
        <f>+IF(OR($Q783=Parametres!$G$2,$Q783=Parametres!$G$3),J783,D783)</f>
        <v>-1</v>
      </c>
      <c r="P783" s="151">
        <f>+IF(OR($Q783=Parametres!$G$2,$Q783=Parametres!$G$3),K783,E783)</f>
        <v>-21</v>
      </c>
      <c r="Q783" s="150" t="str">
        <f t="shared" si="62"/>
        <v>10-Compte compteur</v>
      </c>
      <c r="R783" s="149" t="str">
        <f t="shared" si="63"/>
        <v>452</v>
      </c>
      <c r="S783" s="150">
        <f t="shared" si="64"/>
        <v>0</v>
      </c>
      <c r="T783" s="152" t="str">
        <f>+VLOOKUP($L783,Data_Validation!$A:$D,1,0)</f>
        <v>452@</v>
      </c>
      <c r="U783" s="152" t="str">
        <f>+VLOOKUP($L783,Data_Validation!$A:$D,3,0)</f>
        <v>Véhicules usagés</v>
      </c>
      <c r="V783" s="152" t="str">
        <f>+VLOOKUP($L783,Data_Validation!$A:$D,4,0)</f>
        <v>Rev. Protections</v>
      </c>
      <c r="W783" s="152" t="str">
        <f>+VLOOKUP($L783,Data_Validation!$A:$E,5,0)</f>
        <v>nb</v>
      </c>
    </row>
    <row r="784" spans="1:23" ht="15.75" customHeight="1">
      <c r="A784" s="664" t="s">
        <v>1557</v>
      </c>
      <c r="B784" s="664" t="s">
        <v>735</v>
      </c>
      <c r="C784" s="665"/>
      <c r="D784" s="665"/>
      <c r="E784" s="665"/>
      <c r="F784" s="664" t="s">
        <v>4</v>
      </c>
      <c r="G784" s="664" t="s">
        <v>631</v>
      </c>
      <c r="H784" s="153"/>
      <c r="I784" s="153">
        <v>-2</v>
      </c>
      <c r="J784" s="153">
        <v>0</v>
      </c>
      <c r="K784" s="153">
        <v>-2</v>
      </c>
      <c r="L784" s="149" t="str">
        <f t="shared" si="60"/>
        <v>452A@</v>
      </c>
      <c r="M784" s="150" t="str">
        <f t="shared" si="61"/>
        <v># OF VTES -VTES - Z4 30I XDR</v>
      </c>
      <c r="N784" s="151">
        <f>+IF(OR($Q784=Parametres!$G$2,$Q784=Parametres!$G$3),I784,C784)</f>
        <v>-2</v>
      </c>
      <c r="O784" s="151">
        <f>+IF(OR($Q784=Parametres!$G$2,$Q784=Parametres!$G$3),J784,D784)</f>
        <v>0</v>
      </c>
      <c r="P784" s="151">
        <f>+IF(OR($Q784=Parametres!$G$2,$Q784=Parametres!$G$3),K784,E784)</f>
        <v>-2</v>
      </c>
      <c r="Q784" s="150" t="str">
        <f t="shared" si="62"/>
        <v>10-Compte compteur</v>
      </c>
      <c r="R784" s="149" t="str">
        <f t="shared" si="63"/>
        <v>452A</v>
      </c>
      <c r="S784" s="150">
        <f t="shared" si="64"/>
        <v>0</v>
      </c>
      <c r="T784" s="152" t="str">
        <f>+VLOOKUP($L784,Data_Validation!$A:$D,1,0)</f>
        <v>452A@</v>
      </c>
      <c r="U784" s="152" t="str">
        <f>+VLOOKUP($L784,Data_Validation!$A:$D,3,0)</f>
        <v>Véhicules neufs</v>
      </c>
      <c r="V784" s="152" t="str">
        <f>+VLOOKUP($L784,Data_Validation!$A:$D,4,0)</f>
        <v>Autos détail</v>
      </c>
      <c r="W784" s="152" t="str">
        <f>+VLOOKUP($L784,Data_Validation!$A:$E,5,0)</f>
        <v>nb</v>
      </c>
    </row>
    <row r="785" spans="1:24" ht="15.75" customHeight="1">
      <c r="A785" s="664" t="s">
        <v>736</v>
      </c>
      <c r="B785" s="664" t="s">
        <v>737</v>
      </c>
      <c r="C785" s="665"/>
      <c r="D785" s="665"/>
      <c r="E785" s="665"/>
      <c r="F785" s="664" t="s">
        <v>4</v>
      </c>
      <c r="G785" s="664" t="s">
        <v>633</v>
      </c>
      <c r="H785" s="153"/>
      <c r="I785" s="153">
        <v>-4</v>
      </c>
      <c r="J785" s="153">
        <v>0</v>
      </c>
      <c r="K785" s="153">
        <v>-4</v>
      </c>
      <c r="L785" s="149" t="str">
        <f t="shared" si="60"/>
        <v>452B@</v>
      </c>
      <c r="M785" s="150" t="str">
        <f t="shared" si="61"/>
        <v># OF VTES -VTES - Z4 M40I</v>
      </c>
      <c r="N785" s="151">
        <f>+IF(OR($Q785=Parametres!$G$2,$Q785=Parametres!$G$3),I785,C785)</f>
        <v>-4</v>
      </c>
      <c r="O785" s="151">
        <f>+IF(OR($Q785=Parametres!$G$2,$Q785=Parametres!$G$3),J785,D785)</f>
        <v>0</v>
      </c>
      <c r="P785" s="151">
        <f>+IF(OR($Q785=Parametres!$G$2,$Q785=Parametres!$G$3),K785,E785)</f>
        <v>-4</v>
      </c>
      <c r="Q785" s="150" t="str">
        <f t="shared" si="62"/>
        <v>10-Compte compteur</v>
      </c>
      <c r="R785" s="149" t="str">
        <f t="shared" si="63"/>
        <v>452B</v>
      </c>
      <c r="S785" s="150">
        <f t="shared" si="64"/>
        <v>0</v>
      </c>
      <c r="T785" s="152" t="str">
        <f>+VLOOKUP($L785,Data_Validation!$A:$D,1,0)</f>
        <v>452B@</v>
      </c>
      <c r="U785" s="152" t="str">
        <f>+VLOOKUP($L785,Data_Validation!$A:$D,3,0)</f>
        <v>Véhicules neufs</v>
      </c>
      <c r="V785" s="152" t="str">
        <f>+VLOOKUP($L785,Data_Validation!$A:$D,4,0)</f>
        <v>Autos détail</v>
      </c>
      <c r="W785" s="152" t="str">
        <f>+VLOOKUP($L785,Data_Validation!$A:$E,5,0)</f>
        <v>nb</v>
      </c>
    </row>
    <row r="786" spans="1:24" ht="15.75" customHeight="1">
      <c r="A786" s="664" t="s">
        <v>1993</v>
      </c>
      <c r="B786" s="664" t="s">
        <v>1994</v>
      </c>
      <c r="C786" s="665"/>
      <c r="D786" s="665"/>
      <c r="E786" s="665"/>
      <c r="F786" s="664" t="s">
        <v>4</v>
      </c>
      <c r="G786" s="664" t="s">
        <v>368</v>
      </c>
      <c r="H786" s="153"/>
      <c r="I786" s="153">
        <v>-22</v>
      </c>
      <c r="J786" s="153">
        <v>0</v>
      </c>
      <c r="K786" s="153">
        <v>-22</v>
      </c>
      <c r="L786" s="149" t="str">
        <f t="shared" si="60"/>
        <v>452C@</v>
      </c>
      <c r="M786" s="150" t="str">
        <f t="shared" si="61"/>
        <v># OF VTES -GAR PROL USAGE BMW NON-CERT</v>
      </c>
      <c r="N786" s="151">
        <f>+IF(OR($Q786=Parametres!$G$2,$Q786=Parametres!$G$3),I786,C786)</f>
        <v>-22</v>
      </c>
      <c r="O786" s="151">
        <f>+IF(OR($Q786=Parametres!$G$2,$Q786=Parametres!$G$3),J786,D786)</f>
        <v>0</v>
      </c>
      <c r="P786" s="151">
        <f>+IF(OR($Q786=Parametres!$G$2,$Q786=Parametres!$G$3),K786,E786)</f>
        <v>-22</v>
      </c>
      <c r="Q786" s="150" t="str">
        <f t="shared" si="62"/>
        <v>10-Compte compteur</v>
      </c>
      <c r="R786" s="149" t="str">
        <f t="shared" si="63"/>
        <v>452</v>
      </c>
      <c r="S786" s="150">
        <f t="shared" si="64"/>
        <v>0</v>
      </c>
      <c r="T786" s="152" t="str">
        <f>+VLOOKUP($L786,Data_Validation!$A:$D,1,0)</f>
        <v>452C@</v>
      </c>
      <c r="U786" s="152" t="str">
        <f>+VLOOKUP($L786,Data_Validation!$A:$D,3,0)</f>
        <v>Véhicules usagés</v>
      </c>
      <c r="V786" s="152" t="str">
        <f>+VLOOKUP($L786,Data_Validation!$A:$D,4,0)</f>
        <v>Rev. Protections</v>
      </c>
      <c r="W786" s="152" t="str">
        <f>+VLOOKUP($L786,Data_Validation!$A:$E,5,0)</f>
        <v>nb</v>
      </c>
    </row>
    <row r="787" spans="1:24" ht="15.75" customHeight="1">
      <c r="A787" s="664" t="s">
        <v>1558</v>
      </c>
      <c r="B787" s="664" t="s">
        <v>1559</v>
      </c>
      <c r="C787" s="665"/>
      <c r="D787" s="665"/>
      <c r="E787" s="665"/>
      <c r="F787" s="664" t="s">
        <v>4</v>
      </c>
      <c r="G787" s="664" t="s">
        <v>369</v>
      </c>
      <c r="H787" s="153"/>
      <c r="I787" s="153">
        <v>-20</v>
      </c>
      <c r="J787" s="153">
        <v>-2</v>
      </c>
      <c r="K787" s="153">
        <v>-22</v>
      </c>
      <c r="L787" s="149" t="str">
        <f t="shared" si="60"/>
        <v>453@</v>
      </c>
      <c r="M787" s="150" t="str">
        <f t="shared" si="61"/>
        <v># DE VTE - RIST FINANCE USAGE AUTRE</v>
      </c>
      <c r="N787" s="151">
        <f>+IF(OR($Q787=Parametres!$G$2,$Q787=Parametres!$G$3),I787,C787)</f>
        <v>-20</v>
      </c>
      <c r="O787" s="151">
        <f>+IF(OR($Q787=Parametres!$G$2,$Q787=Parametres!$G$3),J787,D787)</f>
        <v>-2</v>
      </c>
      <c r="P787" s="151">
        <f>+IF(OR($Q787=Parametres!$G$2,$Q787=Parametres!$G$3),K787,E787)</f>
        <v>-22</v>
      </c>
      <c r="Q787" s="150" t="str">
        <f t="shared" si="62"/>
        <v>10-Compte compteur</v>
      </c>
      <c r="R787" s="149" t="str">
        <f t="shared" si="63"/>
        <v>453</v>
      </c>
      <c r="S787" s="150">
        <f t="shared" si="64"/>
        <v>0</v>
      </c>
      <c r="T787" s="152" t="str">
        <f>+VLOOKUP($L787,Data_Validation!$A:$D,1,0)</f>
        <v>453@</v>
      </c>
      <c r="U787" s="152" t="str">
        <f>+VLOOKUP($L787,Data_Validation!$A:$D,3,0)</f>
        <v>Véhicules usagés</v>
      </c>
      <c r="V787" s="152" t="str">
        <f>+VLOOKUP($L787,Data_Validation!$A:$D,4,0)</f>
        <v>Rev. Finances</v>
      </c>
      <c r="W787" s="152" t="str">
        <f>+VLOOKUP($L787,Data_Validation!$A:$E,5,0)</f>
        <v>nb</v>
      </c>
    </row>
    <row r="788" spans="1:24" ht="15.75" customHeight="1">
      <c r="A788" s="664" t="s">
        <v>2183</v>
      </c>
      <c r="B788" s="664" t="s">
        <v>2184</v>
      </c>
      <c r="C788" s="665"/>
      <c r="D788" s="665"/>
      <c r="E788" s="665"/>
      <c r="F788" s="664" t="s">
        <v>4</v>
      </c>
      <c r="G788" s="664" t="s">
        <v>2362</v>
      </c>
      <c r="H788" s="153"/>
      <c r="I788" s="153">
        <v>-37</v>
      </c>
      <c r="J788" s="153">
        <v>-8</v>
      </c>
      <c r="K788" s="153">
        <v>-45</v>
      </c>
      <c r="L788" s="149" t="str">
        <f t="shared" si="60"/>
        <v>454A@</v>
      </c>
      <c r="M788" s="150" t="str">
        <f t="shared" si="61"/>
        <v># OF VTES -CONT ENTRET USAGE BMW NON-CERT</v>
      </c>
      <c r="N788" s="151">
        <f>+IF(OR($Q788=Parametres!$G$2,$Q788=Parametres!$G$3),I788,C788)</f>
        <v>-37</v>
      </c>
      <c r="O788" s="151">
        <f>+IF(OR($Q788=Parametres!$G$2,$Q788=Parametres!$G$3),J788,D788)</f>
        <v>-8</v>
      </c>
      <c r="P788" s="151">
        <f>+IF(OR($Q788=Parametres!$G$2,$Q788=Parametres!$G$3),K788,E788)</f>
        <v>-45</v>
      </c>
      <c r="Q788" s="150" t="str">
        <f t="shared" si="62"/>
        <v>10-Compte compteur</v>
      </c>
      <c r="R788" s="149" t="str">
        <f t="shared" si="63"/>
        <v>454</v>
      </c>
      <c r="S788" s="150">
        <f t="shared" si="64"/>
        <v>0</v>
      </c>
      <c r="T788" s="152" t="str">
        <f>+VLOOKUP($L788,Data_Validation!$A:$D,1,0)</f>
        <v>454A@</v>
      </c>
      <c r="U788" s="152" t="str">
        <f>+VLOOKUP($L788,Data_Validation!$A:$D,3,0)</f>
        <v>Véhicules usagés</v>
      </c>
      <c r="V788" s="152" t="str">
        <f>+VLOOKUP($L788,Data_Validation!$A:$D,4,0)</f>
        <v>Rev. Protections</v>
      </c>
      <c r="W788" s="152" t="str">
        <f>+VLOOKUP($L788,Data_Validation!$A:$E,5,0)</f>
        <v>NB</v>
      </c>
    </row>
    <row r="789" spans="1:24" ht="15.75" customHeight="1">
      <c r="A789" s="664" t="s">
        <v>2075</v>
      </c>
      <c r="B789" s="664" t="s">
        <v>2076</v>
      </c>
      <c r="C789" s="665"/>
      <c r="D789" s="665"/>
      <c r="E789" s="665"/>
      <c r="F789" s="664" t="s">
        <v>4</v>
      </c>
      <c r="G789" s="664" t="s">
        <v>1012</v>
      </c>
      <c r="H789" s="153"/>
      <c r="I789" s="153">
        <v>-2</v>
      </c>
      <c r="J789" s="153">
        <v>0</v>
      </c>
      <c r="K789" s="153">
        <v>-2</v>
      </c>
      <c r="L789" s="149" t="str">
        <f t="shared" si="60"/>
        <v>454E@</v>
      </c>
      <c r="M789" s="150" t="str">
        <f t="shared" si="61"/>
        <v># OF VTES -PROTEC ESTHETIQUE USAGE BMW NON-CE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450</v>
      </c>
      <c r="S789" s="150">
        <f t="shared" si="64"/>
        <v>0</v>
      </c>
      <c r="T789" s="152" t="str">
        <f>+VLOOKUP($L789,Data_Validation!$A:$D,1,0)</f>
        <v>454E@</v>
      </c>
      <c r="U789" s="152" t="str">
        <f>+VLOOKUP($L789,Data_Validation!$A:$D,3,0)</f>
        <v>Véhicules usagés</v>
      </c>
      <c r="V789" s="152" t="str">
        <f>+VLOOKUP($L789,Data_Validation!$A:$D,4,0)</f>
        <v>Rev. Protections</v>
      </c>
      <c r="W789" s="152" t="str">
        <f>+VLOOKUP($L789,Data_Validation!$A:$E,5,0)</f>
        <v>NB</v>
      </c>
    </row>
    <row r="790" spans="1:24" ht="15.75" customHeight="1">
      <c r="A790" s="664" t="s">
        <v>1958</v>
      </c>
      <c r="B790" s="664" t="s">
        <v>1959</v>
      </c>
      <c r="C790" s="665"/>
      <c r="D790" s="665"/>
      <c r="E790" s="665"/>
      <c r="F790" s="664" t="s">
        <v>4</v>
      </c>
      <c r="G790" s="664" t="s">
        <v>1012</v>
      </c>
      <c r="H790" s="153"/>
      <c r="I790" s="153">
        <v>-24</v>
      </c>
      <c r="J790" s="153">
        <v>-1</v>
      </c>
      <c r="K790" s="153">
        <v>-25</v>
      </c>
      <c r="L790" s="149" t="str">
        <f t="shared" si="60"/>
        <v>454F@</v>
      </c>
      <c r="M790" s="150" t="str">
        <f t="shared" si="61"/>
        <v># OF VTES -RIST FINANCE USAGE BMW NON-CERT</v>
      </c>
      <c r="N790" s="151">
        <f>+IF(OR($Q790=Parametres!$G$2,$Q790=Parametres!$G$3),I790,C790)</f>
        <v>-24</v>
      </c>
      <c r="O790" s="151">
        <f>+IF(OR($Q790=Parametres!$G$2,$Q790=Parametres!$G$3),J790,D790)</f>
        <v>-1</v>
      </c>
      <c r="P790" s="151">
        <f>+IF(OR($Q790=Parametres!$G$2,$Q790=Parametres!$G$3),K790,E790)</f>
        <v>-25</v>
      </c>
      <c r="Q790" s="150" t="str">
        <f t="shared" si="62"/>
        <v>10-Compte compteur</v>
      </c>
      <c r="R790" s="149" t="str">
        <f t="shared" si="63"/>
        <v>450</v>
      </c>
      <c r="S790" s="150">
        <f t="shared" si="64"/>
        <v>0</v>
      </c>
      <c r="T790" s="152" t="str">
        <f>+VLOOKUP($L790,Data_Validation!$A:$D,1,0)</f>
        <v>454F@</v>
      </c>
      <c r="U790" s="152" t="str">
        <f>+VLOOKUP($L790,Data_Validation!$A:$D,3,0)</f>
        <v>Véhicules usagés</v>
      </c>
      <c r="V790" s="152" t="str">
        <f>+VLOOKUP($L790,Data_Validation!$A:$D,4,0)</f>
        <v>Rev. Finances</v>
      </c>
      <c r="W790" s="152" t="str">
        <f>+VLOOKUP($L790,Data_Validation!$A:$E,5,0)</f>
        <v>nb</v>
      </c>
    </row>
    <row r="791" spans="1:24" ht="15.75" customHeight="1">
      <c r="A791" s="664" t="s">
        <v>1960</v>
      </c>
      <c r="B791" s="664" t="s">
        <v>1961</v>
      </c>
      <c r="C791" s="665"/>
      <c r="D791" s="665"/>
      <c r="E791" s="665"/>
      <c r="F791" s="664" t="s">
        <v>4</v>
      </c>
      <c r="G791" s="664" t="s">
        <v>1012</v>
      </c>
      <c r="H791" s="153"/>
      <c r="I791" s="153">
        <v>-57</v>
      </c>
      <c r="J791" s="153">
        <v>-2</v>
      </c>
      <c r="K791" s="153">
        <v>-59</v>
      </c>
      <c r="L791" s="149" t="str">
        <f t="shared" si="60"/>
        <v>454M@</v>
      </c>
      <c r="M791" s="150" t="str">
        <f t="shared" si="61"/>
        <v># OF VTES -MARQUAGE USAGE BMW NON-CERT</v>
      </c>
      <c r="N791" s="151">
        <f>+IF(OR($Q791=Parametres!$G$2,$Q791=Parametres!$G$3),I791,C791)</f>
        <v>-57</v>
      </c>
      <c r="O791" s="151">
        <f>+IF(OR($Q791=Parametres!$G$2,$Q791=Parametres!$G$3),J791,D791)</f>
        <v>-2</v>
      </c>
      <c r="P791" s="151">
        <f>+IF(OR($Q791=Parametres!$G$2,$Q791=Parametres!$G$3),K791,E791)</f>
        <v>-59</v>
      </c>
      <c r="Q791" s="150" t="str">
        <f t="shared" si="62"/>
        <v>10-Compte compteur</v>
      </c>
      <c r="R791" s="149" t="str">
        <f t="shared" si="63"/>
        <v>450</v>
      </c>
      <c r="S791" s="150">
        <f t="shared" si="64"/>
        <v>0</v>
      </c>
      <c r="T791" s="152" t="str">
        <f>+VLOOKUP($L791,Data_Validation!$A:$D,1,0)</f>
        <v>454M@</v>
      </c>
      <c r="U791" s="152" t="str">
        <f>+VLOOKUP($L791,Data_Validation!$A:$D,3,0)</f>
        <v>Véhicules usagés</v>
      </c>
      <c r="V791" s="152" t="str">
        <f>+VLOOKUP($L791,Data_Validation!$A:$D,4,0)</f>
        <v>Rev. Protections</v>
      </c>
      <c r="W791" s="152" t="str">
        <f>+VLOOKUP($L791,Data_Validation!$A:$E,5,0)</f>
        <v>nb</v>
      </c>
    </row>
    <row r="792" spans="1:24" ht="15.75" customHeight="1">
      <c r="A792" s="664" t="s">
        <v>2864</v>
      </c>
      <c r="B792" s="664" t="s">
        <v>2865</v>
      </c>
      <c r="C792" s="665"/>
      <c r="D792" s="665"/>
      <c r="E792" s="665"/>
      <c r="F792" s="664" t="s">
        <v>4</v>
      </c>
      <c r="G792" s="664" t="s">
        <v>1012</v>
      </c>
      <c r="H792" s="153"/>
      <c r="I792" s="153">
        <v>-1</v>
      </c>
      <c r="J792" s="153">
        <v>0</v>
      </c>
      <c r="K792" s="153">
        <v>-1</v>
      </c>
      <c r="L792" s="149" t="str">
        <f t="shared" si="60"/>
        <v>454T@</v>
      </c>
      <c r="M792" s="150" t="str">
        <f t="shared" si="61"/>
        <v># OF VTES -TRAITEMENT OTOPROTEC USAGE BMW NON</v>
      </c>
      <c r="N792" s="151">
        <f>+IF(OR($Q792=Parametres!$G$2,$Q792=Parametres!$G$3),I792,C792)</f>
        <v>-1</v>
      </c>
      <c r="O792" s="151">
        <f>+IF(OR($Q792=Parametres!$G$2,$Q792=Parametres!$G$3),J792,D792)</f>
        <v>0</v>
      </c>
      <c r="P792" s="151">
        <f>+IF(OR($Q792=Parametres!$G$2,$Q792=Parametres!$G$3),K792,E792)</f>
        <v>-1</v>
      </c>
      <c r="Q792" s="150" t="str">
        <f t="shared" si="62"/>
        <v>10-Compte compteur</v>
      </c>
      <c r="R792" s="149" t="str">
        <f t="shared" si="63"/>
        <v>450</v>
      </c>
      <c r="S792" s="150">
        <f t="shared" si="64"/>
        <v>0</v>
      </c>
      <c r="T792" s="152" t="str">
        <f>+VLOOKUP($L792,Data_Validation!$A:$D,1,0)</f>
        <v>454T@</v>
      </c>
      <c r="U792" s="152" t="str">
        <f>+VLOOKUP($L792,Data_Validation!$A:$D,3,0)</f>
        <v>Véhicules usagés</v>
      </c>
      <c r="V792" s="152" t="str">
        <f>+VLOOKUP($L792,Data_Validation!$A:$D,4,0)</f>
        <v>Rev. Autres</v>
      </c>
      <c r="W792" s="152" t="str">
        <f>+VLOOKUP($L792,Data_Validation!$A:$E,5,0)</f>
        <v>nb</v>
      </c>
    </row>
    <row r="793" spans="1:24" ht="15.75" customHeight="1">
      <c r="A793" s="664" t="s">
        <v>1560</v>
      </c>
      <c r="B793" s="664" t="s">
        <v>738</v>
      </c>
      <c r="C793" s="665"/>
      <c r="D793" s="665"/>
      <c r="E793" s="665"/>
      <c r="F793" s="664" t="s">
        <v>4</v>
      </c>
      <c r="G793" s="664" t="s">
        <v>366</v>
      </c>
      <c r="H793" s="153"/>
      <c r="I793" s="153">
        <v>-7</v>
      </c>
      <c r="J793" s="153">
        <v>-1</v>
      </c>
      <c r="K793" s="153">
        <v>-8</v>
      </c>
      <c r="L793" s="149" t="str">
        <f t="shared" si="60"/>
        <v>455@</v>
      </c>
      <c r="M793" s="150" t="str">
        <f t="shared" si="61"/>
        <v># DE VTE - GAR PROLONGE USAGE AUTRE</v>
      </c>
      <c r="N793" s="151">
        <f>+IF(OR($Q793=Parametres!$G$2,$Q793=Parametres!$G$3),I793,C793)</f>
        <v>-7</v>
      </c>
      <c r="O793" s="151">
        <f>+IF(OR($Q793=Parametres!$G$2,$Q793=Parametres!$G$3),J793,D793)</f>
        <v>-1</v>
      </c>
      <c r="P793" s="151">
        <f>+IF(OR($Q793=Parametres!$G$2,$Q793=Parametres!$G$3),K793,E793)</f>
        <v>-8</v>
      </c>
      <c r="Q793" s="150" t="str">
        <f t="shared" si="62"/>
        <v>10-Compte compteur</v>
      </c>
      <c r="R793" s="149" t="str">
        <f t="shared" si="63"/>
        <v>455</v>
      </c>
      <c r="S793" s="150">
        <f t="shared" si="64"/>
        <v>0</v>
      </c>
      <c r="T793" s="152" t="str">
        <f>+VLOOKUP($L793,Data_Validation!$A:$D,1,0)</f>
        <v>455@</v>
      </c>
      <c r="U793" s="152" t="str">
        <f>+VLOOKUP($L793,Data_Validation!$A:$D,3,0)</f>
        <v>Véhicules usagés</v>
      </c>
      <c r="V793" s="152" t="str">
        <f>+VLOOKUP($L793,Data_Validation!$A:$D,4,0)</f>
        <v>Rev. Protections</v>
      </c>
      <c r="W793" s="152" t="str">
        <f>+VLOOKUP($L793,Data_Validation!$A:$E,5,0)</f>
        <v>nb</v>
      </c>
    </row>
    <row r="794" spans="1:24" ht="15.75" customHeight="1">
      <c r="A794" s="664" t="s">
        <v>1561</v>
      </c>
      <c r="B794" s="664" t="s">
        <v>739</v>
      </c>
      <c r="C794" s="665"/>
      <c r="D794" s="665"/>
      <c r="E794" s="665"/>
      <c r="F794" s="664" t="s">
        <v>4</v>
      </c>
      <c r="G794" s="664" t="s">
        <v>450</v>
      </c>
      <c r="H794" s="153"/>
      <c r="I794" s="153">
        <v>-25</v>
      </c>
      <c r="J794" s="153">
        <v>-3</v>
      </c>
      <c r="K794" s="153">
        <v>-28</v>
      </c>
      <c r="L794" s="149" t="str">
        <f t="shared" si="60"/>
        <v>459A@</v>
      </c>
      <c r="M794" s="150" t="str">
        <f t="shared" si="61"/>
        <v># DE VTE - BMW SPA PROGRAMME</v>
      </c>
      <c r="N794" s="151">
        <f>+IF(OR($Q794=Parametres!$G$2,$Q794=Parametres!$G$3),I794,C794)</f>
        <v>-25</v>
      </c>
      <c r="O794" s="151">
        <f>+IF(OR($Q794=Parametres!$G$2,$Q794=Parametres!$G$3),J794,D794)</f>
        <v>-3</v>
      </c>
      <c r="P794" s="151">
        <f>+IF(OR($Q794=Parametres!$G$2,$Q794=Parametres!$G$3),K794,E794)</f>
        <v>-28</v>
      </c>
      <c r="Q794" s="150" t="str">
        <f t="shared" si="62"/>
        <v>10-Compte compteur</v>
      </c>
      <c r="R794" s="149" t="str">
        <f t="shared" si="63"/>
        <v>459A</v>
      </c>
      <c r="S794" s="150">
        <f t="shared" si="64"/>
        <v>0</v>
      </c>
      <c r="T794" s="152" t="str">
        <f>+VLOOKUP($L794,Data_Validation!$A:$D,1,0)</f>
        <v>459A@</v>
      </c>
      <c r="U794" s="152" t="str">
        <f>+VLOOKUP($L794,Data_Validation!$A:$D,3,0)</f>
        <v>service</v>
      </c>
      <c r="V794" s="152" t="str">
        <f>+VLOOKUP($L794,Data_Validation!$A:$D,4,0)</f>
        <v>M/O Esthétique</v>
      </c>
      <c r="W794" s="152" t="str">
        <f>+VLOOKUP($L794,Data_Validation!$A:$E,5,0)</f>
        <v>nb</v>
      </c>
    </row>
    <row r="795" spans="1:24" ht="15.75" customHeight="1">
      <c r="A795" s="664" t="s">
        <v>2195</v>
      </c>
      <c r="B795" s="664" t="s">
        <v>2196</v>
      </c>
      <c r="C795" s="665"/>
      <c r="D795" s="665"/>
      <c r="E795" s="665"/>
      <c r="F795" s="664" t="s">
        <v>4</v>
      </c>
      <c r="G795" s="664" t="s">
        <v>2418</v>
      </c>
      <c r="H795" s="153"/>
      <c r="I795" s="153">
        <v>-558</v>
      </c>
      <c r="J795" s="153">
        <v>-56</v>
      </c>
      <c r="K795" s="153">
        <v>-614</v>
      </c>
      <c r="L795" s="149" t="str">
        <f t="shared" si="60"/>
        <v>459B@</v>
      </c>
      <c r="M795" s="150" t="str">
        <f t="shared" si="61"/>
        <v># OF VTES -VTE - SUBLET ESTHETIQUE</v>
      </c>
      <c r="N795" s="151">
        <f>+IF(OR($Q795=Parametres!$G$2,$Q795=Parametres!$G$3),I795,C795)</f>
        <v>-558</v>
      </c>
      <c r="O795" s="151">
        <f>+IF(OR($Q795=Parametres!$G$2,$Q795=Parametres!$G$3),J795,D795)</f>
        <v>-56</v>
      </c>
      <c r="P795" s="151">
        <f>+IF(OR($Q795=Parametres!$G$2,$Q795=Parametres!$G$3),K795,E795)</f>
        <v>-614</v>
      </c>
      <c r="Q795" s="150" t="str">
        <f t="shared" si="62"/>
        <v>10-Compte compteur</v>
      </c>
      <c r="R795" s="149" t="str">
        <f t="shared" si="63"/>
        <v>459</v>
      </c>
      <c r="S795" s="150">
        <f t="shared" si="64"/>
        <v>0</v>
      </c>
      <c r="T795" s="152" t="str">
        <f>+VLOOKUP($L795,Data_Validation!$A:$D,1,0)</f>
        <v>459B@</v>
      </c>
      <c r="U795" s="152" t="str">
        <f>+VLOOKUP($L795,Data_Validation!$A:$D,3,0)</f>
        <v>Service</v>
      </c>
      <c r="V795" s="152" t="str">
        <f>+VLOOKUP($L795,Data_Validation!$A:$D,4,0)</f>
        <v>M/O Esthétique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1562</v>
      </c>
      <c r="B796" s="664" t="s">
        <v>1563</v>
      </c>
      <c r="C796" s="665"/>
      <c r="D796" s="665"/>
      <c r="E796" s="665"/>
      <c r="F796" s="664" t="s">
        <v>4</v>
      </c>
      <c r="G796" s="664" t="s">
        <v>1116</v>
      </c>
      <c r="H796" s="153"/>
      <c r="I796" s="153">
        <v>-744</v>
      </c>
      <c r="J796" s="153">
        <v>-109</v>
      </c>
      <c r="K796" s="153">
        <v>-853</v>
      </c>
      <c r="L796" s="149" t="str">
        <f t="shared" si="60"/>
        <v>460A@</v>
      </c>
      <c r="M796" s="150" t="str">
        <f t="shared" si="61"/>
        <v># DE VTE - M/O CLIENT BMW AUTO</v>
      </c>
      <c r="N796" s="151">
        <f>+IF(OR($Q796=Parametres!$G$2,$Q796=Parametres!$G$3),I796,C796)</f>
        <v>-744</v>
      </c>
      <c r="O796" s="151">
        <f>+IF(OR($Q796=Parametres!$G$2,$Q796=Parametres!$G$3),J796,D796)</f>
        <v>-109</v>
      </c>
      <c r="P796" s="151">
        <f>+IF(OR($Q796=Parametres!$G$2,$Q796=Parametres!$G$3),K796,E796)</f>
        <v>-853</v>
      </c>
      <c r="Q796" s="150" t="str">
        <f t="shared" si="62"/>
        <v>10-Compte compteur</v>
      </c>
      <c r="R796" s="149" t="str">
        <f t="shared" si="63"/>
        <v>460A</v>
      </c>
      <c r="S796" s="150">
        <f t="shared" si="64"/>
        <v>0</v>
      </c>
      <c r="T796" s="152" t="str">
        <f>+VLOOKUP($L796,Data_Validation!$A:$D,1,0)</f>
        <v>460A@</v>
      </c>
      <c r="U796" s="152" t="str">
        <f>+VLOOKUP($L796,Data_Validation!$A:$D,3,0)</f>
        <v>service</v>
      </c>
      <c r="V796" s="152" t="str">
        <f>+VLOOKUP($L796,Data_Validation!$A:$D,4,0)</f>
        <v>M/O Client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1564</v>
      </c>
      <c r="B797" s="664" t="s">
        <v>740</v>
      </c>
      <c r="C797" s="665"/>
      <c r="D797" s="665"/>
      <c r="E797" s="665"/>
      <c r="F797" s="664" t="s">
        <v>4</v>
      </c>
      <c r="G797" s="664" t="s">
        <v>1116</v>
      </c>
      <c r="H797" s="153"/>
      <c r="I797" s="153">
        <v>-981</v>
      </c>
      <c r="J797" s="153">
        <v>-189</v>
      </c>
      <c r="K797" s="153">
        <v>-1170</v>
      </c>
      <c r="L797" s="149" t="str">
        <f t="shared" si="60"/>
        <v>460B@</v>
      </c>
      <c r="M797" s="150" t="str">
        <f t="shared" si="61"/>
        <v># DE VTE - M/O CLIENT BMW CAMION</v>
      </c>
      <c r="N797" s="151">
        <f>+IF(OR($Q797=Parametres!$G$2,$Q797=Parametres!$G$3),I797,C797)</f>
        <v>-981</v>
      </c>
      <c r="O797" s="151">
        <f>+IF(OR($Q797=Parametres!$G$2,$Q797=Parametres!$G$3),J797,D797)</f>
        <v>-189</v>
      </c>
      <c r="P797" s="151">
        <f>+IF(OR($Q797=Parametres!$G$2,$Q797=Parametres!$G$3),K797,E797)</f>
        <v>-1170</v>
      </c>
      <c r="Q797" s="150" t="str">
        <f t="shared" si="62"/>
        <v>10-Compte compteur</v>
      </c>
      <c r="R797" s="149" t="str">
        <f t="shared" si="63"/>
        <v>460A</v>
      </c>
      <c r="S797" s="150">
        <f t="shared" si="64"/>
        <v>0</v>
      </c>
      <c r="T797" s="152" t="str">
        <f>+VLOOKUP($L797,Data_Validation!$A:$D,1,0)</f>
        <v>460B@</v>
      </c>
      <c r="U797" s="152" t="str">
        <f>+VLOOKUP($L797,Data_Validation!$A:$D,3,0)</f>
        <v>service</v>
      </c>
      <c r="V797" s="152" t="str">
        <f>+VLOOKUP($L797,Data_Validation!$A:$D,4,0)</f>
        <v>M/O Client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1047</v>
      </c>
      <c r="B798" s="664" t="s">
        <v>741</v>
      </c>
      <c r="C798" s="665"/>
      <c r="D798" s="665"/>
      <c r="E798" s="665"/>
      <c r="F798" s="664" t="s">
        <v>4</v>
      </c>
      <c r="G798" s="664" t="s">
        <v>1116</v>
      </c>
      <c r="H798" s="153"/>
      <c r="I798" s="153">
        <v>-138</v>
      </c>
      <c r="J798" s="153">
        <v>-36</v>
      </c>
      <c r="K798" s="153">
        <v>-174</v>
      </c>
      <c r="L798" s="149" t="str">
        <f t="shared" si="60"/>
        <v>460D@</v>
      </c>
      <c r="M798" s="150" t="str">
        <f t="shared" si="61"/>
        <v># DE VTE - M/O CLIENT BMW I</v>
      </c>
      <c r="N798" s="151">
        <f>+IF(OR($Q798=Parametres!$G$2,$Q798=Parametres!$G$3),I798,C798)</f>
        <v>-138</v>
      </c>
      <c r="O798" s="151">
        <f>+IF(OR($Q798=Parametres!$G$2,$Q798=Parametres!$G$3),J798,D798)</f>
        <v>-36</v>
      </c>
      <c r="P798" s="151">
        <f>+IF(OR($Q798=Parametres!$G$2,$Q798=Parametres!$G$3),K798,E798)</f>
        <v>-174</v>
      </c>
      <c r="Q798" s="150" t="str">
        <f t="shared" si="62"/>
        <v>10-Compte compteur</v>
      </c>
      <c r="R798" s="149" t="str">
        <f t="shared" si="63"/>
        <v>460A</v>
      </c>
      <c r="S798" s="150">
        <f t="shared" si="64"/>
        <v>0</v>
      </c>
      <c r="T798" s="152" t="str">
        <f>+VLOOKUP($L798,Data_Validation!$A:$D,1,0)</f>
        <v>460D@</v>
      </c>
      <c r="U798" s="152" t="str">
        <f>+VLOOKUP($L798,Data_Validation!$A:$D,3,0)</f>
        <v>service</v>
      </c>
      <c r="V798" s="152" t="str">
        <f>+VLOOKUP($L798,Data_Validation!$A:$D,4,0)</f>
        <v>M/O Client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1565</v>
      </c>
      <c r="B799" s="664" t="s">
        <v>1566</v>
      </c>
      <c r="C799" s="665"/>
      <c r="D799" s="665"/>
      <c r="E799" s="665"/>
      <c r="F799" s="664" t="s">
        <v>4</v>
      </c>
      <c r="G799" s="664" t="s">
        <v>1110</v>
      </c>
      <c r="H799" s="153"/>
      <c r="I799" s="153">
        <v>-285</v>
      </c>
      <c r="J799" s="153">
        <v>-11</v>
      </c>
      <c r="K799" s="153">
        <v>-296</v>
      </c>
      <c r="L799" s="149" t="str">
        <f t="shared" si="60"/>
        <v>461A@</v>
      </c>
      <c r="M799" s="150" t="str">
        <f t="shared" si="61"/>
        <v># DE VTE - M/O GARANTIE BMW AUTO</v>
      </c>
      <c r="N799" s="151">
        <f>+IF(OR($Q799=Parametres!$G$2,$Q799=Parametres!$G$3),I799,C799)</f>
        <v>-285</v>
      </c>
      <c r="O799" s="151">
        <f>+IF(OR($Q799=Parametres!$G$2,$Q799=Parametres!$G$3),J799,D799)</f>
        <v>-11</v>
      </c>
      <c r="P799" s="151">
        <f>+IF(OR($Q799=Parametres!$G$2,$Q799=Parametres!$G$3),K799,E799)</f>
        <v>-296</v>
      </c>
      <c r="Q799" s="150" t="str">
        <f t="shared" si="62"/>
        <v>10-Compte compteur</v>
      </c>
      <c r="R799" s="149" t="str">
        <f t="shared" si="63"/>
        <v>461A</v>
      </c>
      <c r="S799" s="150">
        <f t="shared" si="64"/>
        <v>0</v>
      </c>
      <c r="T799" s="152" t="str">
        <f>+VLOOKUP($L799,Data_Validation!$A:$D,1,0)</f>
        <v>461A@</v>
      </c>
      <c r="U799" s="152" t="str">
        <f>+VLOOKUP($L799,Data_Validation!$A:$D,3,0)</f>
        <v>service</v>
      </c>
      <c r="V799" s="152" t="str">
        <f>+VLOOKUP($L799,Data_Validation!$A:$D,4,0)</f>
        <v>M/O Garantie</v>
      </c>
      <c r="W799" s="152" t="str">
        <f>+VLOOKUP($L799,Data_Validation!$A:$E,5,0)</f>
        <v>nb</v>
      </c>
    </row>
    <row r="800" spans="1:24" ht="15.75" customHeight="1">
      <c r="A800" s="664" t="s">
        <v>1567</v>
      </c>
      <c r="B800" s="664" t="s">
        <v>742</v>
      </c>
      <c r="C800" s="665"/>
      <c r="D800" s="665"/>
      <c r="E800" s="665"/>
      <c r="F800" s="664" t="s">
        <v>4</v>
      </c>
      <c r="G800" s="664" t="s">
        <v>1110</v>
      </c>
      <c r="H800" s="153"/>
      <c r="I800" s="153">
        <v>-371</v>
      </c>
      <c r="J800" s="153">
        <v>-36</v>
      </c>
      <c r="K800" s="153">
        <v>-407</v>
      </c>
      <c r="L800" s="149" t="str">
        <f t="shared" si="60"/>
        <v>461B@</v>
      </c>
      <c r="M800" s="150" t="str">
        <f t="shared" si="61"/>
        <v># DE VTE - M/O GARANTIE BMW CAMION</v>
      </c>
      <c r="N800" s="151">
        <f>+IF(OR($Q800=Parametres!$G$2,$Q800=Parametres!$G$3),I800,C800)</f>
        <v>-371</v>
      </c>
      <c r="O800" s="151">
        <f>+IF(OR($Q800=Parametres!$G$2,$Q800=Parametres!$G$3),J800,D800)</f>
        <v>-36</v>
      </c>
      <c r="P800" s="151">
        <f>+IF(OR($Q800=Parametres!$G$2,$Q800=Parametres!$G$3),K800,E800)</f>
        <v>-407</v>
      </c>
      <c r="Q800" s="150" t="str">
        <f t="shared" si="62"/>
        <v>10-Compte compteur</v>
      </c>
      <c r="R800" s="149" t="str">
        <f t="shared" si="63"/>
        <v>461A</v>
      </c>
      <c r="S800" s="150">
        <f t="shared" si="64"/>
        <v>0</v>
      </c>
      <c r="T800" s="152" t="str">
        <f>+VLOOKUP($L800,Data_Validation!$A:$D,1,0)</f>
        <v>461B@</v>
      </c>
      <c r="U800" s="152" t="str">
        <f>+VLOOKUP($L800,Data_Validation!$A:$D,3,0)</f>
        <v>service</v>
      </c>
      <c r="V800" s="152" t="str">
        <f>+VLOOKUP($L800,Data_Validation!$A:$D,4,0)</f>
        <v>M/O Garantie</v>
      </c>
      <c r="W800" s="152" t="str">
        <f>+VLOOKUP($L800,Data_Validation!$A:$E,5,0)</f>
        <v>nb</v>
      </c>
    </row>
    <row r="801" spans="1:23" ht="15.75" customHeight="1">
      <c r="A801" s="664" t="s">
        <v>1568</v>
      </c>
      <c r="B801" s="664" t="s">
        <v>743</v>
      </c>
      <c r="C801" s="665"/>
      <c r="D801" s="665"/>
      <c r="E801" s="665"/>
      <c r="F801" s="664" t="s">
        <v>4</v>
      </c>
      <c r="G801" s="664" t="s">
        <v>441</v>
      </c>
      <c r="H801" s="153"/>
      <c r="I801" s="153">
        <v>-289</v>
      </c>
      <c r="J801" s="153">
        <v>-33</v>
      </c>
      <c r="K801" s="153">
        <v>-322</v>
      </c>
      <c r="L801" s="149" t="str">
        <f t="shared" si="60"/>
        <v>461D@</v>
      </c>
      <c r="M801" s="150" t="str">
        <f t="shared" si="61"/>
        <v># DE VTE - M/O ENTRETIEN BMW AUTO</v>
      </c>
      <c r="N801" s="151">
        <f>+IF(OR($Q801=Parametres!$G$2,$Q801=Parametres!$G$3),I801,C801)</f>
        <v>-289</v>
      </c>
      <c r="O801" s="151">
        <f>+IF(OR($Q801=Parametres!$G$2,$Q801=Parametres!$G$3),J801,D801)</f>
        <v>-33</v>
      </c>
      <c r="P801" s="151">
        <f>+IF(OR($Q801=Parametres!$G$2,$Q801=Parametres!$G$3),K801,E801)</f>
        <v>-322</v>
      </c>
      <c r="Q801" s="150" t="str">
        <f t="shared" si="62"/>
        <v>10-Compte compteur</v>
      </c>
      <c r="R801" s="149" t="str">
        <f t="shared" si="63"/>
        <v>461D</v>
      </c>
      <c r="S801" s="150">
        <f t="shared" si="64"/>
        <v>0</v>
      </c>
      <c r="T801" s="152" t="str">
        <f>+VLOOKUP($L801,Data_Validation!$A:$D,1,0)</f>
        <v>461D@</v>
      </c>
      <c r="U801" s="152" t="str">
        <f>+VLOOKUP($L801,Data_Validation!$A:$D,3,0)</f>
        <v>service</v>
      </c>
      <c r="V801" s="152" t="str">
        <f>+VLOOKUP($L801,Data_Validation!$A:$D,4,0)</f>
        <v>M/O Garantie</v>
      </c>
      <c r="W801" s="152" t="str">
        <f>+VLOOKUP($L801,Data_Validation!$A:$E,5,0)</f>
        <v>nb</v>
      </c>
    </row>
    <row r="802" spans="1:23" ht="15.75" customHeight="1">
      <c r="A802" s="664" t="s">
        <v>1569</v>
      </c>
      <c r="B802" s="664" t="s">
        <v>744</v>
      </c>
      <c r="C802" s="665"/>
      <c r="D802" s="665"/>
      <c r="E802" s="665"/>
      <c r="F802" s="664" t="s">
        <v>4</v>
      </c>
      <c r="G802" s="664" t="s">
        <v>441</v>
      </c>
      <c r="H802" s="153"/>
      <c r="I802" s="153">
        <v>-573</v>
      </c>
      <c r="J802" s="153">
        <v>-68</v>
      </c>
      <c r="K802" s="153">
        <v>-641</v>
      </c>
      <c r="L802" s="149" t="str">
        <f t="shared" si="60"/>
        <v>461E@</v>
      </c>
      <c r="M802" s="150" t="str">
        <f t="shared" si="61"/>
        <v># DE VTE - M/O ENTRETIEN BMW CAMION</v>
      </c>
      <c r="N802" s="151">
        <f>+IF(OR($Q802=Parametres!$G$2,$Q802=Parametres!$G$3),I802,C802)</f>
        <v>-573</v>
      </c>
      <c r="O802" s="151">
        <f>+IF(OR($Q802=Parametres!$G$2,$Q802=Parametres!$G$3),J802,D802)</f>
        <v>-68</v>
      </c>
      <c r="P802" s="151">
        <f>+IF(OR($Q802=Parametres!$G$2,$Q802=Parametres!$G$3),K802,E802)</f>
        <v>-641</v>
      </c>
      <c r="Q802" s="150" t="str">
        <f t="shared" si="62"/>
        <v>10-Compte compteur</v>
      </c>
      <c r="R802" s="149" t="str">
        <f t="shared" si="63"/>
        <v>461D</v>
      </c>
      <c r="S802" s="150">
        <f t="shared" si="64"/>
        <v>0</v>
      </c>
      <c r="T802" s="152" t="str">
        <f>+VLOOKUP($L802,Data_Validation!$A:$D,1,0)</f>
        <v>461E@</v>
      </c>
      <c r="U802" s="152" t="str">
        <f>+VLOOKUP($L802,Data_Validation!$A:$D,3,0)</f>
        <v>service</v>
      </c>
      <c r="V802" s="152" t="str">
        <f>+VLOOKUP($L802,Data_Validation!$A:$D,4,0)</f>
        <v>M/O Garantie</v>
      </c>
      <c r="W802" s="152" t="str">
        <f>+VLOOKUP($L802,Data_Validation!$A:$E,5,0)</f>
        <v>nb</v>
      </c>
    </row>
    <row r="803" spans="1:23" ht="15.75" customHeight="1">
      <c r="A803" s="664" t="s">
        <v>1570</v>
      </c>
      <c r="B803" s="664" t="s">
        <v>745</v>
      </c>
      <c r="C803" s="665"/>
      <c r="D803" s="665"/>
      <c r="E803" s="665"/>
      <c r="F803" s="664" t="s">
        <v>4</v>
      </c>
      <c r="G803" s="664" t="s">
        <v>441</v>
      </c>
      <c r="H803" s="153"/>
      <c r="I803" s="153">
        <v>-33</v>
      </c>
      <c r="J803" s="153">
        <v>-9</v>
      </c>
      <c r="K803" s="153">
        <v>-42</v>
      </c>
      <c r="L803" s="149" t="str">
        <f t="shared" si="60"/>
        <v>461G@</v>
      </c>
      <c r="M803" s="150" t="str">
        <f t="shared" si="61"/>
        <v># DE VTE - M/O ENTRENTIEN BMW I</v>
      </c>
      <c r="N803" s="151">
        <f>+IF(OR($Q803=Parametres!$G$2,$Q803=Parametres!$G$3),I803,C803)</f>
        <v>-33</v>
      </c>
      <c r="O803" s="151">
        <f>+IF(OR($Q803=Parametres!$G$2,$Q803=Parametres!$G$3),J803,D803)</f>
        <v>-9</v>
      </c>
      <c r="P803" s="151">
        <f>+IF(OR($Q803=Parametres!$G$2,$Q803=Parametres!$G$3),K803,E803)</f>
        <v>-42</v>
      </c>
      <c r="Q803" s="150" t="str">
        <f t="shared" si="62"/>
        <v>10-Compte compteur</v>
      </c>
      <c r="R803" s="149" t="str">
        <f t="shared" si="63"/>
        <v>461D</v>
      </c>
      <c r="S803" s="150">
        <f t="shared" si="64"/>
        <v>0</v>
      </c>
      <c r="T803" s="152" t="str">
        <f>+VLOOKUP($L803,Data_Validation!$A:$D,1,0)</f>
        <v>461G@</v>
      </c>
      <c r="U803" s="152" t="str">
        <f>+VLOOKUP($L803,Data_Validation!$A:$D,3,0)</f>
        <v>service</v>
      </c>
      <c r="V803" s="152" t="str">
        <f>+VLOOKUP($L803,Data_Validation!$A:$D,4,0)</f>
        <v>M/O Garantie</v>
      </c>
      <c r="W803" s="152" t="str">
        <f>+VLOOKUP($L803,Data_Validation!$A:$E,5,0)</f>
        <v>nb</v>
      </c>
    </row>
    <row r="804" spans="1:23" ht="15.75" customHeight="1">
      <c r="A804" s="664" t="s">
        <v>1571</v>
      </c>
      <c r="B804" s="664" t="s">
        <v>746</v>
      </c>
      <c r="C804" s="665"/>
      <c r="D804" s="665"/>
      <c r="E804" s="665"/>
      <c r="F804" s="664" t="s">
        <v>4</v>
      </c>
      <c r="G804" s="664" t="s">
        <v>1110</v>
      </c>
      <c r="H804" s="153"/>
      <c r="I804" s="153">
        <v>-91</v>
      </c>
      <c r="J804" s="153">
        <v>-11</v>
      </c>
      <c r="K804" s="153">
        <v>-102</v>
      </c>
      <c r="L804" s="149" t="str">
        <f t="shared" si="60"/>
        <v>461H@</v>
      </c>
      <c r="M804" s="150" t="str">
        <f t="shared" si="61"/>
        <v># DE VTE - M/O GARANTIE BMW</v>
      </c>
      <c r="N804" s="151">
        <f>+IF(OR($Q804=Parametres!$G$2,$Q804=Parametres!$G$3),I804,C804)</f>
        <v>-91</v>
      </c>
      <c r="O804" s="151">
        <f>+IF(OR($Q804=Parametres!$G$2,$Q804=Parametres!$G$3),J804,D804)</f>
        <v>-11</v>
      </c>
      <c r="P804" s="151">
        <f>+IF(OR($Q804=Parametres!$G$2,$Q804=Parametres!$G$3),K804,E804)</f>
        <v>-102</v>
      </c>
      <c r="Q804" s="150" t="str">
        <f t="shared" si="62"/>
        <v>10-Compte compteur</v>
      </c>
      <c r="R804" s="149" t="str">
        <f t="shared" si="63"/>
        <v>461A</v>
      </c>
      <c r="S804" s="150">
        <f t="shared" si="64"/>
        <v>0</v>
      </c>
      <c r="T804" s="152" t="str">
        <f>+VLOOKUP($L804,Data_Validation!$A:$D,1,0)</f>
        <v>461H@</v>
      </c>
      <c r="U804" s="152" t="str">
        <f>+VLOOKUP($L804,Data_Validation!$A:$D,3,0)</f>
        <v>service</v>
      </c>
      <c r="V804" s="152" t="str">
        <f>+VLOOKUP($L804,Data_Validation!$A:$D,4,0)</f>
        <v>M/O Garantie</v>
      </c>
      <c r="W804" s="152" t="str">
        <f>+VLOOKUP($L804,Data_Validation!$A:$E,5,0)</f>
        <v>nb</v>
      </c>
    </row>
    <row r="805" spans="1:23" ht="15.75" customHeight="1">
      <c r="A805" s="664" t="s">
        <v>1572</v>
      </c>
      <c r="B805" s="664" t="s">
        <v>1573</v>
      </c>
      <c r="C805" s="665"/>
      <c r="D805" s="665"/>
      <c r="E805" s="665"/>
      <c r="F805" s="664" t="s">
        <v>4</v>
      </c>
      <c r="G805" s="664" t="s">
        <v>1139</v>
      </c>
      <c r="H805" s="153"/>
      <c r="I805" s="153">
        <v>-389</v>
      </c>
      <c r="J805" s="153">
        <v>-36</v>
      </c>
      <c r="K805" s="153">
        <v>-425</v>
      </c>
      <c r="L805" s="149" t="str">
        <f t="shared" si="60"/>
        <v>462A@</v>
      </c>
      <c r="M805" s="150" t="str">
        <f t="shared" si="61"/>
        <v># DE VTE - M/O INTERNE BMW AUTO</v>
      </c>
      <c r="N805" s="151">
        <f>+IF(OR($Q805=Parametres!$G$2,$Q805=Parametres!$G$3),I805,C805)</f>
        <v>-389</v>
      </c>
      <c r="O805" s="151">
        <f>+IF(OR($Q805=Parametres!$G$2,$Q805=Parametres!$G$3),J805,D805)</f>
        <v>-36</v>
      </c>
      <c r="P805" s="151">
        <f>+IF(OR($Q805=Parametres!$G$2,$Q805=Parametres!$G$3),K805,E805)</f>
        <v>-425</v>
      </c>
      <c r="Q805" s="150" t="str">
        <f t="shared" si="62"/>
        <v>10-Compte compteur</v>
      </c>
      <c r="R805" s="149" t="str">
        <f t="shared" si="63"/>
        <v>462A</v>
      </c>
      <c r="S805" s="150">
        <f t="shared" si="64"/>
        <v>0</v>
      </c>
      <c r="T805" s="152" t="str">
        <f>+VLOOKUP($L805,Data_Validation!$A:$D,1,0)</f>
        <v>462A@</v>
      </c>
      <c r="U805" s="152" t="str">
        <f>+VLOOKUP($L805,Data_Validation!$A:$D,3,0)</f>
        <v>service</v>
      </c>
      <c r="V805" s="152" t="str">
        <f>+VLOOKUP($L805,Data_Validation!$A:$D,4,0)</f>
        <v>M/O Interne</v>
      </c>
      <c r="W805" s="152" t="str">
        <f>+VLOOKUP($L805,Data_Validation!$A:$E,5,0)</f>
        <v>nb</v>
      </c>
    </row>
    <row r="806" spans="1:23" ht="15.75" customHeight="1">
      <c r="A806" s="664" t="s">
        <v>1574</v>
      </c>
      <c r="B806" s="664" t="s">
        <v>747</v>
      </c>
      <c r="C806" s="665"/>
      <c r="D806" s="665"/>
      <c r="E806" s="665"/>
      <c r="F806" s="664" t="s">
        <v>4</v>
      </c>
      <c r="G806" s="664" t="s">
        <v>1139</v>
      </c>
      <c r="H806" s="153"/>
      <c r="I806" s="153">
        <v>-497</v>
      </c>
      <c r="J806" s="153">
        <v>-64</v>
      </c>
      <c r="K806" s="153">
        <v>-561</v>
      </c>
      <c r="L806" s="149" t="str">
        <f t="shared" si="60"/>
        <v>462B@</v>
      </c>
      <c r="M806" s="150" t="str">
        <f t="shared" si="61"/>
        <v># DE VTE - M/O INTERNE BMW CAMION</v>
      </c>
      <c r="N806" s="151">
        <f>+IF(OR($Q806=Parametres!$G$2,$Q806=Parametres!$G$3),I806,C806)</f>
        <v>-497</v>
      </c>
      <c r="O806" s="151">
        <f>+IF(OR($Q806=Parametres!$G$2,$Q806=Parametres!$G$3),J806,D806)</f>
        <v>-64</v>
      </c>
      <c r="P806" s="151">
        <f>+IF(OR($Q806=Parametres!$G$2,$Q806=Parametres!$G$3),K806,E806)</f>
        <v>-561</v>
      </c>
      <c r="Q806" s="150" t="str">
        <f t="shared" si="62"/>
        <v>10-Compte compteur</v>
      </c>
      <c r="R806" s="149" t="str">
        <f t="shared" si="63"/>
        <v>462A</v>
      </c>
      <c r="S806" s="150">
        <f t="shared" si="64"/>
        <v>0</v>
      </c>
      <c r="T806" s="152" t="str">
        <f>+VLOOKUP($L806,Data_Validation!$A:$D,1,0)</f>
        <v>462B@</v>
      </c>
      <c r="U806" s="152" t="str">
        <f>+VLOOKUP($L806,Data_Validation!$A:$D,3,0)</f>
        <v>service</v>
      </c>
      <c r="V806" s="152" t="str">
        <f>+VLOOKUP($L806,Data_Validation!$A:$D,4,0)</f>
        <v>M/O Interne</v>
      </c>
      <c r="W806" s="152" t="str">
        <f>+VLOOKUP($L806,Data_Validation!$A:$E,5,0)</f>
        <v>nb</v>
      </c>
    </row>
    <row r="807" spans="1:23" ht="15.75" customHeight="1">
      <c r="A807" s="664" t="s">
        <v>1048</v>
      </c>
      <c r="B807" s="664" t="s">
        <v>748</v>
      </c>
      <c r="C807" s="665"/>
      <c r="D807" s="665"/>
      <c r="E807" s="665"/>
      <c r="F807" s="664" t="s">
        <v>4</v>
      </c>
      <c r="G807" s="664" t="s">
        <v>1139</v>
      </c>
      <c r="H807" s="153"/>
      <c r="I807" s="153">
        <v>-118</v>
      </c>
      <c r="J807" s="153">
        <v>-16</v>
      </c>
      <c r="K807" s="153">
        <v>-134</v>
      </c>
      <c r="L807" s="149" t="str">
        <f t="shared" si="60"/>
        <v>462D@</v>
      </c>
      <c r="M807" s="150" t="str">
        <f t="shared" si="61"/>
        <v># DE VTE - M/O INTERNE BMW I</v>
      </c>
      <c r="N807" s="151">
        <f>+IF(OR($Q807=Parametres!$G$2,$Q807=Parametres!$G$3),I807,C807)</f>
        <v>-118</v>
      </c>
      <c r="O807" s="151">
        <f>+IF(OR($Q807=Parametres!$G$2,$Q807=Parametres!$G$3),J807,D807)</f>
        <v>-16</v>
      </c>
      <c r="P807" s="151">
        <f>+IF(OR($Q807=Parametres!$G$2,$Q807=Parametres!$G$3),K807,E807)</f>
        <v>-134</v>
      </c>
      <c r="Q807" s="150" t="str">
        <f t="shared" si="62"/>
        <v>10-Compte compteur</v>
      </c>
      <c r="R807" s="149" t="str">
        <f t="shared" si="63"/>
        <v>462A</v>
      </c>
      <c r="S807" s="150">
        <f t="shared" si="64"/>
        <v>0</v>
      </c>
      <c r="T807" s="152" t="str">
        <f>+VLOOKUP($L807,Data_Validation!$A:$D,1,0)</f>
        <v>462D@</v>
      </c>
      <c r="U807" s="152" t="str">
        <f>+VLOOKUP($L807,Data_Validation!$A:$D,3,0)</f>
        <v>service</v>
      </c>
      <c r="V807" s="152" t="str">
        <f>+VLOOKUP($L807,Data_Validation!$A:$D,4,0)</f>
        <v>M/O Interne</v>
      </c>
      <c r="W807" s="152" t="str">
        <f>+VLOOKUP($L807,Data_Validation!$A:$E,5,0)</f>
        <v>nb</v>
      </c>
    </row>
    <row r="808" spans="1:23" ht="15.75" customHeight="1">
      <c r="A808" s="664" t="s">
        <v>2185</v>
      </c>
      <c r="B808" s="664" t="s">
        <v>2186</v>
      </c>
      <c r="C808" s="665"/>
      <c r="D808" s="665"/>
      <c r="E808" s="665"/>
      <c r="F808" s="664" t="s">
        <v>4</v>
      </c>
      <c r="G808" s="664" t="s">
        <v>1139</v>
      </c>
      <c r="H808" s="153"/>
      <c r="I808" s="153">
        <v>-287</v>
      </c>
      <c r="J808" s="153">
        <v>-27</v>
      </c>
      <c r="K808" s="153">
        <v>-314</v>
      </c>
      <c r="L808" s="149" t="str">
        <f t="shared" si="60"/>
        <v>462L@</v>
      </c>
      <c r="M808" s="150" t="str">
        <f t="shared" si="61"/>
        <v># OF VTES -SUBLET INTERNE AUTO</v>
      </c>
      <c r="N808" s="151">
        <f>+IF(OR($Q808=Parametres!$G$2,$Q808=Parametres!$G$3),I808,C808)</f>
        <v>-287</v>
      </c>
      <c r="O808" s="151">
        <f>+IF(OR($Q808=Parametres!$G$2,$Q808=Parametres!$G$3),J808,D808)</f>
        <v>-27</v>
      </c>
      <c r="P808" s="151">
        <f>+IF(OR($Q808=Parametres!$G$2,$Q808=Parametres!$G$3),K808,E808)</f>
        <v>-314</v>
      </c>
      <c r="Q808" s="150" t="str">
        <f t="shared" si="62"/>
        <v>10-Compte compteur</v>
      </c>
      <c r="R808" s="149" t="str">
        <f t="shared" si="63"/>
        <v>462A</v>
      </c>
      <c r="S808" s="150">
        <f t="shared" si="64"/>
        <v>0</v>
      </c>
      <c r="T808" s="152" t="str">
        <f>+VLOOKUP($L808,Data_Validation!$A:$D,1,0)</f>
        <v>462L@</v>
      </c>
      <c r="U808" s="152" t="str">
        <f>+VLOOKUP($L808,Data_Validation!$A:$D,3,0)</f>
        <v>Service</v>
      </c>
      <c r="V808" s="152" t="str">
        <f>+VLOOKUP($L808,Data_Validation!$A:$D,4,0)</f>
        <v>M/O Interne</v>
      </c>
      <c r="W808" s="152" t="str">
        <f>+VLOOKUP($L808,Data_Validation!$A:$E,5,0)</f>
        <v>NB</v>
      </c>
    </row>
    <row r="809" spans="1:23" ht="15.75" customHeight="1">
      <c r="A809" s="664" t="s">
        <v>2187</v>
      </c>
      <c r="B809" s="664" t="s">
        <v>2188</v>
      </c>
      <c r="C809" s="665"/>
      <c r="D809" s="665"/>
      <c r="E809" s="665"/>
      <c r="F809" s="664" t="s">
        <v>4</v>
      </c>
      <c r="G809" s="664" t="s">
        <v>1139</v>
      </c>
      <c r="H809" s="153"/>
      <c r="I809" s="153">
        <v>-287</v>
      </c>
      <c r="J809" s="153">
        <v>-43</v>
      </c>
      <c r="K809" s="153">
        <v>-330</v>
      </c>
      <c r="L809" s="149" t="str">
        <f t="shared" si="60"/>
        <v>462M@</v>
      </c>
      <c r="M809" s="150" t="str">
        <f t="shared" si="61"/>
        <v># OF VTES -SUBLET INTERNE CAMION</v>
      </c>
      <c r="N809" s="151">
        <f>+IF(OR($Q809=Parametres!$G$2,$Q809=Parametres!$G$3),I809,C809)</f>
        <v>-287</v>
      </c>
      <c r="O809" s="151">
        <f>+IF(OR($Q809=Parametres!$G$2,$Q809=Parametres!$G$3),J809,D809)</f>
        <v>-43</v>
      </c>
      <c r="P809" s="151">
        <f>+IF(OR($Q809=Parametres!$G$2,$Q809=Parametres!$G$3),K809,E809)</f>
        <v>-330</v>
      </c>
      <c r="Q809" s="150" t="str">
        <f t="shared" si="62"/>
        <v>10-Compte compteur</v>
      </c>
      <c r="R809" s="149" t="str">
        <f t="shared" si="63"/>
        <v>462A</v>
      </c>
      <c r="S809" s="150">
        <f t="shared" si="64"/>
        <v>0</v>
      </c>
      <c r="T809" s="152" t="str">
        <f>+VLOOKUP($L809,Data_Validation!$A:$D,1,0)</f>
        <v>462M@</v>
      </c>
      <c r="U809" s="152" t="str">
        <f>+VLOOKUP($L809,Data_Validation!$A:$D,3,0)</f>
        <v>Service</v>
      </c>
      <c r="V809" s="152" t="str">
        <f>+VLOOKUP($L809,Data_Validation!$A:$D,4,0)</f>
        <v>M/O Interne</v>
      </c>
      <c r="W809" s="152" t="str">
        <f>+VLOOKUP($L809,Data_Validation!$A:$E,5,0)</f>
        <v>NB</v>
      </c>
    </row>
    <row r="810" spans="1:23" ht="15.75" customHeight="1">
      <c r="A810" s="664" t="s">
        <v>2246</v>
      </c>
      <c r="B810" s="664" t="s">
        <v>2245</v>
      </c>
      <c r="C810" s="665"/>
      <c r="D810" s="665"/>
      <c r="E810" s="665"/>
      <c r="F810" s="664" t="s">
        <v>4</v>
      </c>
      <c r="G810" s="664" t="s">
        <v>1139</v>
      </c>
      <c r="H810" s="153"/>
      <c r="I810" s="153">
        <v>-75</v>
      </c>
      <c r="J810" s="153">
        <v>-7</v>
      </c>
      <c r="K810" s="153">
        <v>-82</v>
      </c>
      <c r="L810" s="149" t="str">
        <f t="shared" si="60"/>
        <v>462N@</v>
      </c>
      <c r="M810" s="150" t="str">
        <f t="shared" si="61"/>
        <v># OF VTES -SUBLET INTERNE ESTHETIQUE</v>
      </c>
      <c r="N810" s="151">
        <f>+IF(OR($Q810=Parametres!$G$2,$Q810=Parametres!$G$3),I810,C810)</f>
        <v>-75</v>
      </c>
      <c r="O810" s="151">
        <f>+IF(OR($Q810=Parametres!$G$2,$Q810=Parametres!$G$3),J810,D810)</f>
        <v>-7</v>
      </c>
      <c r="P810" s="151">
        <f>+IF(OR($Q810=Parametres!$G$2,$Q810=Parametres!$G$3),K810,E810)</f>
        <v>-82</v>
      </c>
      <c r="Q810" s="150" t="str">
        <f t="shared" si="62"/>
        <v>10-Compte compteur</v>
      </c>
      <c r="R810" s="149" t="str">
        <f t="shared" si="63"/>
        <v>462A</v>
      </c>
      <c r="S810" s="150">
        <f t="shared" si="64"/>
        <v>0</v>
      </c>
      <c r="T810" s="152" t="str">
        <f>+VLOOKUP($L810,Data_Validation!$A:$D,1,0)</f>
        <v>462N@</v>
      </c>
      <c r="U810" s="152" t="str">
        <f>+VLOOKUP($L810,Data_Validation!$A:$D,3,0)</f>
        <v>Service</v>
      </c>
      <c r="V810" s="152" t="str">
        <f>+VLOOKUP($L810,Data_Validation!$A:$D,4,0)</f>
        <v>M/O Interne</v>
      </c>
      <c r="W810" s="152" t="str">
        <f>+VLOOKUP($L810,Data_Validation!$A:$E,5,0)</f>
        <v>nb</v>
      </c>
    </row>
    <row r="811" spans="1:23" ht="15.75" customHeight="1">
      <c r="A811" s="664" t="s">
        <v>1575</v>
      </c>
      <c r="B811" s="664" t="s">
        <v>1576</v>
      </c>
      <c r="C811" s="665"/>
      <c r="D811" s="665"/>
      <c r="E811" s="665"/>
      <c r="F811" s="664" t="s">
        <v>4</v>
      </c>
      <c r="G811" s="664" t="s">
        <v>1143</v>
      </c>
      <c r="H811" s="153"/>
      <c r="I811" s="153">
        <v>-33</v>
      </c>
      <c r="J811" s="153">
        <v>-1</v>
      </c>
      <c r="K811" s="153">
        <v>-34</v>
      </c>
      <c r="L811" s="149" t="str">
        <f t="shared" si="60"/>
        <v>463A@</v>
      </c>
      <c r="M811" s="150" t="str">
        <f t="shared" si="61"/>
        <v># DE VTE - SOUS-TRAITANCE BMW AUTO</v>
      </c>
      <c r="N811" s="151">
        <f>+IF(OR($Q811=Parametres!$G$2,$Q811=Parametres!$G$3),I811,C811)</f>
        <v>-33</v>
      </c>
      <c r="O811" s="151">
        <f>+IF(OR($Q811=Parametres!$G$2,$Q811=Parametres!$G$3),J811,D811)</f>
        <v>-1</v>
      </c>
      <c r="P811" s="151">
        <f>+IF(OR($Q811=Parametres!$G$2,$Q811=Parametres!$G$3),K811,E811)</f>
        <v>-34</v>
      </c>
      <c r="Q811" s="150" t="str">
        <f t="shared" si="62"/>
        <v>10-Compte compteur</v>
      </c>
      <c r="R811" s="149" t="str">
        <f t="shared" si="63"/>
        <v>463A</v>
      </c>
      <c r="S811" s="150">
        <f t="shared" si="64"/>
        <v>0</v>
      </c>
      <c r="T811" s="152" t="str">
        <f>+VLOOKUP($L811,Data_Validation!$A:$D,1,0)</f>
        <v>463A@</v>
      </c>
      <c r="U811" s="152" t="str">
        <f>+VLOOKUP($L811,Data_Validation!$A:$D,3,0)</f>
        <v>service</v>
      </c>
      <c r="V811" s="152" t="str">
        <f>+VLOOKUP($L811,Data_Validation!$A:$D,4,0)</f>
        <v>Sous-traitement</v>
      </c>
      <c r="W811" s="152" t="str">
        <f>+VLOOKUP($L811,Data_Validation!$A:$E,5,0)</f>
        <v>nb</v>
      </c>
    </row>
    <row r="812" spans="1:23" ht="15.75" customHeight="1">
      <c r="A812" s="664" t="s">
        <v>1577</v>
      </c>
      <c r="B812" s="664" t="s">
        <v>749</v>
      </c>
      <c r="C812" s="665"/>
      <c r="D812" s="665"/>
      <c r="E812" s="665"/>
      <c r="F812" s="664" t="s">
        <v>4</v>
      </c>
      <c r="G812" s="664" t="s">
        <v>1143</v>
      </c>
      <c r="H812" s="153"/>
      <c r="I812" s="153">
        <v>-31</v>
      </c>
      <c r="J812" s="153">
        <v>-3</v>
      </c>
      <c r="K812" s="153">
        <v>-34</v>
      </c>
      <c r="L812" s="149" t="str">
        <f t="shared" si="60"/>
        <v>463B@</v>
      </c>
      <c r="M812" s="150" t="str">
        <f t="shared" si="61"/>
        <v># DE VTE - SOUS-TRAITANCE BMW CAMION</v>
      </c>
      <c r="N812" s="151">
        <f>+IF(OR($Q812=Parametres!$G$2,$Q812=Parametres!$G$3),I812,C812)</f>
        <v>-31</v>
      </c>
      <c r="O812" s="151">
        <f>+IF(OR($Q812=Parametres!$G$2,$Q812=Parametres!$G$3),J812,D812)</f>
        <v>-3</v>
      </c>
      <c r="P812" s="151">
        <f>+IF(OR($Q812=Parametres!$G$2,$Q812=Parametres!$G$3),K812,E812)</f>
        <v>-34</v>
      </c>
      <c r="Q812" s="150" t="str">
        <f t="shared" si="62"/>
        <v>10-Compte compteur</v>
      </c>
      <c r="R812" s="149" t="str">
        <f t="shared" si="63"/>
        <v>463A</v>
      </c>
      <c r="S812" s="150">
        <f t="shared" si="64"/>
        <v>0</v>
      </c>
      <c r="T812" s="152" t="str">
        <f>+VLOOKUP($L812,Data_Validation!$A:$D,1,0)</f>
        <v>463B@</v>
      </c>
      <c r="U812" s="152" t="str">
        <f>+VLOOKUP($L812,Data_Validation!$A:$D,3,0)</f>
        <v>service</v>
      </c>
      <c r="V812" s="152" t="str">
        <f>+VLOOKUP($L812,Data_Validation!$A:$D,4,0)</f>
        <v>Sous-traitement</v>
      </c>
      <c r="W812" s="152" t="str">
        <f>+VLOOKUP($L812,Data_Validation!$A:$E,5,0)</f>
        <v>nb</v>
      </c>
    </row>
    <row r="813" spans="1:23" ht="15.75" customHeight="1">
      <c r="A813" s="664" t="s">
        <v>1049</v>
      </c>
      <c r="B813" s="664" t="s">
        <v>1050</v>
      </c>
      <c r="C813" s="665"/>
      <c r="D813" s="665"/>
      <c r="E813" s="665"/>
      <c r="F813" s="664" t="s">
        <v>4</v>
      </c>
      <c r="G813" s="664" t="s">
        <v>1143</v>
      </c>
      <c r="H813" s="153"/>
      <c r="I813" s="153">
        <v>-6</v>
      </c>
      <c r="J813" s="153">
        <v>0</v>
      </c>
      <c r="K813" s="153">
        <v>-6</v>
      </c>
      <c r="L813" s="149" t="str">
        <f t="shared" si="60"/>
        <v>463D@</v>
      </c>
      <c r="M813" s="150" t="str">
        <f t="shared" si="61"/>
        <v># DE VTE - SOUS-TRAITANCE BMW I</v>
      </c>
      <c r="N813" s="151">
        <f>+IF(OR($Q813=Parametres!$G$2,$Q813=Parametres!$G$3),I813,C813)</f>
        <v>-6</v>
      </c>
      <c r="O813" s="151">
        <f>+IF(OR($Q813=Parametres!$G$2,$Q813=Parametres!$G$3),J813,D813)</f>
        <v>0</v>
      </c>
      <c r="P813" s="151">
        <f>+IF(OR($Q813=Parametres!$G$2,$Q813=Parametres!$G$3),K813,E813)</f>
        <v>-6</v>
      </c>
      <c r="Q813" s="150" t="str">
        <f t="shared" si="62"/>
        <v>10-Compte compteur</v>
      </c>
      <c r="R813" s="149" t="str">
        <f t="shared" si="63"/>
        <v>463A</v>
      </c>
      <c r="S813" s="150">
        <f t="shared" si="64"/>
        <v>0</v>
      </c>
      <c r="T813" s="152" t="str">
        <f>+VLOOKUP($L813,Data_Validation!$A:$D,1,0)</f>
        <v>463D@</v>
      </c>
      <c r="U813" s="152" t="str">
        <f>+VLOOKUP($L813,Data_Validation!$A:$D,3,0)</f>
        <v>service</v>
      </c>
      <c r="V813" s="152" t="str">
        <f>+VLOOKUP($L813,Data_Validation!$A:$D,4,0)</f>
        <v>Sous-traitement</v>
      </c>
      <c r="W813" s="152" t="str">
        <f>+VLOOKUP($L813,Data_Validation!$A:$E,5,0)</f>
        <v>nb</v>
      </c>
    </row>
    <row r="814" spans="1:23" ht="15.75" customHeight="1">
      <c r="A814" s="664" t="s">
        <v>1580</v>
      </c>
      <c r="B814" s="664" t="s">
        <v>1581</v>
      </c>
      <c r="C814" s="665"/>
      <c r="D814" s="665"/>
      <c r="E814" s="665"/>
      <c r="F814" s="664" t="s">
        <v>4</v>
      </c>
      <c r="G814" s="664" t="s">
        <v>1120</v>
      </c>
      <c r="H814" s="153"/>
      <c r="I814" s="153">
        <v>-423</v>
      </c>
      <c r="J814" s="153">
        <v>-54</v>
      </c>
      <c r="K814" s="153">
        <v>-477</v>
      </c>
      <c r="L814" s="149" t="str">
        <f t="shared" si="60"/>
        <v>470A@</v>
      </c>
      <c r="M814" s="150" t="str">
        <f t="shared" si="61"/>
        <v># DE VTE - PCS BT CLIENT BMW AUTO</v>
      </c>
      <c r="N814" s="151">
        <f>+IF(OR($Q814=Parametres!$G$2,$Q814=Parametres!$G$3),I814,C814)</f>
        <v>-423</v>
      </c>
      <c r="O814" s="151">
        <f>+IF(OR($Q814=Parametres!$G$2,$Q814=Parametres!$G$3),J814,D814)</f>
        <v>-54</v>
      </c>
      <c r="P814" s="151">
        <f>+IF(OR($Q814=Parametres!$G$2,$Q814=Parametres!$G$3),K814,E814)</f>
        <v>-477</v>
      </c>
      <c r="Q814" s="150" t="str">
        <f t="shared" si="62"/>
        <v>10-Compte compteur</v>
      </c>
      <c r="R814" s="149" t="str">
        <f t="shared" si="63"/>
        <v>470A</v>
      </c>
      <c r="S814" s="150">
        <f t="shared" si="64"/>
        <v>0</v>
      </c>
      <c r="T814" s="152" t="str">
        <f>+VLOOKUP($L814,Data_Validation!$A:$D,1,0)</f>
        <v>470A@</v>
      </c>
      <c r="U814" s="152" t="str">
        <f>+VLOOKUP($L814,Data_Validation!$A:$D,3,0)</f>
        <v>Pièces</v>
      </c>
      <c r="V814" s="152" t="str">
        <f>+VLOOKUP($L814,Data_Validation!$A:$D,4,0)</f>
        <v>Pièces Ro Clients</v>
      </c>
      <c r="W814" s="152" t="str">
        <f>+VLOOKUP($L814,Data_Validation!$A:$E,5,0)</f>
        <v>nb</v>
      </c>
    </row>
    <row r="815" spans="1:23" ht="15.75" customHeight="1">
      <c r="A815" s="664" t="s">
        <v>1582</v>
      </c>
      <c r="B815" s="664" t="s">
        <v>750</v>
      </c>
      <c r="C815" s="665"/>
      <c r="D815" s="665"/>
      <c r="E815" s="665"/>
      <c r="F815" s="664" t="s">
        <v>4</v>
      </c>
      <c r="G815" s="664" t="s">
        <v>1120</v>
      </c>
      <c r="H815" s="153"/>
      <c r="I815" s="153">
        <v>-530</v>
      </c>
      <c r="J815" s="153">
        <v>-61</v>
      </c>
      <c r="K815" s="153">
        <v>-591</v>
      </c>
      <c r="L815" s="149" t="str">
        <f t="shared" si="60"/>
        <v>470B@</v>
      </c>
      <c r="M815" s="150" t="str">
        <f t="shared" si="61"/>
        <v># DE VTE - PCS BT CLIENT BMW CAMION</v>
      </c>
      <c r="N815" s="151">
        <f>+IF(OR($Q815=Parametres!$G$2,$Q815=Parametres!$G$3),I815,C815)</f>
        <v>-530</v>
      </c>
      <c r="O815" s="151">
        <f>+IF(OR($Q815=Parametres!$G$2,$Q815=Parametres!$G$3),J815,D815)</f>
        <v>-61</v>
      </c>
      <c r="P815" s="151">
        <f>+IF(OR($Q815=Parametres!$G$2,$Q815=Parametres!$G$3),K815,E815)</f>
        <v>-591</v>
      </c>
      <c r="Q815" s="150" t="str">
        <f t="shared" si="62"/>
        <v>10-Compte compteur</v>
      </c>
      <c r="R815" s="149" t="str">
        <f t="shared" si="63"/>
        <v>470A</v>
      </c>
      <c r="S815" s="150">
        <f t="shared" si="64"/>
        <v>0</v>
      </c>
      <c r="T815" s="152" t="str">
        <f>+VLOOKUP($L815,Data_Validation!$A:$D,1,0)</f>
        <v>470B@</v>
      </c>
      <c r="U815" s="152" t="str">
        <f>+VLOOKUP($L815,Data_Validation!$A:$D,3,0)</f>
        <v>Pièces</v>
      </c>
      <c r="V815" s="152" t="str">
        <f>+VLOOKUP($L815,Data_Validation!$A:$D,4,0)</f>
        <v>Pièces Ro Clients</v>
      </c>
      <c r="W815" s="152" t="str">
        <f>+VLOOKUP($L815,Data_Validation!$A:$E,5,0)</f>
        <v>nb</v>
      </c>
    </row>
    <row r="816" spans="1:23" ht="15.75" customHeight="1">
      <c r="A816" s="664" t="s">
        <v>1583</v>
      </c>
      <c r="B816" s="664" t="s">
        <v>1051</v>
      </c>
      <c r="C816" s="665"/>
      <c r="D816" s="665"/>
      <c r="E816" s="665"/>
      <c r="F816" s="664" t="s">
        <v>4</v>
      </c>
      <c r="G816" s="664" t="s">
        <v>1120</v>
      </c>
      <c r="H816" s="153"/>
      <c r="I816" s="153">
        <v>-43</v>
      </c>
      <c r="J816" s="153">
        <v>-8</v>
      </c>
      <c r="K816" s="153">
        <v>-51</v>
      </c>
      <c r="L816" s="149" t="str">
        <f t="shared" si="60"/>
        <v>470D@</v>
      </c>
      <c r="M816" s="150" t="str">
        <f t="shared" si="61"/>
        <v># DE VTE - PIECES BT CLIENT BMW I</v>
      </c>
      <c r="N816" s="151">
        <f>+IF(OR($Q816=Parametres!$G$2,$Q816=Parametres!$G$3),I816,C816)</f>
        <v>-43</v>
      </c>
      <c r="O816" s="151">
        <f>+IF(OR($Q816=Parametres!$G$2,$Q816=Parametres!$G$3),J816,D816)</f>
        <v>-8</v>
      </c>
      <c r="P816" s="151">
        <f>+IF(OR($Q816=Parametres!$G$2,$Q816=Parametres!$G$3),K816,E816)</f>
        <v>-51</v>
      </c>
      <c r="Q816" s="150" t="str">
        <f t="shared" si="62"/>
        <v>10-Compte compteur</v>
      </c>
      <c r="R816" s="149" t="str">
        <f t="shared" si="63"/>
        <v>470A</v>
      </c>
      <c r="S816" s="150">
        <f t="shared" si="64"/>
        <v>0</v>
      </c>
      <c r="T816" s="152" t="str">
        <f>+VLOOKUP($L816,Data_Validation!$A:$D,1,0)</f>
        <v>470D@</v>
      </c>
      <c r="U816" s="152" t="str">
        <f>+VLOOKUP($L816,Data_Validation!$A:$D,3,0)</f>
        <v>Pièces</v>
      </c>
      <c r="V816" s="152" t="str">
        <f>+VLOOKUP($L816,Data_Validation!$A:$D,4,0)</f>
        <v>Pièces Ro Clients</v>
      </c>
      <c r="W816" s="152" t="str">
        <f>+VLOOKUP($L816,Data_Validation!$A:$E,5,0)</f>
        <v>nb</v>
      </c>
    </row>
    <row r="817" spans="1:23" ht="15.75" customHeight="1">
      <c r="A817" s="664" t="s">
        <v>2090</v>
      </c>
      <c r="B817" s="664" t="s">
        <v>2091</v>
      </c>
      <c r="C817" s="665"/>
      <c r="D817" s="665"/>
      <c r="E817" s="665"/>
      <c r="F817" s="664" t="s">
        <v>4</v>
      </c>
      <c r="G817" s="664" t="s">
        <v>2083</v>
      </c>
      <c r="H817" s="153"/>
      <c r="I817" s="153">
        <v>-2</v>
      </c>
      <c r="J817" s="153">
        <v>-1</v>
      </c>
      <c r="K817" s="153">
        <v>-3</v>
      </c>
      <c r="L817" s="149" t="str">
        <f t="shared" si="60"/>
        <v>471A@</v>
      </c>
      <c r="M817" s="150" t="str">
        <f t="shared" si="61"/>
        <v># DE VTE - PCS BT CARROSS BMW AUTO</v>
      </c>
      <c r="N817" s="151">
        <f>+IF(OR($Q817=Parametres!$G$2,$Q817=Parametres!$G$3),I817,C817)</f>
        <v>-2</v>
      </c>
      <c r="O817" s="151">
        <f>+IF(OR($Q817=Parametres!$G$2,$Q817=Parametres!$G$3),J817,D817)</f>
        <v>-1</v>
      </c>
      <c r="P817" s="151">
        <f>+IF(OR($Q817=Parametres!$G$2,$Q817=Parametres!$G$3),K817,E817)</f>
        <v>-3</v>
      </c>
      <c r="Q817" s="150" t="str">
        <f t="shared" si="62"/>
        <v>10-Compte compteur</v>
      </c>
      <c r="R817" s="149" t="str">
        <f t="shared" si="63"/>
        <v>471A</v>
      </c>
      <c r="S817" s="150">
        <f t="shared" si="64"/>
        <v>0</v>
      </c>
      <c r="T817" s="152" t="str">
        <f>+VLOOKUP($L817,Data_Validation!$A:$D,1,0)</f>
        <v>471A@</v>
      </c>
      <c r="U817" s="152" t="str">
        <f>+VLOOKUP($L817,Data_Validation!$A:$D,3,0)</f>
        <v>Pièces</v>
      </c>
      <c r="V817" s="152" t="str">
        <f>+VLOOKUP($L817,Data_Validation!$A:$D,4,0)</f>
        <v>Pièces Ro Carrosserie</v>
      </c>
      <c r="W817" s="152" t="str">
        <f>+VLOOKUP($L817,Data_Validation!$A:$E,5,0)</f>
        <v>nb</v>
      </c>
    </row>
    <row r="818" spans="1:23" ht="15.75" customHeight="1">
      <c r="A818" s="664" t="s">
        <v>2427</v>
      </c>
      <c r="B818" s="664" t="s">
        <v>2428</v>
      </c>
      <c r="C818" s="665"/>
      <c r="D818" s="665"/>
      <c r="E818" s="665"/>
      <c r="F818" s="664" t="s">
        <v>4</v>
      </c>
      <c r="G818" s="664" t="s">
        <v>2083</v>
      </c>
      <c r="H818" s="153"/>
      <c r="I818" s="153">
        <v>-2</v>
      </c>
      <c r="J818" s="153">
        <v>0</v>
      </c>
      <c r="K818" s="153">
        <v>-2</v>
      </c>
      <c r="L818" s="149" t="str">
        <f t="shared" si="60"/>
        <v>471B@</v>
      </c>
      <c r="M818" s="150" t="str">
        <f t="shared" si="61"/>
        <v># DE VTE - PCS BT CARROSS BMW CAMION</v>
      </c>
      <c r="N818" s="151">
        <f>+IF(OR($Q818=Parametres!$G$2,$Q818=Parametres!$G$3),I818,C818)</f>
        <v>-2</v>
      </c>
      <c r="O818" s="151">
        <f>+IF(OR($Q818=Parametres!$G$2,$Q818=Parametres!$G$3),J818,D818)</f>
        <v>0</v>
      </c>
      <c r="P818" s="151">
        <f>+IF(OR($Q818=Parametres!$G$2,$Q818=Parametres!$G$3),K818,E818)</f>
        <v>-2</v>
      </c>
      <c r="Q818" s="150" t="str">
        <f t="shared" si="62"/>
        <v>10-Compte compteur</v>
      </c>
      <c r="R818" s="149" t="str">
        <f t="shared" si="63"/>
        <v>471A</v>
      </c>
      <c r="S818" s="150">
        <f t="shared" si="64"/>
        <v>0</v>
      </c>
      <c r="T818" s="152" t="str">
        <f>+VLOOKUP($L818,Data_Validation!$A:$D,1,0)</f>
        <v>471B@</v>
      </c>
      <c r="U818" s="152" t="str">
        <f>+VLOOKUP($L818,Data_Validation!$A:$D,3,0)</f>
        <v>Pièces</v>
      </c>
      <c r="V818" s="152" t="str">
        <f>+VLOOKUP($L818,Data_Validation!$A:$D,4,0)</f>
        <v>Pièces Ro Carrosserie</v>
      </c>
      <c r="W818" s="152" t="str">
        <f>+VLOOKUP($L818,Data_Validation!$A:$E,5,0)</f>
        <v>nb</v>
      </c>
    </row>
    <row r="819" spans="1:23" ht="15.75" customHeight="1">
      <c r="A819" s="664" t="s">
        <v>2483</v>
      </c>
      <c r="B819" s="664" t="s">
        <v>2484</v>
      </c>
      <c r="C819" s="665"/>
      <c r="D819" s="665"/>
      <c r="E819" s="665"/>
      <c r="F819" s="664" t="s">
        <v>4</v>
      </c>
      <c r="G819" s="664" t="s">
        <v>2083</v>
      </c>
      <c r="H819" s="153"/>
      <c r="I819" s="153">
        <v>-2</v>
      </c>
      <c r="J819" s="153">
        <v>0</v>
      </c>
      <c r="K819" s="153">
        <v>-2</v>
      </c>
      <c r="L819" s="149" t="str">
        <f t="shared" si="60"/>
        <v>471D@</v>
      </c>
      <c r="M819" s="150" t="str">
        <f t="shared" si="61"/>
        <v># DE VTE - PIECES BT CARROSS. BMW I</v>
      </c>
      <c r="N819" s="151">
        <f>+IF(OR($Q819=Parametres!$G$2,$Q819=Parametres!$G$3),I819,C819)</f>
        <v>-2</v>
      </c>
      <c r="O819" s="151">
        <f>+IF(OR($Q819=Parametres!$G$2,$Q819=Parametres!$G$3),J819,D819)</f>
        <v>0</v>
      </c>
      <c r="P819" s="151">
        <f>+IF(OR($Q819=Parametres!$G$2,$Q819=Parametres!$G$3),K819,E819)</f>
        <v>-2</v>
      </c>
      <c r="Q819" s="150" t="str">
        <f t="shared" si="62"/>
        <v>10-Compte compteur</v>
      </c>
      <c r="R819" s="149" t="str">
        <f t="shared" si="63"/>
        <v>471A</v>
      </c>
      <c r="S819" s="150">
        <f t="shared" si="64"/>
        <v>0</v>
      </c>
      <c r="T819" s="152" t="str">
        <f>+VLOOKUP($L819,Data_Validation!$A:$D,1,0)</f>
        <v>471D@</v>
      </c>
      <c r="U819" s="152" t="str">
        <f>+VLOOKUP($L819,Data_Validation!$A:$D,3,0)</f>
        <v>Pièces</v>
      </c>
      <c r="V819" s="152" t="str">
        <f>+VLOOKUP($L819,Data_Validation!$A:$D,4,0)</f>
        <v>Pièces Ro Carrosserie</v>
      </c>
      <c r="W819" s="152" t="str">
        <f>+VLOOKUP($L819,Data_Validation!$A:$E,5,0)</f>
        <v>NB</v>
      </c>
    </row>
    <row r="820" spans="1:23" ht="15.75" customHeight="1">
      <c r="A820" s="664" t="s">
        <v>1584</v>
      </c>
      <c r="B820" s="664" t="s">
        <v>1585</v>
      </c>
      <c r="C820" s="665"/>
      <c r="D820" s="665"/>
      <c r="E820" s="665"/>
      <c r="F820" s="664" t="s">
        <v>4</v>
      </c>
      <c r="G820" s="664" t="s">
        <v>1096</v>
      </c>
      <c r="H820" s="153"/>
      <c r="I820" s="153">
        <v>-290</v>
      </c>
      <c r="J820" s="153">
        <v>-15</v>
      </c>
      <c r="K820" s="153">
        <v>-305</v>
      </c>
      <c r="L820" s="149" t="str">
        <f t="shared" si="60"/>
        <v>472A@</v>
      </c>
      <c r="M820" s="150" t="str">
        <f t="shared" si="61"/>
        <v># DE VTE - PCS GARANTIE BMW AUTO</v>
      </c>
      <c r="N820" s="151">
        <f>+IF(OR($Q820=Parametres!$G$2,$Q820=Parametres!$G$3),I820,C820)</f>
        <v>-290</v>
      </c>
      <c r="O820" s="151">
        <f>+IF(OR($Q820=Parametres!$G$2,$Q820=Parametres!$G$3),J820,D820)</f>
        <v>-15</v>
      </c>
      <c r="P820" s="151">
        <f>+IF(OR($Q820=Parametres!$G$2,$Q820=Parametres!$G$3),K820,E820)</f>
        <v>-305</v>
      </c>
      <c r="Q820" s="150" t="str">
        <f t="shared" si="62"/>
        <v>10-Compte compteur</v>
      </c>
      <c r="R820" s="149" t="str">
        <f t="shared" si="63"/>
        <v>472A</v>
      </c>
      <c r="S820" s="150">
        <f t="shared" si="64"/>
        <v>0</v>
      </c>
      <c r="T820" s="152" t="str">
        <f>+VLOOKUP($L820,Data_Validation!$A:$D,1,0)</f>
        <v>472A@</v>
      </c>
      <c r="U820" s="152" t="str">
        <f>+VLOOKUP($L820,Data_Validation!$A:$D,3,0)</f>
        <v>pièces</v>
      </c>
      <c r="V820" s="152" t="str">
        <f>+VLOOKUP($L820,Data_Validation!$A:$D,4,0)</f>
        <v>P/A Garantie</v>
      </c>
      <c r="W820" s="152" t="str">
        <f>+VLOOKUP($L820,Data_Validation!$A:$E,5,0)</f>
        <v>nb</v>
      </c>
    </row>
    <row r="821" spans="1:23" ht="15.75" customHeight="1">
      <c r="A821" s="664" t="s">
        <v>1586</v>
      </c>
      <c r="B821" s="664" t="s">
        <v>751</v>
      </c>
      <c r="C821" s="665"/>
      <c r="D821" s="665"/>
      <c r="E821" s="665"/>
      <c r="F821" s="664" t="s">
        <v>4</v>
      </c>
      <c r="G821" s="664" t="s">
        <v>1096</v>
      </c>
      <c r="H821" s="153"/>
      <c r="I821" s="153">
        <v>-427</v>
      </c>
      <c r="J821" s="153">
        <v>-29</v>
      </c>
      <c r="K821" s="153">
        <v>-456</v>
      </c>
      <c r="L821" s="149" t="str">
        <f t="shared" si="60"/>
        <v>472B@</v>
      </c>
      <c r="M821" s="150" t="str">
        <f t="shared" si="61"/>
        <v># DE VTE - PCS GARANTIE BMW CAMION</v>
      </c>
      <c r="N821" s="151">
        <f>+IF(OR($Q821=Parametres!$G$2,$Q821=Parametres!$G$3),I821,C821)</f>
        <v>-427</v>
      </c>
      <c r="O821" s="151">
        <f>+IF(OR($Q821=Parametres!$G$2,$Q821=Parametres!$G$3),J821,D821)</f>
        <v>-29</v>
      </c>
      <c r="P821" s="151">
        <f>+IF(OR($Q821=Parametres!$G$2,$Q821=Parametres!$G$3),K821,E821)</f>
        <v>-456</v>
      </c>
      <c r="Q821" s="150" t="str">
        <f t="shared" si="62"/>
        <v>10-Compte compteur</v>
      </c>
      <c r="R821" s="149" t="str">
        <f t="shared" si="63"/>
        <v>472A</v>
      </c>
      <c r="S821" s="150">
        <f t="shared" si="64"/>
        <v>0</v>
      </c>
      <c r="T821" s="152" t="str">
        <f>+VLOOKUP($L821,Data_Validation!$A:$D,1,0)</f>
        <v>472B@</v>
      </c>
      <c r="U821" s="152" t="str">
        <f>+VLOOKUP($L821,Data_Validation!$A:$D,3,0)</f>
        <v>pièces</v>
      </c>
      <c r="V821" s="152" t="str">
        <f>+VLOOKUP($L821,Data_Validation!$A:$D,4,0)</f>
        <v>P/A Garantie</v>
      </c>
      <c r="W821" s="152" t="str">
        <f>+VLOOKUP($L821,Data_Validation!$A:$E,5,0)</f>
        <v>nb</v>
      </c>
    </row>
    <row r="822" spans="1:23" ht="15.75" customHeight="1">
      <c r="A822" s="664" t="s">
        <v>1587</v>
      </c>
      <c r="B822" s="664" t="s">
        <v>752</v>
      </c>
      <c r="C822" s="665"/>
      <c r="D822" s="665"/>
      <c r="E822" s="665"/>
      <c r="F822" s="664" t="s">
        <v>4</v>
      </c>
      <c r="G822" s="664" t="s">
        <v>434</v>
      </c>
      <c r="H822" s="153"/>
      <c r="I822" s="153">
        <v>-261</v>
      </c>
      <c r="J822" s="153">
        <v>-31</v>
      </c>
      <c r="K822" s="153">
        <v>-292</v>
      </c>
      <c r="L822" s="149" t="str">
        <f t="shared" si="60"/>
        <v>472D@</v>
      </c>
      <c r="M822" s="150" t="str">
        <f t="shared" si="61"/>
        <v># DE VTE - PCS ENTRETIEN BMW AUTO</v>
      </c>
      <c r="N822" s="151">
        <f>+IF(OR($Q822=Parametres!$G$2,$Q822=Parametres!$G$3),I822,C822)</f>
        <v>-261</v>
      </c>
      <c r="O822" s="151">
        <f>+IF(OR($Q822=Parametres!$G$2,$Q822=Parametres!$G$3),J822,D822)</f>
        <v>-31</v>
      </c>
      <c r="P822" s="151">
        <f>+IF(OR($Q822=Parametres!$G$2,$Q822=Parametres!$G$3),K822,E822)</f>
        <v>-292</v>
      </c>
      <c r="Q822" s="150" t="str">
        <f t="shared" si="62"/>
        <v>10-Compte compteur</v>
      </c>
      <c r="R822" s="149" t="str">
        <f t="shared" si="63"/>
        <v>472D</v>
      </c>
      <c r="S822" s="150">
        <f t="shared" si="64"/>
        <v>0</v>
      </c>
      <c r="T822" s="152" t="str">
        <f>+VLOOKUP($L822,Data_Validation!$A:$D,1,0)</f>
        <v>472D@</v>
      </c>
      <c r="U822" s="152" t="str">
        <f>+VLOOKUP($L822,Data_Validation!$A:$D,3,0)</f>
        <v>pièces</v>
      </c>
      <c r="V822" s="152" t="str">
        <f>+VLOOKUP($L822,Data_Validation!$A:$D,4,0)</f>
        <v>P/A Garantie</v>
      </c>
      <c r="W822" s="152" t="str">
        <f>+VLOOKUP($L822,Data_Validation!$A:$E,5,0)</f>
        <v>nb</v>
      </c>
    </row>
    <row r="823" spans="1:23" ht="15.75" customHeight="1">
      <c r="A823" s="664" t="s">
        <v>1588</v>
      </c>
      <c r="B823" s="664" t="s">
        <v>753</v>
      </c>
      <c r="C823" s="665"/>
      <c r="D823" s="665"/>
      <c r="E823" s="665"/>
      <c r="F823" s="664" t="s">
        <v>4</v>
      </c>
      <c r="G823" s="664" t="s">
        <v>434</v>
      </c>
      <c r="H823" s="153"/>
      <c r="I823" s="153">
        <v>-524</v>
      </c>
      <c r="J823" s="153">
        <v>-61</v>
      </c>
      <c r="K823" s="153">
        <v>-585</v>
      </c>
      <c r="L823" s="149" t="str">
        <f t="shared" si="60"/>
        <v>472E@</v>
      </c>
      <c r="M823" s="150" t="str">
        <f t="shared" si="61"/>
        <v># DE VTE - PCS ENTRETIEN BMW CAMION</v>
      </c>
      <c r="N823" s="151">
        <f>+IF(OR($Q823=Parametres!$G$2,$Q823=Parametres!$G$3),I823,C823)</f>
        <v>-524</v>
      </c>
      <c r="O823" s="151">
        <f>+IF(OR($Q823=Parametres!$G$2,$Q823=Parametres!$G$3),J823,D823)</f>
        <v>-61</v>
      </c>
      <c r="P823" s="151">
        <f>+IF(OR($Q823=Parametres!$G$2,$Q823=Parametres!$G$3),K823,E823)</f>
        <v>-585</v>
      </c>
      <c r="Q823" s="150" t="str">
        <f t="shared" si="62"/>
        <v>10-Compte compteur</v>
      </c>
      <c r="R823" s="149" t="str">
        <f t="shared" si="63"/>
        <v>472D</v>
      </c>
      <c r="S823" s="150">
        <f t="shared" si="64"/>
        <v>0</v>
      </c>
      <c r="T823" s="152" t="str">
        <f>+VLOOKUP($L823,Data_Validation!$A:$D,1,0)</f>
        <v>472E@</v>
      </c>
      <c r="U823" s="152" t="str">
        <f>+VLOOKUP($L823,Data_Validation!$A:$D,3,0)</f>
        <v>pièces</v>
      </c>
      <c r="V823" s="152" t="str">
        <f>+VLOOKUP($L823,Data_Validation!$A:$D,4,0)</f>
        <v>P/A Garantie</v>
      </c>
      <c r="W823" s="152" t="str">
        <f>+VLOOKUP($L823,Data_Validation!$A:$E,5,0)</f>
        <v>nb</v>
      </c>
    </row>
    <row r="824" spans="1:23" ht="15.75" customHeight="1">
      <c r="A824" s="664" t="s">
        <v>1589</v>
      </c>
      <c r="B824" s="664" t="s">
        <v>1052</v>
      </c>
      <c r="C824" s="665"/>
      <c r="D824" s="665"/>
      <c r="E824" s="665"/>
      <c r="F824" s="664" t="s">
        <v>4</v>
      </c>
      <c r="G824" s="664" t="s">
        <v>434</v>
      </c>
      <c r="H824" s="153"/>
      <c r="I824" s="153">
        <v>-21</v>
      </c>
      <c r="J824" s="153">
        <v>-8</v>
      </c>
      <c r="K824" s="153">
        <v>-29</v>
      </c>
      <c r="L824" s="149" t="str">
        <f t="shared" si="60"/>
        <v>472G@</v>
      </c>
      <c r="M824" s="150" t="str">
        <f t="shared" si="61"/>
        <v># DE VTE - PIECES ENTRETIEN BMW I</v>
      </c>
      <c r="N824" s="151">
        <f>+IF(OR($Q824=Parametres!$G$2,$Q824=Parametres!$G$3),I824,C824)</f>
        <v>-21</v>
      </c>
      <c r="O824" s="151">
        <f>+IF(OR($Q824=Parametres!$G$2,$Q824=Parametres!$G$3),J824,D824)</f>
        <v>-8</v>
      </c>
      <c r="P824" s="151">
        <f>+IF(OR($Q824=Parametres!$G$2,$Q824=Parametres!$G$3),K824,E824)</f>
        <v>-29</v>
      </c>
      <c r="Q824" s="150" t="str">
        <f t="shared" si="62"/>
        <v>10-Compte compteur</v>
      </c>
      <c r="R824" s="149" t="str">
        <f t="shared" si="63"/>
        <v>472D</v>
      </c>
      <c r="S824" s="150">
        <f t="shared" si="64"/>
        <v>0</v>
      </c>
      <c r="T824" s="152" t="str">
        <f>+VLOOKUP($L824,Data_Validation!$A:$D,1,0)</f>
        <v>472G@</v>
      </c>
      <c r="U824" s="152" t="str">
        <f>+VLOOKUP($L824,Data_Validation!$A:$D,3,0)</f>
        <v>pièces</v>
      </c>
      <c r="V824" s="152" t="str">
        <f>+VLOOKUP($L824,Data_Validation!$A:$D,4,0)</f>
        <v>P/A Garantie</v>
      </c>
      <c r="W824" s="152" t="str">
        <f>+VLOOKUP($L824,Data_Validation!$A:$E,5,0)</f>
        <v>nb</v>
      </c>
    </row>
    <row r="825" spans="1:23" ht="15.75" customHeight="1">
      <c r="A825" s="664" t="s">
        <v>1053</v>
      </c>
      <c r="B825" s="664" t="s">
        <v>1054</v>
      </c>
      <c r="C825" s="665"/>
      <c r="D825" s="665"/>
      <c r="E825" s="665"/>
      <c r="F825" s="664" t="s">
        <v>4</v>
      </c>
      <c r="G825" s="664" t="s">
        <v>1096</v>
      </c>
      <c r="H825" s="153"/>
      <c r="I825" s="153">
        <v>-125</v>
      </c>
      <c r="J825" s="153">
        <v>-23</v>
      </c>
      <c r="K825" s="153">
        <v>-148</v>
      </c>
      <c r="L825" s="149" t="str">
        <f t="shared" si="60"/>
        <v>472H@</v>
      </c>
      <c r="M825" s="150" t="str">
        <f t="shared" si="61"/>
        <v># DE VTE - PIECES GARANTIE BMW I</v>
      </c>
      <c r="N825" s="151">
        <f>+IF(OR($Q825=Parametres!$G$2,$Q825=Parametres!$G$3),I825,C825)</f>
        <v>-125</v>
      </c>
      <c r="O825" s="151">
        <f>+IF(OR($Q825=Parametres!$G$2,$Q825=Parametres!$G$3),J825,D825)</f>
        <v>-23</v>
      </c>
      <c r="P825" s="151">
        <f>+IF(OR($Q825=Parametres!$G$2,$Q825=Parametres!$G$3),K825,E825)</f>
        <v>-148</v>
      </c>
      <c r="Q825" s="150" t="str">
        <f t="shared" si="62"/>
        <v>10-Compte compteur</v>
      </c>
      <c r="R825" s="149" t="str">
        <f t="shared" si="63"/>
        <v>472A</v>
      </c>
      <c r="S825" s="150">
        <f t="shared" si="64"/>
        <v>0</v>
      </c>
      <c r="T825" s="152" t="str">
        <f>+VLOOKUP($L825,Data_Validation!$A:$D,1,0)</f>
        <v>472H@</v>
      </c>
      <c r="U825" s="152" t="str">
        <f>+VLOOKUP($L825,Data_Validation!$A:$D,3,0)</f>
        <v>pièces</v>
      </c>
      <c r="V825" s="152" t="str">
        <f>+VLOOKUP($L825,Data_Validation!$A:$D,4,0)</f>
        <v>P/A Garantie</v>
      </c>
      <c r="W825" s="152" t="str">
        <f>+VLOOKUP($L825,Data_Validation!$A:$E,5,0)</f>
        <v>nb</v>
      </c>
    </row>
    <row r="826" spans="1:23" ht="15.75" customHeight="1">
      <c r="A826" s="664" t="s">
        <v>1590</v>
      </c>
      <c r="B826" s="664" t="s">
        <v>1591</v>
      </c>
      <c r="C826" s="665"/>
      <c r="D826" s="665"/>
      <c r="E826" s="665"/>
      <c r="F826" s="664" t="s">
        <v>4</v>
      </c>
      <c r="G826" s="664" t="s">
        <v>1132</v>
      </c>
      <c r="H826" s="153"/>
      <c r="I826" s="153">
        <v>-316</v>
      </c>
      <c r="J826" s="153">
        <v>-44</v>
      </c>
      <c r="K826" s="153">
        <v>-360</v>
      </c>
      <c r="L826" s="149" t="str">
        <f t="shared" si="60"/>
        <v>473A@</v>
      </c>
      <c r="M826" s="150" t="str">
        <f t="shared" si="61"/>
        <v># DE VTE - PCS INTERNE BMW AUTO</v>
      </c>
      <c r="N826" s="151">
        <f>+IF(OR($Q826=Parametres!$G$2,$Q826=Parametres!$G$3),I826,C826)</f>
        <v>-316</v>
      </c>
      <c r="O826" s="151">
        <f>+IF(OR($Q826=Parametres!$G$2,$Q826=Parametres!$G$3),J826,D826)</f>
        <v>-44</v>
      </c>
      <c r="P826" s="151">
        <f>+IF(OR($Q826=Parametres!$G$2,$Q826=Parametres!$G$3),K826,E826)</f>
        <v>-360</v>
      </c>
      <c r="Q826" s="150" t="str">
        <f t="shared" si="62"/>
        <v>10-Compte compteur</v>
      </c>
      <c r="R826" s="149" t="str">
        <f t="shared" si="63"/>
        <v>473A</v>
      </c>
      <c r="S826" s="150">
        <f t="shared" si="64"/>
        <v>0</v>
      </c>
      <c r="T826" s="152" t="str">
        <f>+VLOOKUP($L826,Data_Validation!$A:$D,1,0)</f>
        <v>473A@</v>
      </c>
      <c r="U826" s="152" t="str">
        <f>+VLOOKUP($L826,Data_Validation!$A:$D,3,0)</f>
        <v>pièces</v>
      </c>
      <c r="V826" s="152" t="str">
        <f>+VLOOKUP($L826,Data_Validation!$A:$D,4,0)</f>
        <v>Ventes Internes</v>
      </c>
      <c r="W826" s="152" t="str">
        <f>+VLOOKUP($L826,Data_Validation!$A:$E,5,0)</f>
        <v>nb</v>
      </c>
    </row>
    <row r="827" spans="1:23" ht="15.75" customHeight="1">
      <c r="A827" s="664" t="s">
        <v>1592</v>
      </c>
      <c r="B827" s="664" t="s">
        <v>754</v>
      </c>
      <c r="C827" s="665"/>
      <c r="D827" s="665"/>
      <c r="E827" s="665"/>
      <c r="F827" s="664" t="s">
        <v>4</v>
      </c>
      <c r="G827" s="664" t="s">
        <v>1132</v>
      </c>
      <c r="H827" s="153"/>
      <c r="I827" s="153">
        <v>-242</v>
      </c>
      <c r="J827" s="153">
        <v>-36</v>
      </c>
      <c r="K827" s="153">
        <v>-278</v>
      </c>
      <c r="L827" s="149" t="str">
        <f t="shared" si="60"/>
        <v>473B@</v>
      </c>
      <c r="M827" s="150" t="str">
        <f t="shared" si="61"/>
        <v># DE VTE - PCS INTERNE BMW CAMION</v>
      </c>
      <c r="N827" s="151">
        <f>+IF(OR($Q827=Parametres!$G$2,$Q827=Parametres!$G$3),I827,C827)</f>
        <v>-242</v>
      </c>
      <c r="O827" s="151">
        <f>+IF(OR($Q827=Parametres!$G$2,$Q827=Parametres!$G$3),J827,D827)</f>
        <v>-36</v>
      </c>
      <c r="P827" s="151">
        <f>+IF(OR($Q827=Parametres!$G$2,$Q827=Parametres!$G$3),K827,E827)</f>
        <v>-278</v>
      </c>
      <c r="Q827" s="150" t="str">
        <f t="shared" si="62"/>
        <v>10-Compte compteur</v>
      </c>
      <c r="R827" s="149" t="str">
        <f t="shared" si="63"/>
        <v>473A</v>
      </c>
      <c r="S827" s="150">
        <f t="shared" si="64"/>
        <v>0</v>
      </c>
      <c r="T827" s="152" t="str">
        <f>+VLOOKUP($L827,Data_Validation!$A:$D,1,0)</f>
        <v>473B@</v>
      </c>
      <c r="U827" s="152" t="str">
        <f>+VLOOKUP($L827,Data_Validation!$A:$D,3,0)</f>
        <v>pièces</v>
      </c>
      <c r="V827" s="152" t="str">
        <f>+VLOOKUP($L827,Data_Validation!$A:$D,4,0)</f>
        <v>Ventes Internes</v>
      </c>
      <c r="W827" s="152" t="str">
        <f>+VLOOKUP($L827,Data_Validation!$A:$E,5,0)</f>
        <v>nb</v>
      </c>
    </row>
    <row r="828" spans="1:23" ht="15.75" customHeight="1">
      <c r="A828" s="664" t="s">
        <v>1055</v>
      </c>
      <c r="B828" s="664" t="s">
        <v>1056</v>
      </c>
      <c r="C828" s="665"/>
      <c r="D828" s="665"/>
      <c r="E828" s="665"/>
      <c r="F828" s="664" t="s">
        <v>4</v>
      </c>
      <c r="G828" s="664" t="s">
        <v>1132</v>
      </c>
      <c r="H828" s="153"/>
      <c r="I828" s="153">
        <v>-83</v>
      </c>
      <c r="J828" s="153">
        <v>-13</v>
      </c>
      <c r="K828" s="153">
        <v>-96</v>
      </c>
      <c r="L828" s="149" t="str">
        <f t="shared" si="60"/>
        <v>473D@</v>
      </c>
      <c r="M828" s="150" t="str">
        <f t="shared" si="61"/>
        <v># DE VTE - PIECES INTERNE BMW I</v>
      </c>
      <c r="N828" s="151">
        <f>+IF(OR($Q828=Parametres!$G$2,$Q828=Parametres!$G$3),I828,C828)</f>
        <v>-83</v>
      </c>
      <c r="O828" s="151">
        <f>+IF(OR($Q828=Parametres!$G$2,$Q828=Parametres!$G$3),J828,D828)</f>
        <v>-13</v>
      </c>
      <c r="P828" s="151">
        <f>+IF(OR($Q828=Parametres!$G$2,$Q828=Parametres!$G$3),K828,E828)</f>
        <v>-96</v>
      </c>
      <c r="Q828" s="150" t="str">
        <f t="shared" si="62"/>
        <v>10-Compte compteur</v>
      </c>
      <c r="R828" s="149" t="str">
        <f t="shared" si="63"/>
        <v>473A</v>
      </c>
      <c r="S828" s="150">
        <f t="shared" si="64"/>
        <v>0</v>
      </c>
      <c r="T828" s="152" t="str">
        <f>+VLOOKUP($L828,Data_Validation!$A:$D,1,0)</f>
        <v>473D@</v>
      </c>
      <c r="U828" s="152" t="str">
        <f>+VLOOKUP($L828,Data_Validation!$A:$D,3,0)</f>
        <v>pièces</v>
      </c>
      <c r="V828" s="152" t="str">
        <f>+VLOOKUP($L828,Data_Validation!$A:$D,4,0)</f>
        <v>Ventes Internes</v>
      </c>
      <c r="W828" s="152" t="str">
        <f>+VLOOKUP($L828,Data_Validation!$A:$E,5,0)</f>
        <v>nb</v>
      </c>
    </row>
    <row r="829" spans="1:23" ht="15.75" customHeight="1">
      <c r="A829" s="664" t="s">
        <v>1593</v>
      </c>
      <c r="B829" s="664" t="s">
        <v>1594</v>
      </c>
      <c r="C829" s="665"/>
      <c r="D829" s="665"/>
      <c r="E829" s="665"/>
      <c r="F829" s="664" t="s">
        <v>4</v>
      </c>
      <c r="G829" s="664" t="s">
        <v>1118</v>
      </c>
      <c r="H829" s="153"/>
      <c r="I829" s="153">
        <v>-766</v>
      </c>
      <c r="J829" s="153">
        <v>-90</v>
      </c>
      <c r="K829" s="153">
        <v>-856</v>
      </c>
      <c r="L829" s="149" t="str">
        <f t="shared" si="60"/>
        <v>474A@</v>
      </c>
      <c r="M829" s="150" t="str">
        <f t="shared" si="61"/>
        <v># DE VTE - PCS COMPTOIR BMW AUTO</v>
      </c>
      <c r="N829" s="151">
        <f>+IF(OR($Q829=Parametres!$G$2,$Q829=Parametres!$G$3),I829,C829)</f>
        <v>-766</v>
      </c>
      <c r="O829" s="151">
        <f>+IF(OR($Q829=Parametres!$G$2,$Q829=Parametres!$G$3),J829,D829)</f>
        <v>-90</v>
      </c>
      <c r="P829" s="151">
        <f>+IF(OR($Q829=Parametres!$G$2,$Q829=Parametres!$G$3),K829,E829)</f>
        <v>-856</v>
      </c>
      <c r="Q829" s="150" t="str">
        <f t="shared" si="62"/>
        <v>10-Compte compteur</v>
      </c>
      <c r="R829" s="149" t="str">
        <f t="shared" si="63"/>
        <v>474A</v>
      </c>
      <c r="S829" s="150">
        <f t="shared" si="64"/>
        <v>0</v>
      </c>
      <c r="T829" s="152" t="str">
        <f>+VLOOKUP($L829,Data_Validation!$A:$D,1,0)</f>
        <v>474A@</v>
      </c>
      <c r="U829" s="152" t="str">
        <f>+VLOOKUP($L829,Data_Validation!$A:$D,3,0)</f>
        <v>pièces</v>
      </c>
      <c r="V829" s="152" t="str">
        <f>+VLOOKUP($L829,Data_Validation!$A:$D,4,0)</f>
        <v>Ventes Détails</v>
      </c>
      <c r="W829" s="152" t="str">
        <f>+VLOOKUP($L829,Data_Validation!$A:$E,5,0)</f>
        <v>nb</v>
      </c>
    </row>
    <row r="830" spans="1:23" ht="15.75" customHeight="1">
      <c r="A830" s="664" t="s">
        <v>1595</v>
      </c>
      <c r="B830" s="664" t="s">
        <v>755</v>
      </c>
      <c r="C830" s="665"/>
      <c r="D830" s="665"/>
      <c r="E830" s="665"/>
      <c r="F830" s="664" t="s">
        <v>4</v>
      </c>
      <c r="G830" s="664" t="s">
        <v>1118</v>
      </c>
      <c r="H830" s="153"/>
      <c r="I830" s="153">
        <v>-94</v>
      </c>
      <c r="J830" s="153">
        <v>-12</v>
      </c>
      <c r="K830" s="153">
        <v>-106</v>
      </c>
      <c r="L830" s="149" t="str">
        <f t="shared" si="60"/>
        <v>474D@</v>
      </c>
      <c r="M830" s="150" t="str">
        <f t="shared" si="61"/>
        <v># DE VTE - PCS COMP. BMW LIFESTYLE</v>
      </c>
      <c r="N830" s="151">
        <f>+IF(OR($Q830=Parametres!$G$2,$Q830=Parametres!$G$3),I830,C830)</f>
        <v>-94</v>
      </c>
      <c r="O830" s="151">
        <f>+IF(OR($Q830=Parametres!$G$2,$Q830=Parametres!$G$3),J830,D830)</f>
        <v>-12</v>
      </c>
      <c r="P830" s="151">
        <f>+IF(OR($Q830=Parametres!$G$2,$Q830=Parametres!$G$3),K830,E830)</f>
        <v>-106</v>
      </c>
      <c r="Q830" s="150" t="str">
        <f t="shared" si="62"/>
        <v>10-Compte compteur</v>
      </c>
      <c r="R830" s="149" t="str">
        <f t="shared" si="63"/>
        <v>474A</v>
      </c>
      <c r="S830" s="150">
        <f t="shared" si="64"/>
        <v>0</v>
      </c>
      <c r="T830" s="152" t="str">
        <f>+VLOOKUP($L830,Data_Validation!$A:$D,1,0)</f>
        <v>474D@</v>
      </c>
      <c r="U830" s="152" t="str">
        <f>+VLOOKUP($L830,Data_Validation!$A:$D,3,0)</f>
        <v>pièces</v>
      </c>
      <c r="V830" s="152" t="str">
        <f>+VLOOKUP($L830,Data_Validation!$A:$D,4,0)</f>
        <v>Ventes Détails</v>
      </c>
      <c r="W830" s="152" t="str">
        <f>+VLOOKUP($L830,Data_Validation!$A:$E,5,0)</f>
        <v>nb</v>
      </c>
    </row>
    <row r="831" spans="1:23" ht="15.75" customHeight="1">
      <c r="A831" s="664" t="s">
        <v>1596</v>
      </c>
      <c r="B831" s="664" t="s">
        <v>756</v>
      </c>
      <c r="C831" s="665"/>
      <c r="D831" s="665"/>
      <c r="E831" s="665"/>
      <c r="F831" s="664" t="s">
        <v>4</v>
      </c>
      <c r="G831" s="664" t="s">
        <v>1118</v>
      </c>
      <c r="H831" s="153"/>
      <c r="I831" s="153">
        <v>-409</v>
      </c>
      <c r="J831" s="153">
        <v>-58</v>
      </c>
      <c r="K831" s="153">
        <v>-467</v>
      </c>
      <c r="L831" s="149" t="str">
        <f t="shared" si="60"/>
        <v>474E@</v>
      </c>
      <c r="M831" s="150" t="str">
        <f t="shared" si="61"/>
        <v># DE VTE - PCS COMP. BMW ACCESS.</v>
      </c>
      <c r="N831" s="151">
        <f>+IF(OR($Q831=Parametres!$G$2,$Q831=Parametres!$G$3),I831,C831)</f>
        <v>-409</v>
      </c>
      <c r="O831" s="151">
        <f>+IF(OR($Q831=Parametres!$G$2,$Q831=Parametres!$G$3),J831,D831)</f>
        <v>-58</v>
      </c>
      <c r="P831" s="151">
        <f>+IF(OR($Q831=Parametres!$G$2,$Q831=Parametres!$G$3),K831,E831)</f>
        <v>-467</v>
      </c>
      <c r="Q831" s="150" t="str">
        <f t="shared" si="62"/>
        <v>10-Compte compteur</v>
      </c>
      <c r="R831" s="149" t="str">
        <f t="shared" si="63"/>
        <v>474A</v>
      </c>
      <c r="S831" s="150">
        <f t="shared" si="64"/>
        <v>0</v>
      </c>
      <c r="T831" s="152" t="str">
        <f>+VLOOKUP($L831,Data_Validation!$A:$D,1,0)</f>
        <v>474E@</v>
      </c>
      <c r="U831" s="152" t="str">
        <f>+VLOOKUP($L831,Data_Validation!$A:$D,3,0)</f>
        <v>pièces</v>
      </c>
      <c r="V831" s="152" t="str">
        <f>+VLOOKUP($L831,Data_Validation!$A:$D,4,0)</f>
        <v>Ventes Détails</v>
      </c>
      <c r="W831" s="152" t="str">
        <f>+VLOOKUP($L831,Data_Validation!$A:$E,5,0)</f>
        <v>nb</v>
      </c>
    </row>
    <row r="832" spans="1:23" ht="15.75" customHeight="1">
      <c r="A832" s="664" t="s">
        <v>1597</v>
      </c>
      <c r="B832" s="664" t="s">
        <v>1598</v>
      </c>
      <c r="C832" s="665"/>
      <c r="D832" s="665"/>
      <c r="E832" s="665"/>
      <c r="F832" s="664" t="s">
        <v>4</v>
      </c>
      <c r="G832" s="664" t="s">
        <v>1167</v>
      </c>
      <c r="H832" s="153"/>
      <c r="I832" s="153">
        <v>-971</v>
      </c>
      <c r="J832" s="153">
        <v>-86</v>
      </c>
      <c r="K832" s="153">
        <v>-1057</v>
      </c>
      <c r="L832" s="149" t="str">
        <f t="shared" si="60"/>
        <v>475A@</v>
      </c>
      <c r="M832" s="150" t="str">
        <f t="shared" si="61"/>
        <v># DE VTE - PIECES GROS BMW AUTO</v>
      </c>
      <c r="N832" s="151">
        <f>+IF(OR($Q832=Parametres!$G$2,$Q832=Parametres!$G$3),I832,C832)</f>
        <v>-971</v>
      </c>
      <c r="O832" s="151">
        <f>+IF(OR($Q832=Parametres!$G$2,$Q832=Parametres!$G$3),J832,D832)</f>
        <v>-86</v>
      </c>
      <c r="P832" s="151">
        <f>+IF(OR($Q832=Parametres!$G$2,$Q832=Parametres!$G$3),K832,E832)</f>
        <v>-1057</v>
      </c>
      <c r="Q832" s="150" t="str">
        <f t="shared" si="62"/>
        <v>10-Compte compteur</v>
      </c>
      <c r="R832" s="149" t="str">
        <f t="shared" si="63"/>
        <v>475A</v>
      </c>
      <c r="S832" s="150">
        <f t="shared" si="64"/>
        <v>0</v>
      </c>
      <c r="T832" s="152" t="str">
        <f>+VLOOKUP($L832,Data_Validation!$A:$D,1,0)</f>
        <v>475A@</v>
      </c>
      <c r="U832" s="152" t="str">
        <f>+VLOOKUP($L832,Data_Validation!$A:$D,3,0)</f>
        <v>pièces</v>
      </c>
      <c r="V832" s="152" t="str">
        <f>+VLOOKUP($L832,Data_Validation!$A:$D,4,0)</f>
        <v>Ventes de Gros</v>
      </c>
      <c r="W832" s="152" t="str">
        <f>+VLOOKUP($L832,Data_Validation!$A:$E,5,0)</f>
        <v>nb</v>
      </c>
    </row>
    <row r="833" spans="1:23" ht="15.75" customHeight="1">
      <c r="A833" s="664" t="s">
        <v>1599</v>
      </c>
      <c r="B833" s="664" t="s">
        <v>758</v>
      </c>
      <c r="C833" s="665"/>
      <c r="D833" s="665"/>
      <c r="E833" s="665"/>
      <c r="F833" s="664" t="s">
        <v>4</v>
      </c>
      <c r="G833" s="664" t="s">
        <v>637</v>
      </c>
      <c r="H833" s="153"/>
      <c r="I833" s="153">
        <v>-2</v>
      </c>
      <c r="J833" s="153">
        <v>-1</v>
      </c>
      <c r="K833" s="153">
        <v>-3</v>
      </c>
      <c r="L833" s="149" t="str">
        <f t="shared" si="60"/>
        <v>480@</v>
      </c>
      <c r="M833" s="150" t="str">
        <f t="shared" si="61"/>
        <v># OF VTES -VTES - X7 XDR 40I</v>
      </c>
      <c r="N833" s="151">
        <f>+IF(OR($Q833=Parametres!$G$2,$Q833=Parametres!$G$3),I833,C833)</f>
        <v>-2</v>
      </c>
      <c r="O833" s="151">
        <f>+IF(OR($Q833=Parametres!$G$2,$Q833=Parametres!$G$3),J833,D833)</f>
        <v>-1</v>
      </c>
      <c r="P833" s="151">
        <f>+IF(OR($Q833=Parametres!$G$2,$Q833=Parametres!$G$3),K833,E833)</f>
        <v>-3</v>
      </c>
      <c r="Q833" s="150" t="str">
        <f t="shared" si="62"/>
        <v>10-Compte compteur</v>
      </c>
      <c r="R833" s="149" t="str">
        <f t="shared" si="63"/>
        <v>480</v>
      </c>
      <c r="S833" s="150">
        <f t="shared" si="64"/>
        <v>0</v>
      </c>
      <c r="T833" s="152" t="str">
        <f>+VLOOKUP($L833,Data_Validation!$A:$D,1,0)</f>
        <v>480@</v>
      </c>
      <c r="U833" s="152" t="str">
        <f>+VLOOKUP($L833,Data_Validation!$A:$D,3,0)</f>
        <v>Véhicules neufs</v>
      </c>
      <c r="V833" s="152" t="str">
        <f>+VLOOKUP($L833,Data_Validation!$A:$D,4,0)</f>
        <v>Camions détail</v>
      </c>
      <c r="W833" s="152" t="str">
        <f>+VLOOKUP($L833,Data_Validation!$A:$E,5,0)</f>
        <v>nb</v>
      </c>
    </row>
    <row r="834" spans="1:23" ht="15.75" customHeight="1">
      <c r="A834" s="664" t="s">
        <v>2527</v>
      </c>
      <c r="B834" s="664" t="s">
        <v>2528</v>
      </c>
      <c r="C834" s="665"/>
      <c r="D834" s="665"/>
      <c r="E834" s="665"/>
      <c r="F834" s="664" t="s">
        <v>4</v>
      </c>
      <c r="G834" s="664" t="s">
        <v>2521</v>
      </c>
      <c r="H834" s="153"/>
      <c r="I834" s="153">
        <v>-2</v>
      </c>
      <c r="J834" s="153">
        <v>0</v>
      </c>
      <c r="K834" s="153">
        <v>-2</v>
      </c>
      <c r="L834" s="149" t="str">
        <f t="shared" ref="L834:L897" si="65">+B834</f>
        <v>480C@</v>
      </c>
      <c r="M834" s="150" t="str">
        <f t="shared" ref="M834:M897" si="66">+A834</f>
        <v># DE VTE - X7 M60i</v>
      </c>
      <c r="N834" s="151">
        <f>+IF(OR($Q834=Parametres!$G$2,$Q834=Parametres!$G$3),I834,C834)</f>
        <v>-2</v>
      </c>
      <c r="O834" s="151">
        <f>+IF(OR($Q834=Parametres!$G$2,$Q834=Parametres!$G$3),J834,D834)</f>
        <v>0</v>
      </c>
      <c r="P834" s="151">
        <f>+IF(OR($Q834=Parametres!$G$2,$Q834=Parametres!$G$3),K834,E834)</f>
        <v>-2</v>
      </c>
      <c r="Q834" s="150" t="str">
        <f t="shared" ref="Q834:Q897" si="67">+F834</f>
        <v>10-Compte compteur</v>
      </c>
      <c r="R834" s="149" t="str">
        <f t="shared" ref="R834:R897" si="68">+G834</f>
        <v>480C</v>
      </c>
      <c r="S834" s="150">
        <f t="shared" ref="S834:S897" si="69">+H834</f>
        <v>0</v>
      </c>
      <c r="T834" s="152" t="str">
        <f>+VLOOKUP($L834,Data_Validation!$A:$D,1,0)</f>
        <v>480C@</v>
      </c>
      <c r="U834" s="152" t="str">
        <f>+VLOOKUP($L834,Data_Validation!$A:$D,3,0)</f>
        <v>Véhicules neufs</v>
      </c>
      <c r="V834" s="152" t="str">
        <f>+VLOOKUP($L834,Data_Validation!$A:$D,4,0)</f>
        <v>Camions détail</v>
      </c>
      <c r="W834" s="152" t="str">
        <f>+VLOOKUP($L834,Data_Validation!$A:$E,5,0)</f>
        <v>NB</v>
      </c>
    </row>
    <row r="835" spans="1:23" ht="15.75" customHeight="1">
      <c r="A835" s="664" t="s">
        <v>2522</v>
      </c>
      <c r="B835" s="664" t="s">
        <v>2529</v>
      </c>
      <c r="C835" s="665"/>
      <c r="D835" s="665"/>
      <c r="E835" s="665"/>
      <c r="F835" s="664" t="s">
        <v>4</v>
      </c>
      <c r="G835" s="664" t="s">
        <v>2523</v>
      </c>
      <c r="H835" s="153"/>
      <c r="I835" s="153">
        <v>-1</v>
      </c>
      <c r="J835" s="153">
        <v>0</v>
      </c>
      <c r="K835" s="153">
        <v>-1</v>
      </c>
      <c r="L835" s="149" t="str">
        <f t="shared" si="65"/>
        <v>481@</v>
      </c>
      <c r="M835" s="150" t="str">
        <f t="shared" si="66"/>
        <v>XM</v>
      </c>
      <c r="N835" s="151">
        <f>+IF(OR($Q835=Parametres!$G$2,$Q835=Parametres!$G$3),I835,C835)</f>
        <v>-1</v>
      </c>
      <c r="O835" s="151">
        <f>+IF(OR($Q835=Parametres!$G$2,$Q835=Parametres!$G$3),J835,D835)</f>
        <v>0</v>
      </c>
      <c r="P835" s="151">
        <f>+IF(OR($Q835=Parametres!$G$2,$Q835=Parametres!$G$3),K835,E835)</f>
        <v>-1</v>
      </c>
      <c r="Q835" s="150" t="str">
        <f t="shared" si="67"/>
        <v>10-Compte compteur</v>
      </c>
      <c r="R835" s="149" t="str">
        <f t="shared" si="68"/>
        <v>481</v>
      </c>
      <c r="S835" s="150">
        <f t="shared" si="69"/>
        <v>0</v>
      </c>
      <c r="T835" s="152" t="str">
        <f>+VLOOKUP($L835,Data_Validation!$A:$D,1,0)</f>
        <v>481@</v>
      </c>
      <c r="U835" s="152" t="str">
        <f>+VLOOKUP($L835,Data_Validation!$A:$D,3,0)</f>
        <v>Véhicules neufs</v>
      </c>
      <c r="V835" s="152" t="str">
        <f>+VLOOKUP($L835,Data_Validation!$A:$D,4,0)</f>
        <v>Camions détail</v>
      </c>
      <c r="W835" s="152" t="str">
        <f>+VLOOKUP($L835,Data_Validation!$A:$E,5,0)</f>
        <v>NB</v>
      </c>
    </row>
    <row r="836" spans="1:23" ht="15.75" customHeight="1">
      <c r="A836" s="664" t="s">
        <v>2855</v>
      </c>
      <c r="B836" s="664" t="s">
        <v>2866</v>
      </c>
      <c r="C836" s="665"/>
      <c r="D836" s="665"/>
      <c r="E836" s="665"/>
      <c r="F836" s="664" t="s">
        <v>4</v>
      </c>
      <c r="G836" s="664" t="s">
        <v>2523</v>
      </c>
      <c r="H836" s="153"/>
      <c r="I836" s="153">
        <v>-1</v>
      </c>
      <c r="J836" s="153">
        <v>0</v>
      </c>
      <c r="K836" s="153">
        <v>-1</v>
      </c>
      <c r="L836" s="149" t="str">
        <f t="shared" si="65"/>
        <v>481A@</v>
      </c>
      <c r="M836" s="150" t="str">
        <f t="shared" si="66"/>
        <v>XM LABEL</v>
      </c>
      <c r="N836" s="151">
        <f>+IF(OR($Q836=Parametres!$G$2,$Q836=Parametres!$G$3),I836,C836)</f>
        <v>-1</v>
      </c>
      <c r="O836" s="151">
        <f>+IF(OR($Q836=Parametres!$G$2,$Q836=Parametres!$G$3),J836,D836)</f>
        <v>0</v>
      </c>
      <c r="P836" s="151">
        <f>+IF(OR($Q836=Parametres!$G$2,$Q836=Parametres!$G$3),K836,E836)</f>
        <v>-1</v>
      </c>
      <c r="Q836" s="150" t="str">
        <f t="shared" si="67"/>
        <v>10-Compte compteur</v>
      </c>
      <c r="R836" s="149" t="str">
        <f t="shared" si="68"/>
        <v>481</v>
      </c>
      <c r="S836" s="150">
        <f t="shared" si="69"/>
        <v>0</v>
      </c>
      <c r="T836" s="152" t="str">
        <f>+VLOOKUP($L836,Data_Validation!$A:$D,1,0)</f>
        <v>481A@</v>
      </c>
      <c r="U836" s="152" t="str">
        <f>+VLOOKUP($L836,Data_Validation!$A:$D,3,0)</f>
        <v>Véhicules neufs</v>
      </c>
      <c r="V836" s="152" t="str">
        <f>+VLOOKUP($L836,Data_Validation!$A:$D,4,0)</f>
        <v>Camions détail</v>
      </c>
      <c r="W836" s="152" t="str">
        <f>+VLOOKUP($L836,Data_Validation!$A:$E,5,0)</f>
        <v>nb</v>
      </c>
    </row>
    <row r="837" spans="1:23" ht="15.75" customHeight="1">
      <c r="A837" s="664" t="s">
        <v>1600</v>
      </c>
      <c r="B837" s="664" t="s">
        <v>761</v>
      </c>
      <c r="C837" s="665"/>
      <c r="D837" s="665"/>
      <c r="E837" s="665"/>
      <c r="F837" s="664" t="s">
        <v>4</v>
      </c>
      <c r="G837" s="664" t="s">
        <v>417</v>
      </c>
      <c r="H837" s="153"/>
      <c r="I837" s="153">
        <v>-375</v>
      </c>
      <c r="J837" s="153">
        <v>-92</v>
      </c>
      <c r="K837" s="153">
        <v>-467</v>
      </c>
      <c r="L837" s="149" t="str">
        <f t="shared" si="65"/>
        <v>488A@</v>
      </c>
      <c r="M837" s="150" t="str">
        <f t="shared" si="66"/>
        <v># DE VTE - PNEUS</v>
      </c>
      <c r="N837" s="151">
        <f>+IF(OR($Q837=Parametres!$G$2,$Q837=Parametres!$G$3),I837,C837)</f>
        <v>-375</v>
      </c>
      <c r="O837" s="151">
        <f>+IF(OR($Q837=Parametres!$G$2,$Q837=Parametres!$G$3),J837,D837)</f>
        <v>-92</v>
      </c>
      <c r="P837" s="151">
        <f>+IF(OR($Q837=Parametres!$G$2,$Q837=Parametres!$G$3),K837,E837)</f>
        <v>-467</v>
      </c>
      <c r="Q837" s="150" t="str">
        <f t="shared" si="67"/>
        <v>10-Compte compteur</v>
      </c>
      <c r="R837" s="149" t="str">
        <f t="shared" si="68"/>
        <v>488A</v>
      </c>
      <c r="S837" s="150">
        <f t="shared" si="69"/>
        <v>0</v>
      </c>
      <c r="T837" s="152" t="str">
        <f>+VLOOKUP($L837,Data_Validation!$A:$D,1,0)</f>
        <v>488A@</v>
      </c>
      <c r="U837" s="152" t="str">
        <f>+VLOOKUP($L837,Data_Validation!$A:$D,3,0)</f>
        <v>pièces</v>
      </c>
      <c r="V837" s="152" t="str">
        <f>+VLOOKUP($L837,Data_Validation!$A:$D,4,0)</f>
        <v>Ventes Pneus</v>
      </c>
      <c r="W837" s="152" t="str">
        <f>+VLOOKUP($L837,Data_Validation!$A:$E,5,0)</f>
        <v>nb</v>
      </c>
    </row>
    <row r="838" spans="1:23" ht="15.75" customHeight="1">
      <c r="A838" s="664" t="s">
        <v>1601</v>
      </c>
      <c r="B838" s="664" t="s">
        <v>762</v>
      </c>
      <c r="C838" s="665"/>
      <c r="D838" s="665"/>
      <c r="E838" s="665"/>
      <c r="F838" s="664" t="s">
        <v>4</v>
      </c>
      <c r="G838" s="664" t="s">
        <v>445</v>
      </c>
      <c r="H838" s="153"/>
      <c r="I838" s="153">
        <v>-677</v>
      </c>
      <c r="J838" s="153">
        <v>-98</v>
      </c>
      <c r="K838" s="153">
        <v>-775</v>
      </c>
      <c r="L838" s="149" t="str">
        <f t="shared" si="65"/>
        <v>489A@</v>
      </c>
      <c r="M838" s="150" t="str">
        <f t="shared" si="66"/>
        <v># DE VTE - HUILES &amp; GRAISSES</v>
      </c>
      <c r="N838" s="151">
        <f>+IF(OR($Q838=Parametres!$G$2,$Q838=Parametres!$G$3),I838,C838)</f>
        <v>-677</v>
      </c>
      <c r="O838" s="151">
        <f>+IF(OR($Q838=Parametres!$G$2,$Q838=Parametres!$G$3),J838,D838)</f>
        <v>-98</v>
      </c>
      <c r="P838" s="151">
        <f>+IF(OR($Q838=Parametres!$G$2,$Q838=Parametres!$G$3),K838,E838)</f>
        <v>-775</v>
      </c>
      <c r="Q838" s="150" t="str">
        <f t="shared" si="67"/>
        <v>10-Compte compteur</v>
      </c>
      <c r="R838" s="149" t="str">
        <f t="shared" si="68"/>
        <v>489A</v>
      </c>
      <c r="S838" s="150">
        <f t="shared" si="69"/>
        <v>0</v>
      </c>
      <c r="T838" s="152" t="str">
        <f>+VLOOKUP($L838,Data_Validation!$A:$D,1,0)</f>
        <v>489A@</v>
      </c>
      <c r="U838" s="152" t="str">
        <f>+VLOOKUP($L838,Data_Validation!$A:$D,3,0)</f>
        <v>pièces</v>
      </c>
      <c r="V838" s="152" t="str">
        <f>+VLOOKUP($L838,Data_Validation!$A:$D,4,0)</f>
        <v>Huiles et Graisse</v>
      </c>
      <c r="W838" s="152" t="str">
        <f>+VLOOKUP($L838,Data_Validation!$A:$E,5,0)</f>
        <v>nb</v>
      </c>
    </row>
    <row r="839" spans="1:23" ht="15.75" customHeight="1">
      <c r="A839" s="664" t="s">
        <v>1602</v>
      </c>
      <c r="B839" s="664" t="s">
        <v>1603</v>
      </c>
      <c r="C839" s="665"/>
      <c r="D839" s="665"/>
      <c r="E839" s="665"/>
      <c r="F839" s="664" t="s">
        <v>4</v>
      </c>
      <c r="G839" s="664" t="s">
        <v>445</v>
      </c>
      <c r="H839" s="153"/>
      <c r="I839" s="153">
        <v>-847</v>
      </c>
      <c r="J839" s="153">
        <v>-118</v>
      </c>
      <c r="K839" s="153">
        <v>-965</v>
      </c>
      <c r="L839" s="149" t="str">
        <f t="shared" si="65"/>
        <v>489B@</v>
      </c>
      <c r="M839" s="150" t="str">
        <f t="shared" si="66"/>
        <v># DE VTE - HUILE &amp; GRAISSE</v>
      </c>
      <c r="N839" s="151">
        <f>+IF(OR($Q839=Parametres!$G$2,$Q839=Parametres!$G$3),I839,C839)</f>
        <v>-847</v>
      </c>
      <c r="O839" s="151">
        <f>+IF(OR($Q839=Parametres!$G$2,$Q839=Parametres!$G$3),J839,D839)</f>
        <v>-118</v>
      </c>
      <c r="P839" s="151">
        <f>+IF(OR($Q839=Parametres!$G$2,$Q839=Parametres!$G$3),K839,E839)</f>
        <v>-965</v>
      </c>
      <c r="Q839" s="150" t="str">
        <f t="shared" si="67"/>
        <v>10-Compte compteur</v>
      </c>
      <c r="R839" s="149" t="str">
        <f t="shared" si="68"/>
        <v>489A</v>
      </c>
      <c r="S839" s="150">
        <f t="shared" si="69"/>
        <v>0</v>
      </c>
      <c r="T839" s="152" t="str">
        <f>+VLOOKUP($L839,Data_Validation!$A:$D,1,0)</f>
        <v>489B@</v>
      </c>
      <c r="U839" s="152" t="str">
        <f>+VLOOKUP($L839,Data_Validation!$A:$D,3,0)</f>
        <v>pièces</v>
      </c>
      <c r="V839" s="152" t="str">
        <f>+VLOOKUP($L839,Data_Validation!$A:$D,4,0)</f>
        <v>Huiles et Graisse</v>
      </c>
      <c r="W839" s="152" t="str">
        <f>+VLOOKUP($L839,Data_Validation!$A:$E,5,0)</f>
        <v>nb</v>
      </c>
    </row>
    <row r="840" spans="1:23" ht="15.75" customHeight="1">
      <c r="A840" s="664" t="s">
        <v>1604</v>
      </c>
      <c r="B840" s="664" t="s">
        <v>763</v>
      </c>
      <c r="C840" s="665"/>
      <c r="D840" s="665"/>
      <c r="E840" s="665"/>
      <c r="F840" s="664" t="s">
        <v>4</v>
      </c>
      <c r="G840" s="664" t="s">
        <v>365</v>
      </c>
      <c r="H840" s="153"/>
      <c r="I840" s="153">
        <v>-75</v>
      </c>
      <c r="J840" s="153">
        <v>-15</v>
      </c>
      <c r="K840" s="153">
        <v>-90</v>
      </c>
      <c r="L840" s="149" t="str">
        <f t="shared" si="65"/>
        <v>493@</v>
      </c>
      <c r="M840" s="150" t="str">
        <f t="shared" si="66"/>
        <v># DE VTE - M/O CARROSERIE BMW</v>
      </c>
      <c r="N840" s="151">
        <f>+IF(OR($Q840=Parametres!$G$2,$Q840=Parametres!$G$3),I840,C840)</f>
        <v>-75</v>
      </c>
      <c r="O840" s="151">
        <f>+IF(OR($Q840=Parametres!$G$2,$Q840=Parametres!$G$3),J840,D840)</f>
        <v>-15</v>
      </c>
      <c r="P840" s="151">
        <f>+IF(OR($Q840=Parametres!$G$2,$Q840=Parametres!$G$3),K840,E840)</f>
        <v>-90</v>
      </c>
      <c r="Q840" s="150" t="str">
        <f t="shared" si="67"/>
        <v>10-Compte compteur</v>
      </c>
      <c r="R840" s="149" t="str">
        <f t="shared" si="68"/>
        <v>493</v>
      </c>
      <c r="S840" s="150">
        <f t="shared" si="69"/>
        <v>0</v>
      </c>
      <c r="T840" s="152" t="str">
        <f>+VLOOKUP($L840,Data_Validation!$A:$D,1,0)</f>
        <v>493@</v>
      </c>
      <c r="U840" s="152" t="str">
        <f>+VLOOKUP($L840,Data_Validation!$A:$D,3,0)</f>
        <v>carrosserie</v>
      </c>
      <c r="V840" s="152" t="str">
        <f>+VLOOKUP($L840,Data_Validation!$A:$D,4,0)</f>
        <v>M/O Sous-traitement</v>
      </c>
      <c r="W840" s="152" t="str">
        <f>+VLOOKUP($L840,Data_Validation!$A:$E,5,0)</f>
        <v>nb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51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2542</v>
      </c>
      <c r="B24" s="718" t="s">
        <v>2543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2544</v>
      </c>
      <c r="B27" s="718" t="s">
        <v>2545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2414</v>
      </c>
      <c r="B33" s="718" t="s">
        <v>2415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2167</v>
      </c>
      <c r="B34" s="718" t="s">
        <v>2168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2189</v>
      </c>
      <c r="B35" s="718" t="s">
        <v>2190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2216</v>
      </c>
      <c r="B36" s="718" t="s">
        <v>2217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2546</v>
      </c>
      <c r="B37" s="718" t="s">
        <v>2547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2450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2548</v>
      </c>
      <c r="B49" s="718" t="s">
        <v>2549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2451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2452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2550</v>
      </c>
      <c r="B70" s="718" t="s">
        <v>2551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2453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2485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2454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2454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2454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2455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2455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2455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2461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2456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2457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2458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2459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2459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2460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2227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2227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2338</v>
      </c>
      <c r="B132" s="718" t="s">
        <v>2339</v>
      </c>
      <c r="C132" s="720">
        <v>2750000</v>
      </c>
      <c r="D132" s="720">
        <v>0</v>
      </c>
      <c r="E132" s="720">
        <v>2750000</v>
      </c>
      <c r="F132" s="718" t="s">
        <v>2227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2227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2227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2340</v>
      </c>
      <c r="B136" s="718" t="s">
        <v>2341</v>
      </c>
      <c r="C136" s="719">
        <v>137799.5</v>
      </c>
      <c r="D136" s="719">
        <v>-137799.5</v>
      </c>
      <c r="E136" s="719">
        <v>0</v>
      </c>
      <c r="F136" s="718" t="s">
        <v>2227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2227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2333</v>
      </c>
      <c r="B138" s="718" t="s">
        <v>2334</v>
      </c>
      <c r="C138" s="720">
        <v>-681.89</v>
      </c>
      <c r="D138" s="720">
        <v>2014.45</v>
      </c>
      <c r="E138" s="720">
        <v>1332.56</v>
      </c>
      <c r="F138" s="718" t="s">
        <v>2227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2303</v>
      </c>
      <c r="B139" s="718" t="s">
        <v>2304</v>
      </c>
      <c r="C139" s="720">
        <v>9919</v>
      </c>
      <c r="D139" s="720">
        <v>0</v>
      </c>
      <c r="E139" s="720">
        <v>9919</v>
      </c>
      <c r="F139" s="718" t="s">
        <v>2227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2198</v>
      </c>
      <c r="B140" s="718" t="s">
        <v>2199</v>
      </c>
      <c r="C140" s="720">
        <v>479.47</v>
      </c>
      <c r="D140" s="720">
        <v>4528.41</v>
      </c>
      <c r="E140" s="720">
        <v>5007.88</v>
      </c>
      <c r="F140" s="718" t="s">
        <v>2227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2227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2227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2227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2227</v>
      </c>
      <c r="G144" s="718" t="s">
        <v>2248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2227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2227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2227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2227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2227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2227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2227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2227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2227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2227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2227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2227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2227</v>
      </c>
      <c r="G158" s="718" t="s">
        <v>2247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2227</v>
      </c>
      <c r="G159" s="718" t="s">
        <v>2247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2227</v>
      </c>
      <c r="G160" s="718" t="s">
        <v>2247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2227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2227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2227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2227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2227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2227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2227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2227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2227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2227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2227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2227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2227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2227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2227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2227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2228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2228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2228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2228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2228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2228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2228</v>
      </c>
      <c r="G183" s="718" t="s">
        <v>2250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2228</v>
      </c>
      <c r="G184" s="718" t="s">
        <v>2250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2228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2200</v>
      </c>
      <c r="B186" s="718" t="s">
        <v>2201</v>
      </c>
      <c r="C186" s="720">
        <v>-83547.539999999994</v>
      </c>
      <c r="D186" s="720">
        <v>13988.14</v>
      </c>
      <c r="E186" s="720">
        <v>-69559.399999999994</v>
      </c>
      <c r="F186" s="718" t="s">
        <v>2228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2421</v>
      </c>
      <c r="B187" s="718" t="s">
        <v>2422</v>
      </c>
      <c r="C187" s="720">
        <v>-277.20999999999998</v>
      </c>
      <c r="D187" s="720">
        <v>-183.5</v>
      </c>
      <c r="E187" s="720">
        <v>-460.71</v>
      </c>
      <c r="F187" s="718" t="s">
        <v>2228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2552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2228</v>
      </c>
      <c r="G188" s="718" t="s">
        <v>2250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2442</v>
      </c>
      <c r="B189" s="718" t="s">
        <v>2443</v>
      </c>
      <c r="C189" s="720">
        <v>0</v>
      </c>
      <c r="D189" s="720">
        <v>-12212</v>
      </c>
      <c r="E189" s="720">
        <v>-12212</v>
      </c>
      <c r="F189" s="718" t="s">
        <v>2228</v>
      </c>
      <c r="G189" s="718" t="s">
        <v>2250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2228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2228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2228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2228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2228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2228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2228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2228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2228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2432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2228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2228</v>
      </c>
      <c r="G200" s="718" t="s">
        <v>2252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2228</v>
      </c>
      <c r="G201" s="718" t="s">
        <v>2252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2228</v>
      </c>
      <c r="G202" s="718" t="s">
        <v>2252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2228</v>
      </c>
      <c r="G203" s="718" t="s">
        <v>2252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2228</v>
      </c>
      <c r="G204" s="718" t="s">
        <v>2252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2228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2416</v>
      </c>
      <c r="B207" s="718" t="s">
        <v>2417</v>
      </c>
      <c r="C207" s="720">
        <v>-32366.87</v>
      </c>
      <c r="D207" s="720">
        <v>-5454.25</v>
      </c>
      <c r="E207" s="720">
        <v>-37821.120000000003</v>
      </c>
      <c r="F207" s="718" t="s">
        <v>2228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2228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2228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2228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2228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2429</v>
      </c>
      <c r="B212" s="718" t="s">
        <v>2430</v>
      </c>
      <c r="C212" s="720">
        <v>-314495.12</v>
      </c>
      <c r="D212" s="720">
        <v>-3242.47</v>
      </c>
      <c r="E212" s="720">
        <v>-317737.59000000003</v>
      </c>
      <c r="F212" s="718" t="s">
        <v>2228</v>
      </c>
      <c r="G212" s="718" t="s">
        <v>2430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2335</v>
      </c>
      <c r="B213" s="718" t="s">
        <v>2336</v>
      </c>
      <c r="C213" s="720">
        <v>-19252.95</v>
      </c>
      <c r="D213" s="720">
        <v>-79924.44</v>
      </c>
      <c r="E213" s="720">
        <v>-99177.39</v>
      </c>
      <c r="F213" s="718" t="s">
        <v>2228</v>
      </c>
      <c r="G213" s="718" t="s">
        <v>2336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2228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2228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2228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2228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2228</v>
      </c>
      <c r="G218" s="718" t="s">
        <v>2251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2305</v>
      </c>
      <c r="B219" s="718" t="s">
        <v>2306</v>
      </c>
      <c r="C219" s="720">
        <v>-149005</v>
      </c>
      <c r="D219" s="720">
        <v>0</v>
      </c>
      <c r="E219" s="720">
        <v>-149005</v>
      </c>
      <c r="F219" s="718" t="s">
        <v>2228</v>
      </c>
      <c r="G219" s="718" t="s">
        <v>2251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2228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2307</v>
      </c>
      <c r="B221" s="718" t="s">
        <v>2308</v>
      </c>
      <c r="C221" s="720">
        <v>-74316.3</v>
      </c>
      <c r="D221" s="720">
        <v>4710.8</v>
      </c>
      <c r="E221" s="720">
        <v>-69605.5</v>
      </c>
      <c r="F221" s="718" t="s">
        <v>2228</v>
      </c>
      <c r="G221" s="718" t="s">
        <v>2308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2228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2228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2228</v>
      </c>
      <c r="G224" s="718" t="s">
        <v>2249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2228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2228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2228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2228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2228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2228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2228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2229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2229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2387</v>
      </c>
      <c r="B234" s="718" t="s">
        <v>2388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2388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2342</v>
      </c>
      <c r="B235" s="718" t="s">
        <v>2343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2343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2408</v>
      </c>
      <c r="B236" s="718" t="s">
        <v>2409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2409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2344</v>
      </c>
      <c r="B237" s="718" t="s">
        <v>2345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2345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2346</v>
      </c>
      <c r="B238" s="718" t="s">
        <v>2347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2347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2363</v>
      </c>
      <c r="B242" s="671" t="s">
        <v>2364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2364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2380</v>
      </c>
      <c r="B246" s="671" t="s">
        <v>2381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2381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2365</v>
      </c>
      <c r="B249" s="718" t="s">
        <v>2366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2486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2462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2389</v>
      </c>
      <c r="B259" s="718" t="s">
        <v>2390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2390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2433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2468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2463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2361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2367</v>
      </c>
      <c r="B303" s="718" t="s">
        <v>2362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2362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2362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2402</v>
      </c>
      <c r="B309" s="718" t="s">
        <v>2403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2191</v>
      </c>
      <c r="B312" s="718" t="s">
        <v>2192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2418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2175</v>
      </c>
      <c r="B325" s="671" t="s">
        <v>2176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2177</v>
      </c>
      <c r="B326" s="718" t="s">
        <v>2178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2238</v>
      </c>
      <c r="B327" s="718" t="s">
        <v>2237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2423</v>
      </c>
      <c r="B335" s="671" t="s">
        <v>2424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2391</v>
      </c>
      <c r="B354" s="671" t="s">
        <v>2392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2388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2348</v>
      </c>
      <c r="B355" s="718" t="s">
        <v>2349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2343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2410</v>
      </c>
      <c r="B356" s="718" t="s">
        <v>2411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2409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2350</v>
      </c>
      <c r="B357" s="718" t="s">
        <v>2351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2345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2352</v>
      </c>
      <c r="B358" s="671" t="s">
        <v>2353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2347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2368</v>
      </c>
      <c r="B362" s="718" t="s">
        <v>2369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2364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2382</v>
      </c>
      <c r="B366" s="718" t="s">
        <v>2383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2381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2370</v>
      </c>
      <c r="B369" s="671" t="s">
        <v>2371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2366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2462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2393</v>
      </c>
      <c r="B380" s="718" t="s">
        <v>2394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2390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2434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2468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2464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2361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2372</v>
      </c>
      <c r="B426" s="718" t="s">
        <v>2373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2362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2404</v>
      </c>
      <c r="B431" s="718" t="s">
        <v>2405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2193</v>
      </c>
      <c r="B434" s="718" t="s">
        <v>2194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2179</v>
      </c>
      <c r="B447" s="718" t="s">
        <v>2180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2181</v>
      </c>
      <c r="B448" s="718" t="s">
        <v>2182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2242</v>
      </c>
      <c r="B449" s="718" t="s">
        <v>2241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2255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2255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2425</v>
      </c>
      <c r="B459" s="718" t="s">
        <v>2426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2225</v>
      </c>
      <c r="B472" s="718" t="s">
        <v>2226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2226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2254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2230</v>
      </c>
      <c r="G480" s="718" t="s">
        <v>2299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2230</v>
      </c>
      <c r="G481" s="718" t="s">
        <v>2299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2230</v>
      </c>
      <c r="G482" s="718" t="s">
        <v>2298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2230</v>
      </c>
      <c r="G483" s="718" t="s">
        <v>2298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2230</v>
      </c>
      <c r="G484" s="718" t="s">
        <v>2293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2230</v>
      </c>
      <c r="G485" s="718" t="s">
        <v>2293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2230</v>
      </c>
      <c r="G486" s="718" t="s">
        <v>2295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2230</v>
      </c>
      <c r="G487" s="718" t="s">
        <v>2295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2230</v>
      </c>
      <c r="G488" s="718" t="s">
        <v>2269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2230</v>
      </c>
      <c r="G489" s="718" t="s">
        <v>2269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2230</v>
      </c>
      <c r="G490" s="718" t="s">
        <v>2269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2230</v>
      </c>
      <c r="G491" s="718" t="s">
        <v>2269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2230</v>
      </c>
      <c r="G492" s="718" t="s">
        <v>2269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2230</v>
      </c>
      <c r="G493" s="718" t="s">
        <v>2258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2230</v>
      </c>
      <c r="G494" s="718" t="s">
        <v>2292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2230</v>
      </c>
      <c r="G495" s="718" t="s">
        <v>2292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2230</v>
      </c>
      <c r="G496" s="718" t="s">
        <v>2257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2230</v>
      </c>
      <c r="G497" s="718" t="s">
        <v>2257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2230</v>
      </c>
      <c r="G498" s="718" t="s">
        <v>2290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2230</v>
      </c>
      <c r="G499" s="718" t="s">
        <v>2290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2230</v>
      </c>
      <c r="G500" s="718" t="s">
        <v>2290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2230</v>
      </c>
      <c r="G501" s="718" t="s">
        <v>2290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2230</v>
      </c>
      <c r="G502" s="718" t="s">
        <v>2290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2230</v>
      </c>
      <c r="G503" s="718" t="s">
        <v>2289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2230</v>
      </c>
      <c r="G504" s="718" t="s">
        <v>2289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2230</v>
      </c>
      <c r="G505" s="718" t="s">
        <v>2289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2230</v>
      </c>
      <c r="G506" s="718" t="s">
        <v>2289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2230</v>
      </c>
      <c r="G507" s="718" t="s">
        <v>2289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2230</v>
      </c>
      <c r="G508" s="718" t="s">
        <v>2288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2230</v>
      </c>
      <c r="G509" s="718" t="s">
        <v>2288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2230</v>
      </c>
      <c r="G510" s="718" t="s">
        <v>2288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2230</v>
      </c>
      <c r="G511" s="718" t="s">
        <v>2288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2230</v>
      </c>
      <c r="G512" s="718" t="s">
        <v>2288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2230</v>
      </c>
      <c r="G513" s="718" t="s">
        <v>2270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2230</v>
      </c>
      <c r="G514" s="718" t="s">
        <v>2270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2230</v>
      </c>
      <c r="G515" s="718" t="s">
        <v>2270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2230</v>
      </c>
      <c r="G516" s="718" t="s">
        <v>2270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2230</v>
      </c>
      <c r="G517" s="718" t="s">
        <v>2270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2230</v>
      </c>
      <c r="G518" s="718" t="s">
        <v>2278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2230</v>
      </c>
      <c r="G519" s="718" t="s">
        <v>2278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2230</v>
      </c>
      <c r="G520" s="718" t="s">
        <v>2278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2230</v>
      </c>
      <c r="G521" s="718" t="s">
        <v>2278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2230</v>
      </c>
      <c r="G522" s="718" t="s">
        <v>2278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2230</v>
      </c>
      <c r="G523" s="718" t="s">
        <v>2281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2230</v>
      </c>
      <c r="G524" s="718" t="s">
        <v>2281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2230</v>
      </c>
      <c r="G525" s="718" t="s">
        <v>2281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2230</v>
      </c>
      <c r="G526" s="718" t="s">
        <v>2281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2230</v>
      </c>
      <c r="G527" s="718" t="s">
        <v>2281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2230</v>
      </c>
      <c r="G528" s="718" t="s">
        <v>2296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2230</v>
      </c>
      <c r="G529" s="718" t="s">
        <v>2275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2230</v>
      </c>
      <c r="G530" s="718" t="s">
        <v>2275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2230</v>
      </c>
      <c r="G531" s="718" t="s">
        <v>2275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2230</v>
      </c>
      <c r="G532" s="718" t="s">
        <v>2275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2230</v>
      </c>
      <c r="G533" s="718" t="s">
        <v>2275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2230</v>
      </c>
      <c r="G534" s="718" t="s">
        <v>2266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2230</v>
      </c>
      <c r="G535" s="718" t="s">
        <v>2266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2230</v>
      </c>
      <c r="G536" s="718" t="s">
        <v>2266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2230</v>
      </c>
      <c r="G537" s="718" t="s">
        <v>2266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2230</v>
      </c>
      <c r="G538" s="718" t="s">
        <v>2266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2230</v>
      </c>
      <c r="G539" s="718" t="s">
        <v>2263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2230</v>
      </c>
      <c r="G540" s="718" t="s">
        <v>2263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2230</v>
      </c>
      <c r="G541" s="718" t="s">
        <v>2297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2230</v>
      </c>
      <c r="G542" s="718" t="s">
        <v>2297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2230</v>
      </c>
      <c r="G543" s="718" t="s">
        <v>2280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2230</v>
      </c>
      <c r="G544" s="718" t="s">
        <v>2280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2230</v>
      </c>
      <c r="G545" s="718" t="s">
        <v>2280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2230</v>
      </c>
      <c r="G546" s="718" t="s">
        <v>2280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2230</v>
      </c>
      <c r="G547" s="718" t="s">
        <v>2280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2230</v>
      </c>
      <c r="G548" s="718" t="s">
        <v>2256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2230</v>
      </c>
      <c r="G549" s="718" t="s">
        <v>2256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2438</v>
      </c>
      <c r="B550" s="718" t="s">
        <v>2439</v>
      </c>
      <c r="C550" s="719">
        <v>0</v>
      </c>
      <c r="D550" s="719">
        <v>-65.23</v>
      </c>
      <c r="E550" s="719">
        <v>-65.23</v>
      </c>
      <c r="F550" s="718" t="s">
        <v>2230</v>
      </c>
      <c r="G550" s="718" t="s">
        <v>2515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2440</v>
      </c>
      <c r="B551" s="718" t="s">
        <v>2441</v>
      </c>
      <c r="C551" s="719">
        <v>0</v>
      </c>
      <c r="D551" s="719">
        <v>-65.22</v>
      </c>
      <c r="E551" s="719">
        <v>-65.22</v>
      </c>
      <c r="F551" s="718" t="s">
        <v>2230</v>
      </c>
      <c r="G551" s="718" t="s">
        <v>2515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2230</v>
      </c>
      <c r="G552" s="718" t="s">
        <v>2271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2230</v>
      </c>
      <c r="G553" s="718" t="s">
        <v>2271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2230</v>
      </c>
      <c r="G554" s="718" t="s">
        <v>2271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2230</v>
      </c>
      <c r="G555" s="718" t="s">
        <v>2271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2230</v>
      </c>
      <c r="G556" s="718" t="s">
        <v>2271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2230</v>
      </c>
      <c r="G557" s="718" t="s">
        <v>2260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2230</v>
      </c>
      <c r="G558" s="718" t="s">
        <v>2260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2230</v>
      </c>
      <c r="G559" s="718" t="s">
        <v>2260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2230</v>
      </c>
      <c r="G560" s="718" t="s">
        <v>2260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2230</v>
      </c>
      <c r="G561" s="718" t="s">
        <v>2260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2230</v>
      </c>
      <c r="G562" s="718" t="s">
        <v>2267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2230</v>
      </c>
      <c r="G563" s="718" t="s">
        <v>2267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2230</v>
      </c>
      <c r="G564" s="718" t="s">
        <v>2267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2230</v>
      </c>
      <c r="G565" s="718" t="s">
        <v>2259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2230</v>
      </c>
      <c r="G566" s="718" t="s">
        <v>2259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2230</v>
      </c>
      <c r="G567" s="718" t="s">
        <v>2259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2230</v>
      </c>
      <c r="G568" s="718" t="s">
        <v>2259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2230</v>
      </c>
      <c r="G569" s="718" t="s">
        <v>2259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2230</v>
      </c>
      <c r="G570" s="718" t="s">
        <v>2286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2230</v>
      </c>
      <c r="G571" s="718" t="s">
        <v>2286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2230</v>
      </c>
      <c r="G572" s="718" t="s">
        <v>2286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2230</v>
      </c>
      <c r="G573" s="718" t="s">
        <v>2286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2230</v>
      </c>
      <c r="G574" s="718" t="s">
        <v>2286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2230</v>
      </c>
      <c r="G575" s="718" t="s">
        <v>2283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2230</v>
      </c>
      <c r="G576" s="718" t="s">
        <v>2283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2230</v>
      </c>
      <c r="G578" s="718" t="s">
        <v>2283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2230</v>
      </c>
      <c r="G579" s="718" t="s">
        <v>2283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2230</v>
      </c>
      <c r="G580" s="718" t="s">
        <v>2268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2230</v>
      </c>
      <c r="G581" s="718" t="s">
        <v>2268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2230</v>
      </c>
      <c r="G582" s="718" t="s">
        <v>2268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2230</v>
      </c>
      <c r="G584" s="718" t="s">
        <v>2268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2230</v>
      </c>
      <c r="G585" s="718" t="s">
        <v>2265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2230</v>
      </c>
      <c r="G586" s="718" t="s">
        <v>2265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2230</v>
      </c>
      <c r="G587" s="718" t="s">
        <v>2265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2230</v>
      </c>
      <c r="G588" s="718" t="s">
        <v>2265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2230</v>
      </c>
      <c r="G589" s="718" t="s">
        <v>2265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2230</v>
      </c>
      <c r="G590" s="718" t="s">
        <v>2284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2230</v>
      </c>
      <c r="G591" s="718" t="s">
        <v>2284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2230</v>
      </c>
      <c r="G592" s="718" t="s">
        <v>2284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2230</v>
      </c>
      <c r="G593" s="718" t="s">
        <v>2284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2230</v>
      </c>
      <c r="G594" s="718" t="s">
        <v>2284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2230</v>
      </c>
      <c r="G595" s="718" t="s">
        <v>2285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2230</v>
      </c>
      <c r="G596" s="718" t="s">
        <v>2285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2230</v>
      </c>
      <c r="G597" s="718" t="s">
        <v>2285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2230</v>
      </c>
      <c r="G598" s="718" t="s">
        <v>2285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2230</v>
      </c>
      <c r="G599" s="718" t="s">
        <v>2285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2230</v>
      </c>
      <c r="G600" s="718" t="s">
        <v>2261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2230</v>
      </c>
      <c r="G601" s="718" t="s">
        <v>2261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2230</v>
      </c>
      <c r="G602" s="718" t="s">
        <v>2261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2230</v>
      </c>
      <c r="G603" s="718" t="s">
        <v>2261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2230</v>
      </c>
      <c r="G604" s="718" t="s">
        <v>2261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2230</v>
      </c>
      <c r="G605" s="718" t="s">
        <v>2272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2230</v>
      </c>
      <c r="G606" s="718" t="s">
        <v>2272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2230</v>
      </c>
      <c r="G607" s="718" t="s">
        <v>2272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2230</v>
      </c>
      <c r="G608" s="718" t="s">
        <v>2272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2230</v>
      </c>
      <c r="G609" s="718" t="s">
        <v>2272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2230</v>
      </c>
      <c r="G610" s="671" t="s">
        <v>2273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2230</v>
      </c>
      <c r="G611" s="671" t="s">
        <v>2273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2230</v>
      </c>
      <c r="G612" s="671" t="s">
        <v>2273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2230</v>
      </c>
      <c r="G613" s="671" t="s">
        <v>2273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2230</v>
      </c>
      <c r="G614" s="671" t="s">
        <v>2273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2230</v>
      </c>
      <c r="G615" s="671" t="s">
        <v>2264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2230</v>
      </c>
      <c r="G616" s="671" t="s">
        <v>2264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2230</v>
      </c>
      <c r="G617" s="671" t="s">
        <v>2264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2230</v>
      </c>
      <c r="G618" s="671" t="s">
        <v>2264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2230</v>
      </c>
      <c r="G619" s="671" t="s">
        <v>2264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2230</v>
      </c>
      <c r="G620" s="671" t="s">
        <v>2294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2230</v>
      </c>
      <c r="G621" s="671" t="s">
        <v>2294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2230</v>
      </c>
      <c r="G622" s="671" t="s">
        <v>2294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2230</v>
      </c>
      <c r="G623" s="671" t="s">
        <v>2294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2230</v>
      </c>
      <c r="G624" s="671" t="s">
        <v>2294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2230</v>
      </c>
      <c r="G625" s="671" t="s">
        <v>2287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2230</v>
      </c>
      <c r="G626" s="671" t="s">
        <v>2287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2230</v>
      </c>
      <c r="G627" s="671" t="s">
        <v>2287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2230</v>
      </c>
      <c r="G628" s="671" t="s">
        <v>2287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2230</v>
      </c>
      <c r="G629" s="671" t="s">
        <v>2287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2230</v>
      </c>
      <c r="G630" s="671" t="s">
        <v>2282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2230</v>
      </c>
      <c r="G631" s="671" t="s">
        <v>2282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2230</v>
      </c>
      <c r="G632" s="671" t="s">
        <v>2282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2230</v>
      </c>
      <c r="G633" s="671" t="s">
        <v>2282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2230</v>
      </c>
      <c r="G635" s="671" t="s">
        <v>2277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2230</v>
      </c>
      <c r="G636" s="671" t="s">
        <v>2277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2230</v>
      </c>
      <c r="G637" s="671" t="s">
        <v>2277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2230</v>
      </c>
      <c r="G638" s="671" t="s">
        <v>2277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2230</v>
      </c>
      <c r="G639" s="671" t="s">
        <v>2277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2230</v>
      </c>
      <c r="G640" s="671" t="s">
        <v>2276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2230</v>
      </c>
      <c r="G641" s="671" t="s">
        <v>2276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2230</v>
      </c>
      <c r="G642" s="671" t="s">
        <v>2276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2230</v>
      </c>
      <c r="G643" s="671" t="s">
        <v>2276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2230</v>
      </c>
      <c r="G644" s="671" t="s">
        <v>2276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2230</v>
      </c>
      <c r="G645" s="671" t="s">
        <v>2274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2230</v>
      </c>
      <c r="G646" s="671" t="s">
        <v>2274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2230</v>
      </c>
      <c r="G647" s="671" t="s">
        <v>2274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2230</v>
      </c>
      <c r="G648" s="671" t="s">
        <v>2274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2230</v>
      </c>
      <c r="G649" s="671" t="s">
        <v>2274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2230</v>
      </c>
      <c r="G650" s="671" t="s">
        <v>2291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2230</v>
      </c>
      <c r="G651" s="671" t="s">
        <v>2279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2230</v>
      </c>
      <c r="G652" s="671" t="s">
        <v>2279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2230</v>
      </c>
      <c r="G653" s="671" t="s">
        <v>2279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2230</v>
      </c>
      <c r="G654" s="671" t="s">
        <v>2279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2230</v>
      </c>
      <c r="G655" s="671" t="s">
        <v>2279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2230</v>
      </c>
      <c r="G656" s="671" t="s">
        <v>2262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2230</v>
      </c>
      <c r="G657" s="671" t="s">
        <v>2262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2230</v>
      </c>
      <c r="G658" s="671" t="s">
        <v>2262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2230</v>
      </c>
      <c r="G659" s="671" t="s">
        <v>2262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2230</v>
      </c>
      <c r="G660" s="671" t="s">
        <v>2262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2429</v>
      </c>
      <c r="B661" s="671" t="s">
        <v>2431</v>
      </c>
      <c r="C661" s="672">
        <v>314495.12</v>
      </c>
      <c r="D661" s="672">
        <v>3242.47</v>
      </c>
      <c r="E661" s="672">
        <v>317737.59000000003</v>
      </c>
      <c r="F661" s="671" t="s">
        <v>2230</v>
      </c>
      <c r="G661" s="671" t="s">
        <v>2431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2231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2231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2231</v>
      </c>
      <c r="G664" s="671" t="s">
        <v>2301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2231</v>
      </c>
      <c r="G665" s="671" t="s">
        <v>2301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2231</v>
      </c>
      <c r="G666" s="671" t="s">
        <v>2300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2231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2231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2302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2302</v>
      </c>
      <c r="G670" s="671" t="s">
        <v>2284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2302</v>
      </c>
      <c r="G671" s="671" t="s">
        <v>2284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2302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2397</v>
      </c>
      <c r="B679" s="671" t="s">
        <v>2398</v>
      </c>
      <c r="C679" s="672"/>
      <c r="D679" s="672"/>
      <c r="E679" s="672"/>
      <c r="F679" s="671" t="s">
        <v>4</v>
      </c>
      <c r="G679" s="671" t="s">
        <v>2388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2354</v>
      </c>
      <c r="B680" s="671" t="s">
        <v>2355</v>
      </c>
      <c r="C680" s="672"/>
      <c r="D680" s="672"/>
      <c r="E680" s="672"/>
      <c r="F680" s="671" t="s">
        <v>4</v>
      </c>
      <c r="G680" s="671" t="s">
        <v>2343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2412</v>
      </c>
      <c r="B681" s="671" t="s">
        <v>2413</v>
      </c>
      <c r="C681" s="672"/>
      <c r="D681" s="672"/>
      <c r="E681" s="672"/>
      <c r="F681" s="671" t="s">
        <v>4</v>
      </c>
      <c r="G681" s="671" t="s">
        <v>2409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2356</v>
      </c>
      <c r="B682" s="671" t="s">
        <v>2357</v>
      </c>
      <c r="C682" s="672"/>
      <c r="D682" s="672"/>
      <c r="E682" s="672"/>
      <c r="F682" s="671" t="s">
        <v>4</v>
      </c>
      <c r="G682" s="671" t="s">
        <v>2345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2358</v>
      </c>
      <c r="B683" s="671" t="s">
        <v>2359</v>
      </c>
      <c r="C683" s="672"/>
      <c r="D683" s="672"/>
      <c r="E683" s="672"/>
      <c r="F683" s="671" t="s">
        <v>4</v>
      </c>
      <c r="G683" s="671" t="s">
        <v>2347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2374</v>
      </c>
      <c r="B687" s="671" t="s">
        <v>2375</v>
      </c>
      <c r="C687" s="672"/>
      <c r="D687" s="672"/>
      <c r="E687" s="672"/>
      <c r="F687" s="671" t="s">
        <v>4</v>
      </c>
      <c r="G687" s="671" t="s">
        <v>2482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2384</v>
      </c>
      <c r="B691" s="671" t="s">
        <v>2385</v>
      </c>
      <c r="C691" s="672"/>
      <c r="D691" s="672"/>
      <c r="E691" s="672"/>
      <c r="F691" s="671" t="s">
        <v>4</v>
      </c>
      <c r="G691" s="671" t="s">
        <v>2381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2376</v>
      </c>
      <c r="B694" s="671" t="s">
        <v>2377</v>
      </c>
      <c r="C694" s="672"/>
      <c r="D694" s="672"/>
      <c r="E694" s="672"/>
      <c r="F694" s="671" t="s">
        <v>4</v>
      </c>
      <c r="G694" s="671" t="s">
        <v>2486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2462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2399</v>
      </c>
      <c r="B704" s="671" t="s">
        <v>2400</v>
      </c>
      <c r="C704" s="672"/>
      <c r="D704" s="672"/>
      <c r="E704" s="672"/>
      <c r="F704" s="671" t="s">
        <v>4</v>
      </c>
      <c r="G704" s="671" t="s">
        <v>2390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2435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2468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2465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2361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2378</v>
      </c>
      <c r="B748" s="671" t="s">
        <v>2379</v>
      </c>
      <c r="C748" s="672"/>
      <c r="D748" s="672"/>
      <c r="E748" s="672"/>
      <c r="F748" s="671" t="s">
        <v>4</v>
      </c>
      <c r="G748" s="671" t="s">
        <v>2362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2183</v>
      </c>
      <c r="B749" s="671" t="s">
        <v>2184</v>
      </c>
      <c r="C749" s="672"/>
      <c r="D749" s="672"/>
      <c r="E749" s="672"/>
      <c r="F749" s="671" t="s">
        <v>4</v>
      </c>
      <c r="G749" s="671" t="s">
        <v>2362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2436</v>
      </c>
      <c r="B753" s="671" t="s">
        <v>2437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2406</v>
      </c>
      <c r="B754" s="671" t="s">
        <v>2407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2195</v>
      </c>
      <c r="B757" s="671" t="s">
        <v>2196</v>
      </c>
      <c r="C757" s="672"/>
      <c r="D757" s="672"/>
      <c r="E757" s="672"/>
      <c r="F757" s="671" t="s">
        <v>4</v>
      </c>
      <c r="G757" s="671" t="s">
        <v>2418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2185</v>
      </c>
      <c r="B770" s="664" t="s">
        <v>2186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2187</v>
      </c>
      <c r="B771" s="664" t="s">
        <v>2188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2246</v>
      </c>
      <c r="B772" s="664" t="s">
        <v>2245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2427</v>
      </c>
      <c r="B780" s="664" t="s">
        <v>2428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70" activePane="bottomLeft" state="frozen"/>
      <selection pane="bottomLeft" activeCell="D1035" sqref="D1035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str">
        <f>+VLOOKUP(Table_1[[#This Row],[Account]],BV_Data_An_Cour!$L:$Q,6,0)</f>
        <v>1-Mémo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str">
        <f>+VLOOKUP(Table_1[[#This Row],[Account]],BV_Data_An_Cour!$L:$Q,6,0)</f>
        <v>1-Mémo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str">
        <f>+VLOOKUP(Table_1[[#This Row],[Account]],BV_Data_An_Cour!$L:$Q,6,0)</f>
        <v>1-Mémo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str">
        <f>+VLOOKUP(Table_1[[#This Row],[Account]],BV_Data_An_Cour!$L:$Q,6,0)</f>
        <v>1-Mémo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str">
        <f>+VLOOKUP(Table_1[[#This Row],[Account]],BV_Data_An_Cour!$L:$Q,6,0)</f>
        <v>1-Mémo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str">
        <f>+VLOOKUP(Table_1[[#This Row],[Account]],BV_Data_An_Cour!$L:$Q,6,0)</f>
        <v>5-Ventes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e">
        <f>+VLOOKUP(Table_1[[#This Row],[Account]],BV_Data_An_Cour!$L:$Q,6,0)</f>
        <v>#N/A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2815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str">
        <f>+VLOOKUP(Table_1[[#This Row],[Account]],BV_Data_An_Cour!$L:$Q,6,0)</f>
        <v>6-Coût des ventes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2815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2815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str">
        <f>+VLOOKUP(Table_1[[#This Row],[Account]],BV_Data_An_Cour!$L:$Q,6,0)</f>
        <v>1-Mémo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str">
        <f>+VLOOKUP(Table_1[[#This Row],[Account]],BV_Data_An_Cour!$L:$Q,6,0)</f>
        <v>1-Mémo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str">
        <f>+VLOOKUP(Table_1[[#This Row],[Account]],BV_Data_An_Cour!$L:$Q,6,0)</f>
        <v>1-Mémo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str">
        <f>+VLOOKUP(Table_1[[#This Row],[Account]],BV_Data_An_Cour!$L:$Q,6,0)</f>
        <v>1-Mémo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2419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str">
        <f>+VLOOKUP(Table_1[[#This Row],[Account]],BV_Data_An_Cour!$L:$Q,6,0)</f>
        <v>1-Mémo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str">
        <f>+VLOOKUP(Table_1[[#This Row],[Account]],BV_Data_An_Cour!$L:$Q,6,0)</f>
        <v>3-Passifs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str">
        <f>+VLOOKUP(Table_1[[#This Row],[Account]],BV_Data_An_Cour!$L:$Q,6,0)</f>
        <v>5-Ventes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str">
        <f>+VLOOKUP(Table_1[[#This Row],[Account]],BV_Data_An_Cour!$L:$Q,6,0)</f>
        <v>10-Compte compteur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str">
        <f>+VLOOKUP(Table_1[[#This Row],[Account]],BV_Data_An_Cour!$L:$Q,6,0)</f>
        <v>10-Compte compteur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2815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str">
        <f>+VLOOKUP(Table_1[[#This Row],[Account]],BV_Data_An_Cour!$L:$Q,6,0)</f>
        <v>6-Coût des ventes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str">
        <f>+VLOOKUP(Table_1[[#This Row],[Account]],BV_Data_An_Cour!$L:$Q,6,0)</f>
        <v>7-Dépenses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2168</v>
      </c>
      <c r="B876" s="158" t="s">
        <v>2167</v>
      </c>
      <c r="C876" s="159" t="s">
        <v>273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2170</v>
      </c>
      <c r="B877" s="158" t="s">
        <v>2169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2172</v>
      </c>
      <c r="B878" s="158" t="s">
        <v>2171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2174</v>
      </c>
      <c r="B879" s="158" t="s">
        <v>2173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2176</v>
      </c>
      <c r="B880" s="158" t="s">
        <v>2175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2178</v>
      </c>
      <c r="B881" s="158" t="s">
        <v>2177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2180</v>
      </c>
      <c r="B882" s="158" t="s">
        <v>2179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2182</v>
      </c>
      <c r="B883" s="158" t="s">
        <v>2181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2184</v>
      </c>
      <c r="B884" s="158" t="s">
        <v>2183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2186</v>
      </c>
      <c r="B885" s="158" t="s">
        <v>2185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2188</v>
      </c>
      <c r="B886" s="158" t="s">
        <v>2187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2192</v>
      </c>
      <c r="B887" s="176" t="s">
        <v>2191</v>
      </c>
      <c r="C887" s="159" t="s">
        <v>147</v>
      </c>
      <c r="D887" s="159" t="s">
        <v>155</v>
      </c>
      <c r="E887" s="192" t="s">
        <v>285</v>
      </c>
      <c r="F887" s="2" t="s">
        <v>2197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2194</v>
      </c>
      <c r="B888" s="158" t="s">
        <v>2193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2196</v>
      </c>
      <c r="B889" s="158" t="s">
        <v>2195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2199</v>
      </c>
      <c r="B890" s="158" t="s">
        <v>2198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2201</v>
      </c>
      <c r="B891" s="158" t="s">
        <v>2200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2190</v>
      </c>
      <c r="B892" s="158" t="s">
        <v>2189</v>
      </c>
      <c r="C892" s="159" t="s">
        <v>273</v>
      </c>
      <c r="D892" s="159">
        <v>0</v>
      </c>
      <c r="E892" s="500"/>
      <c r="F892" s="160"/>
      <c r="G892" s="192" t="str">
        <f>+VLOOKUP(Table_1[[#This Row],[Account]],BV_Data_An_Cour!$L:$Q,6,0)</f>
        <v>1-Mémo</v>
      </c>
      <c r="H892" s="160"/>
    </row>
    <row r="893" spans="1:8" ht="15" customHeight="1">
      <c r="A893" s="162" t="s">
        <v>2203</v>
      </c>
      <c r="B893" s="158" t="s">
        <v>2202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2205</v>
      </c>
      <c r="B894" s="158" t="s">
        <v>2204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2207</v>
      </c>
      <c r="B895" s="158" t="s">
        <v>2206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2209</v>
      </c>
      <c r="B896" s="158" t="s">
        <v>2208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2211</v>
      </c>
      <c r="B897" s="159" t="s">
        <v>2210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2213</v>
      </c>
      <c r="B898" s="158" t="s">
        <v>2212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2215</v>
      </c>
      <c r="B899" s="158" t="s">
        <v>2214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2226</v>
      </c>
      <c r="B900" s="158" t="s">
        <v>2225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2217</v>
      </c>
      <c r="B901" s="158" t="s">
        <v>2216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2232</v>
      </c>
      <c r="B902" s="158" t="s">
        <v>2218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2233</v>
      </c>
      <c r="B903" s="158" t="s">
        <v>2234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2235</v>
      </c>
      <c r="B904" s="158" t="s">
        <v>2236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2237</v>
      </c>
      <c r="B905" s="158" t="s">
        <v>2238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2239</v>
      </c>
      <c r="B906" s="158" t="s">
        <v>2240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2241</v>
      </c>
      <c r="B907" s="158" t="s">
        <v>2242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2243</v>
      </c>
      <c r="B908" s="158" t="s">
        <v>2244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2245</v>
      </c>
      <c r="B909" s="158" t="s">
        <v>2246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2220</v>
      </c>
      <c r="B910" s="158" t="s">
        <v>2219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2224</v>
      </c>
      <c r="B911" s="158" t="s">
        <v>2223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2222</v>
      </c>
      <c r="B912" s="158" t="s">
        <v>2221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2304</v>
      </c>
      <c r="B913" s="158" t="s">
        <v>2303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2306</v>
      </c>
      <c r="B914" s="158" t="s">
        <v>2305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2308</v>
      </c>
      <c r="B915" s="158" t="s">
        <v>2307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2310</v>
      </c>
      <c r="B916" s="158" t="s">
        <v>2309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2334</v>
      </c>
      <c r="B917" s="158" t="s">
        <v>2333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2336</v>
      </c>
      <c r="B918" s="158" t="s">
        <v>2335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2339</v>
      </c>
      <c r="B919" s="158" t="s">
        <v>2338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2341</v>
      </c>
      <c r="B920" s="158" t="s">
        <v>2340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2343</v>
      </c>
      <c r="B921" s="158" t="s">
        <v>2342</v>
      </c>
      <c r="C921" s="159" t="s">
        <v>75</v>
      </c>
      <c r="D921" s="159" t="s">
        <v>87</v>
      </c>
      <c r="E921" s="192" t="s">
        <v>285</v>
      </c>
      <c r="F921" s="2" t="s">
        <v>2197</v>
      </c>
      <c r="G921" s="500"/>
      <c r="H921" s="160"/>
    </row>
    <row r="922" spans="1:11" ht="15" customHeight="1">
      <c r="A922" s="162" t="s">
        <v>2345</v>
      </c>
      <c r="B922" s="158" t="s">
        <v>2344</v>
      </c>
      <c r="C922" s="159" t="s">
        <v>75</v>
      </c>
      <c r="D922" s="159" t="s">
        <v>86</v>
      </c>
      <c r="E922" s="192" t="s">
        <v>285</v>
      </c>
      <c r="F922" s="2" t="s">
        <v>2197</v>
      </c>
      <c r="G922" s="500"/>
      <c r="H922" s="160"/>
    </row>
    <row r="923" spans="1:11" ht="15" customHeight="1">
      <c r="A923" s="162" t="s">
        <v>2347</v>
      </c>
      <c r="B923" s="158" t="s">
        <v>2346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2349</v>
      </c>
      <c r="B924" s="178" t="s">
        <v>2348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2351</v>
      </c>
      <c r="B925" s="173" t="s">
        <v>2350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2353</v>
      </c>
      <c r="B926" s="173" t="s">
        <v>2352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2355</v>
      </c>
      <c r="B927" s="158" t="s">
        <v>2354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2357</v>
      </c>
      <c r="B928" s="173" t="s">
        <v>2356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2359</v>
      </c>
      <c r="B929" s="173" t="s">
        <v>2358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2364</v>
      </c>
      <c r="B930" s="158" t="s">
        <v>2363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2366</v>
      </c>
      <c r="B931" s="158" t="s">
        <v>2365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2362</v>
      </c>
      <c r="B932" s="158" t="s">
        <v>2367</v>
      </c>
      <c r="C932" s="159" t="s">
        <v>140</v>
      </c>
      <c r="D932" s="159" t="s">
        <v>95</v>
      </c>
      <c r="E932" s="192" t="s">
        <v>285</v>
      </c>
      <c r="F932" s="2" t="s">
        <v>2197</v>
      </c>
      <c r="G932" s="500"/>
      <c r="H932" s="160"/>
    </row>
    <row r="933" spans="1:29" ht="15" customHeight="1">
      <c r="A933" s="162" t="s">
        <v>2369</v>
      </c>
      <c r="B933" s="158" t="s">
        <v>2368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2371</v>
      </c>
      <c r="B934" s="158" t="s">
        <v>2370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2373</v>
      </c>
      <c r="B935" s="158" t="s">
        <v>2372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2375</v>
      </c>
      <c r="B936" s="158" t="s">
        <v>2374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2377</v>
      </c>
      <c r="B937" s="158" t="s">
        <v>2376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2379</v>
      </c>
      <c r="B938" s="158" t="s">
        <v>2378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2381</v>
      </c>
      <c r="B939" s="158" t="s">
        <v>2380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2383</v>
      </c>
      <c r="B940" s="158" t="s">
        <v>2382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2385</v>
      </c>
      <c r="B941" s="178" t="s">
        <v>2384</v>
      </c>
      <c r="C941" s="159" t="s">
        <v>75</v>
      </c>
      <c r="D941" s="159" t="s">
        <v>86</v>
      </c>
      <c r="E941" s="192" t="s">
        <v>2386</v>
      </c>
      <c r="F941" s="160"/>
      <c r="G941" s="500"/>
      <c r="H941" s="160"/>
    </row>
    <row r="942" spans="1:29" ht="15" customHeight="1">
      <c r="A942" s="162" t="s">
        <v>2388</v>
      </c>
      <c r="B942" s="158" t="s">
        <v>2387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2390</v>
      </c>
      <c r="B943" s="158" t="s">
        <v>2389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2392</v>
      </c>
      <c r="B944" s="158" t="s">
        <v>2391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2394</v>
      </c>
      <c r="B945" s="158" t="s">
        <v>2393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2396</v>
      </c>
      <c r="B946" s="158" t="s">
        <v>2395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2398</v>
      </c>
      <c r="B947" s="158" t="s">
        <v>2397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2400</v>
      </c>
      <c r="B948" s="158" t="s">
        <v>2399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2403</v>
      </c>
      <c r="B949" s="158" t="s">
        <v>2402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2405</v>
      </c>
      <c r="B950" s="158" t="s">
        <v>2404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2407</v>
      </c>
      <c r="B951" s="158" t="s">
        <v>2406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2409</v>
      </c>
      <c r="B952" s="158" t="s">
        <v>2408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2411</v>
      </c>
      <c r="B953" s="158" t="s">
        <v>2410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2413</v>
      </c>
      <c r="B954" s="158" t="s">
        <v>2412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2415</v>
      </c>
      <c r="B955" s="158" t="s">
        <v>2414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2417</v>
      </c>
      <c r="B956" s="158" t="s">
        <v>2416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2431</v>
      </c>
      <c r="B957" s="158" t="s">
        <v>2429</v>
      </c>
      <c r="C957" s="159" t="s">
        <v>185</v>
      </c>
      <c r="D957" s="1042" t="s">
        <v>2419</v>
      </c>
      <c r="E957" s="500"/>
      <c r="F957" s="160"/>
      <c r="G957" s="500"/>
      <c r="H957" s="160"/>
    </row>
    <row r="958" spans="1:15" ht="15" customHeight="1">
      <c r="A958" s="162" t="s">
        <v>2422</v>
      </c>
      <c r="B958" s="158" t="s">
        <v>2421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2424</v>
      </c>
      <c r="B959" s="159" t="s">
        <v>2423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2426</v>
      </c>
      <c r="B960" s="158" t="s">
        <v>2425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2428</v>
      </c>
      <c r="B961" s="158" t="s">
        <v>2427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2430</v>
      </c>
      <c r="B962" s="180" t="s">
        <v>2429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2439</v>
      </c>
      <c r="B963" s="158" t="s">
        <v>2438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2441</v>
      </c>
      <c r="B964" s="158" t="s">
        <v>2440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2437</v>
      </c>
      <c r="B965" s="158" t="s">
        <v>2436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2443</v>
      </c>
      <c r="B966" s="158" t="s">
        <v>2442</v>
      </c>
      <c r="C966" s="159" t="s">
        <v>272</v>
      </c>
      <c r="D966" s="159" t="s">
        <v>16</v>
      </c>
      <c r="E966" s="500" t="s">
        <v>285</v>
      </c>
      <c r="F966" s="160"/>
      <c r="G966" s="500" t="s">
        <v>2228</v>
      </c>
      <c r="H966" s="160"/>
    </row>
    <row r="967" spans="1:29" ht="15" customHeight="1">
      <c r="A967" s="162" t="s">
        <v>2467</v>
      </c>
      <c r="B967" s="158" t="s">
        <v>2466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2471</v>
      </c>
      <c r="B968" s="158" t="s">
        <v>2470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2473</v>
      </c>
      <c r="B969" s="158" t="s">
        <v>2472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2475</v>
      </c>
      <c r="B970" s="158" t="s">
        <v>2474</v>
      </c>
      <c r="C970" s="159" t="s">
        <v>167</v>
      </c>
      <c r="D970" s="159" t="s">
        <v>170</v>
      </c>
      <c r="E970" s="192" t="s">
        <v>285</v>
      </c>
      <c r="F970" s="2" t="s">
        <v>2197</v>
      </c>
      <c r="G970" s="500"/>
      <c r="H970" s="160"/>
    </row>
    <row r="971" spans="1:29" ht="15" customHeight="1">
      <c r="A971" s="162" t="s">
        <v>2477</v>
      </c>
      <c r="B971" s="158" t="s">
        <v>2476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2479</v>
      </c>
      <c r="B972" s="158" t="s">
        <v>2478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2481</v>
      </c>
      <c r="B973" s="158" t="s">
        <v>2480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2484</v>
      </c>
      <c r="B974" s="158" t="s">
        <v>2483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2488</v>
      </c>
      <c r="B975" s="158" t="s">
        <v>2487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2490</v>
      </c>
      <c r="B976" s="158" t="s">
        <v>2489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2492</v>
      </c>
      <c r="B977" s="158" t="s">
        <v>2491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2494</v>
      </c>
      <c r="B978" s="158" t="s">
        <v>2493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2496</v>
      </c>
      <c r="B979" s="158" t="s">
        <v>2495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2498</v>
      </c>
      <c r="B980" s="158" t="s">
        <v>2497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2500</v>
      </c>
      <c r="B981" s="158" t="s">
        <v>2499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2502</v>
      </c>
      <c r="B982" s="158" t="s">
        <v>2501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2504</v>
      </c>
      <c r="B983" s="158" t="s">
        <v>2503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2506</v>
      </c>
      <c r="B984" s="158" t="s">
        <v>2505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2508</v>
      </c>
      <c r="B985" s="158" t="s">
        <v>2507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2510</v>
      </c>
      <c r="B986" s="158" t="s">
        <v>2509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2512</v>
      </c>
      <c r="B987" s="158" t="s">
        <v>2511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2517</v>
      </c>
      <c r="B988" s="150" t="s">
        <v>2516</v>
      </c>
      <c r="C988" s="159" t="s">
        <v>75</v>
      </c>
      <c r="D988" s="159" t="s">
        <v>1897</v>
      </c>
      <c r="E988" s="192" t="s">
        <v>285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2519</v>
      </c>
      <c r="B989" s="150" t="s">
        <v>2518</v>
      </c>
      <c r="C989" s="159" t="s">
        <v>140</v>
      </c>
      <c r="D989" s="159" t="s">
        <v>1897</v>
      </c>
      <c r="E989" s="192" t="s">
        <v>285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2521</v>
      </c>
      <c r="B990" s="158" t="s">
        <v>2520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2523</v>
      </c>
      <c r="B991" s="158" t="s">
        <v>2522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2525</v>
      </c>
      <c r="B992" s="158" t="s">
        <v>2524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2526</v>
      </c>
      <c r="B993" s="158" t="s">
        <v>2522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2528</v>
      </c>
      <c r="B994" s="158" t="s">
        <v>2527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2529</v>
      </c>
      <c r="B995" s="174" t="s">
        <v>2522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2531</v>
      </c>
      <c r="B996" s="158" t="s">
        <v>2530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2533</v>
      </c>
      <c r="B997" s="158" t="s">
        <v>2532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2535</v>
      </c>
      <c r="B998" s="158" t="s">
        <v>2534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2537</v>
      </c>
      <c r="B999" s="158" t="s">
        <v>2536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2539</v>
      </c>
      <c r="B1000" s="158" t="s">
        <v>2538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2541</v>
      </c>
      <c r="B1001" s="158" t="s">
        <v>2540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2554</v>
      </c>
      <c r="B1002" s="158" t="s">
        <v>2553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2556</v>
      </c>
      <c r="B1003" s="158" t="s">
        <v>2555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2558</v>
      </c>
      <c r="B1004" s="158" t="s">
        <v>2557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2854</v>
      </c>
      <c r="B1005" s="158" t="s">
        <v>2853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2856</v>
      </c>
      <c r="B1006" s="158" t="s">
        <v>2855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2858</v>
      </c>
      <c r="B1007" s="158" t="s">
        <v>2857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2851</v>
      </c>
      <c r="B1008" s="158" t="s">
        <v>2859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2860</v>
      </c>
      <c r="B1009" s="158" t="s">
        <v>2855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2862</v>
      </c>
      <c r="B1010" s="158" t="s">
        <v>2861</v>
      </c>
      <c r="C1010" s="159" t="s">
        <v>273</v>
      </c>
      <c r="D1010" s="159" t="s">
        <v>2820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2852</v>
      </c>
      <c r="B1011" s="158" t="s">
        <v>2863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2865</v>
      </c>
      <c r="B1012" s="158" t="s">
        <v>2864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2866</v>
      </c>
      <c r="B1013" s="158" t="s">
        <v>2855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2875</v>
      </c>
      <c r="B1014" s="158" t="s">
        <v>2874</v>
      </c>
      <c r="C1014" s="159" t="s">
        <v>75</v>
      </c>
      <c r="D1014" s="159" t="s">
        <v>87</v>
      </c>
      <c r="E1014" s="192" t="s">
        <v>285</v>
      </c>
      <c r="F1014" s="2" t="s">
        <v>2197</v>
      </c>
      <c r="G1014" s="500"/>
      <c r="H1014" s="160"/>
    </row>
    <row r="1015" spans="1:8" ht="15" customHeight="1">
      <c r="A1015" s="162" t="s">
        <v>2876</v>
      </c>
      <c r="B1015" s="158" t="s">
        <v>2874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2877</v>
      </c>
      <c r="B1016" s="158" t="s">
        <v>2874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2889</v>
      </c>
      <c r="B1017" s="158" t="s">
        <v>2888</v>
      </c>
      <c r="C1017" s="159" t="s">
        <v>75</v>
      </c>
      <c r="D1017" s="159" t="s">
        <v>87</v>
      </c>
      <c r="E1017" s="500" t="s">
        <v>285</v>
      </c>
      <c r="F1017" s="160" t="s">
        <v>2197</v>
      </c>
      <c r="G1017" s="500"/>
      <c r="H1017" s="160"/>
    </row>
    <row r="1018" spans="1:8" ht="15" customHeight="1">
      <c r="A1018" s="162" t="s">
        <v>2890</v>
      </c>
      <c r="B1018" s="178" t="s">
        <v>2888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2891</v>
      </c>
      <c r="B1019" s="158" t="s">
        <v>2888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2894</v>
      </c>
      <c r="B1020" s="158" t="s">
        <v>2893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2896</v>
      </c>
      <c r="B1021" s="158" t="s">
        <v>2895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2897</v>
      </c>
      <c r="B1022" s="158" t="s">
        <v>2893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2899</v>
      </c>
      <c r="B1023" s="158" t="s">
        <v>2898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2901</v>
      </c>
      <c r="B1024" s="158" t="s">
        <v>2900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2902</v>
      </c>
      <c r="B1025" s="158" t="s">
        <v>2893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2904</v>
      </c>
      <c r="B1026" s="158" t="s">
        <v>2903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2906</v>
      </c>
      <c r="B1027" s="158" t="s">
        <v>2905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2908</v>
      </c>
      <c r="B1028" s="158" t="s">
        <v>2907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2910</v>
      </c>
      <c r="B1029" s="158" t="s">
        <v>2909</v>
      </c>
      <c r="C1029" s="159" t="s">
        <v>147</v>
      </c>
      <c r="D1029" s="159" t="s">
        <v>1897</v>
      </c>
      <c r="E1029" s="192" t="s">
        <v>285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2912</v>
      </c>
      <c r="B1030" s="158" t="s">
        <v>2911</v>
      </c>
      <c r="C1030" s="159" t="s">
        <v>167</v>
      </c>
      <c r="D1030" s="159" t="s">
        <v>1897</v>
      </c>
      <c r="E1030" s="192" t="s">
        <v>285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2914</v>
      </c>
      <c r="B1031" s="158" t="s">
        <v>2913</v>
      </c>
      <c r="C1031" s="159" t="s">
        <v>163</v>
      </c>
      <c r="D1031" s="159" t="s">
        <v>1897</v>
      </c>
      <c r="E1031" s="192" t="s">
        <v>285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2917</v>
      </c>
      <c r="B1032" s="158" t="s">
        <v>2916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2919</v>
      </c>
      <c r="B1033" s="158" t="s">
        <v>2918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2921</v>
      </c>
      <c r="B1034" s="158" t="s">
        <v>2920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2934</v>
      </c>
      <c r="B1035" s="158" t="s">
        <v>2933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2936</v>
      </c>
      <c r="B1036" s="158" t="s">
        <v>2935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2939</v>
      </c>
      <c r="B1037" s="158" t="s">
        <v>2938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2941</v>
      </c>
      <c r="B1038" s="158" t="s">
        <v>2940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2945</v>
      </c>
      <c r="B1039" s="158" t="s">
        <v>2944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2949</v>
      </c>
      <c r="B1040" s="158" t="s">
        <v>2948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2952</v>
      </c>
      <c r="B1041" s="158" t="s">
        <v>2951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Y77"/>
  <sheetViews>
    <sheetView zoomScale="110" zoomScaleNormal="110" workbookViewId="0">
      <selection activeCell="J81" sqref="J81"/>
    </sheetView>
  </sheetViews>
  <sheetFormatPr baseColWidth="10" defaultColWidth="11" defaultRowHeight="14.4"/>
  <cols>
    <col min="1" max="1" width="2.19921875" style="559" customWidth="1"/>
    <col min="2" max="2" width="23.19921875" style="559" customWidth="1"/>
    <col min="3" max="9" width="11.69921875" style="559" customWidth="1"/>
    <col min="10" max="10" width="58.8984375" style="559" customWidth="1"/>
    <col min="11" max="13" width="3.09765625" style="559" customWidth="1"/>
    <col min="14" max="25" width="10.59765625" style="1173" bestFit="1" customWidth="1"/>
    <col min="26" max="16384" width="11" style="559"/>
  </cols>
  <sheetData>
    <row r="1" spans="1:25" ht="15.6">
      <c r="B1" s="1215" t="str">
        <f>Parametres!$B$1&amp;" "&amp;"2 pager"&amp;" "&amp;Parametres!$B$3&amp;" "&amp;Parametres!$B$4</f>
        <v>BMW Sherbrooke 2 pager Novembre 2024</v>
      </c>
      <c r="C1" s="1215"/>
      <c r="D1" s="1215"/>
      <c r="E1" s="1215"/>
      <c r="F1" s="1215"/>
      <c r="G1" s="1215"/>
      <c r="H1" s="1215"/>
      <c r="I1" s="1215"/>
      <c r="J1" s="1215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2823</v>
      </c>
      <c r="H3" s="570" t="s">
        <v>333</v>
      </c>
      <c r="I3" s="572" t="s">
        <v>2824</v>
      </c>
      <c r="J3" s="1059" t="s">
        <v>329</v>
      </c>
      <c r="N3" s="1173" t="s">
        <v>2156</v>
      </c>
    </row>
    <row r="4" spans="1:25" ht="15" customHeight="1">
      <c r="A4" s="759"/>
      <c r="B4" s="736" t="s">
        <v>312</v>
      </c>
      <c r="C4" s="737">
        <f>+Print_Mois!$J$13+Print_Mois!$J$15</f>
        <v>35</v>
      </c>
      <c r="D4" s="737">
        <f>+Print_Mois!$D$13+Print_Mois!$D$15</f>
        <v>20</v>
      </c>
      <c r="E4" s="737">
        <f>+Print_Mois!$O$13+Print_Mois!$O$15</f>
        <v>22</v>
      </c>
      <c r="F4" s="738">
        <f t="shared" ref="F4:F15" si="0">+IFERROR($C4-D4,"")</f>
        <v>15</v>
      </c>
      <c r="G4" s="739">
        <f t="shared" ref="G4:G15" si="1">+IFERROR($C4-E4,"")</f>
        <v>13</v>
      </c>
      <c r="H4" s="792">
        <f t="shared" ref="H4:H15" si="2">+IFERROR(F4/ABS($D4),"")</f>
        <v>0.75</v>
      </c>
      <c r="I4" s="1053">
        <f t="shared" ref="I4:I14" si="3">+IFERROR(G4/ABS($E4),"")</f>
        <v>0.59090909090909094</v>
      </c>
      <c r="J4" s="1216" t="s">
        <v>2971</v>
      </c>
    </row>
    <row r="5" spans="1:25">
      <c r="A5" s="759"/>
      <c r="B5" s="561" t="s">
        <v>313</v>
      </c>
      <c r="C5" s="683">
        <f>+Print_Mois!$L$13+Print_Mois!$L$15</f>
        <v>117658.11999999997</v>
      </c>
      <c r="D5" s="683">
        <f>+Print_Mois!$F$13+Print_Mois!$F$15</f>
        <v>100506.71572234486</v>
      </c>
      <c r="E5" s="683">
        <f>+Print_Mois!$Q$13+Print_Mois!$Q$15</f>
        <v>106473.1400000001</v>
      </c>
      <c r="F5" s="684">
        <f t="shared" si="0"/>
        <v>17151.404277655107</v>
      </c>
      <c r="G5" s="685">
        <f t="shared" si="1"/>
        <v>11184.979999999865</v>
      </c>
      <c r="H5" s="757">
        <f t="shared" si="2"/>
        <v>0.17064933576216709</v>
      </c>
      <c r="I5" s="1054">
        <f t="shared" si="3"/>
        <v>0.10504978063011812</v>
      </c>
      <c r="J5" s="1217"/>
    </row>
    <row r="6" spans="1:25">
      <c r="A6" s="759"/>
      <c r="B6" s="561" t="s">
        <v>314</v>
      </c>
      <c r="C6" s="683">
        <f>+C5/C4</f>
        <v>3361.6605714285706</v>
      </c>
      <c r="D6" s="683">
        <f>+D5/D4</f>
        <v>5025.3357861172426</v>
      </c>
      <c r="E6" s="683">
        <f>+E5/E4</f>
        <v>4839.6881818181864</v>
      </c>
      <c r="F6" s="684">
        <f t="shared" si="0"/>
        <v>-1663.675214688672</v>
      </c>
      <c r="G6" s="685">
        <f t="shared" si="1"/>
        <v>-1478.0276103896158</v>
      </c>
      <c r="H6" s="758">
        <f>+IFERROR(F6/ABS($D6),"")</f>
        <v>-0.33105752242161873</v>
      </c>
      <c r="I6" s="1055">
        <f t="shared" si="3"/>
        <v>-0.30539728074678285</v>
      </c>
      <c r="J6" s="1217"/>
      <c r="N6" s="1173" t="s">
        <v>2925</v>
      </c>
    </row>
    <row r="7" spans="1:25">
      <c r="A7" s="759"/>
      <c r="B7" s="561" t="s">
        <v>315</v>
      </c>
      <c r="C7" s="683">
        <f>+Print_Mois!$L$31</f>
        <v>46209.36</v>
      </c>
      <c r="D7" s="683">
        <f>+Print_Mois!$F$31</f>
        <v>29833.653976383535</v>
      </c>
      <c r="E7" s="683">
        <f>+Print_Mois!$Q$31</f>
        <v>32886.480000000003</v>
      </c>
      <c r="F7" s="684">
        <f t="shared" si="0"/>
        <v>16375.706023616465</v>
      </c>
      <c r="G7" s="685">
        <f t="shared" si="1"/>
        <v>13322.879999999997</v>
      </c>
      <c r="H7" s="757">
        <f t="shared" si="2"/>
        <v>0.54890044768165347</v>
      </c>
      <c r="I7" s="1054">
        <f t="shared" si="3"/>
        <v>0.40511723966809449</v>
      </c>
      <c r="J7" s="1217"/>
      <c r="N7" s="1176" t="s">
        <v>294</v>
      </c>
      <c r="O7" s="1176" t="s">
        <v>295</v>
      </c>
      <c r="P7" s="1176" t="s">
        <v>296</v>
      </c>
      <c r="Q7" s="1176" t="s">
        <v>297</v>
      </c>
      <c r="R7" s="1176" t="s">
        <v>298</v>
      </c>
      <c r="S7" s="1176" t="s">
        <v>2924</v>
      </c>
      <c r="T7" s="1176" t="s">
        <v>299</v>
      </c>
      <c r="U7" s="1176" t="s">
        <v>300</v>
      </c>
      <c r="V7" s="1176" t="s">
        <v>3</v>
      </c>
      <c r="W7" s="1176" t="s">
        <v>301</v>
      </c>
      <c r="X7" s="1176" t="s">
        <v>302</v>
      </c>
      <c r="Y7" s="1176" t="s">
        <v>303</v>
      </c>
    </row>
    <row r="8" spans="1:25">
      <c r="A8" s="759"/>
      <c r="B8" s="561" t="s">
        <v>316</v>
      </c>
      <c r="C8" s="688">
        <f>+C7/C5</f>
        <v>0.39274263433751971</v>
      </c>
      <c r="D8" s="688">
        <f>+D7/D5</f>
        <v>0.29683244310559892</v>
      </c>
      <c r="E8" s="688">
        <f>+E7/E5</f>
        <v>0.30887113876795569</v>
      </c>
      <c r="F8" s="686">
        <f t="shared" si="0"/>
        <v>9.5910191231920794E-2</v>
      </c>
      <c r="G8" s="687">
        <f t="shared" si="1"/>
        <v>8.3871495569564025E-2</v>
      </c>
      <c r="H8" s="757">
        <f t="shared" si="2"/>
        <v>0.32311222529607553</v>
      </c>
      <c r="I8" s="1054">
        <f>+IFERROR(G8/ABS($E8),"")</f>
        <v>0.27154202851103487</v>
      </c>
      <c r="J8" s="1217"/>
      <c r="N8" s="1176">
        <v>49</v>
      </c>
      <c r="O8" s="1176">
        <v>68</v>
      </c>
      <c r="P8" s="1176">
        <v>70</v>
      </c>
      <c r="Q8" s="1176">
        <v>67</v>
      </c>
      <c r="R8" s="1176">
        <v>59</v>
      </c>
      <c r="S8" s="1176">
        <v>55</v>
      </c>
      <c r="T8" s="1176">
        <v>59</v>
      </c>
      <c r="U8" s="1176">
        <v>64</v>
      </c>
      <c r="V8" s="1176">
        <v>56</v>
      </c>
      <c r="W8" s="1176">
        <v>57</v>
      </c>
      <c r="X8" s="1176">
        <v>53</v>
      </c>
      <c r="Y8" s="1176">
        <v>47</v>
      </c>
    </row>
    <row r="9" spans="1:25">
      <c r="A9" s="759"/>
      <c r="B9" s="561" t="s">
        <v>317</v>
      </c>
      <c r="C9" s="683">
        <f>+Print_Mois!$L$24</f>
        <v>66561.34</v>
      </c>
      <c r="D9" s="683">
        <f>+Print_Mois!$F$24</f>
        <v>32000</v>
      </c>
      <c r="E9" s="683">
        <f>+Print_Mois!$Q$24</f>
        <v>32977.15</v>
      </c>
      <c r="F9" s="684">
        <f t="shared" si="0"/>
        <v>34561.339999999997</v>
      </c>
      <c r="G9" s="685">
        <f t="shared" si="1"/>
        <v>33584.189999999995</v>
      </c>
      <c r="H9" s="757">
        <f t="shared" si="2"/>
        <v>1.0800418749999998</v>
      </c>
      <c r="I9" s="1054">
        <f t="shared" si="3"/>
        <v>1.0184078975896944</v>
      </c>
      <c r="J9" s="1217"/>
      <c r="N9" s="1174">
        <v>3831906.6692307699</v>
      </c>
      <c r="O9" s="1174">
        <v>5317748.0307692327</v>
      </c>
      <c r="P9" s="1174">
        <v>5474152.3846153859</v>
      </c>
      <c r="Q9" s="1174">
        <v>5239545.8538461551</v>
      </c>
      <c r="R9" s="1174">
        <v>4613928.4384615403</v>
      </c>
      <c r="S9" s="1174">
        <v>4301119.7307692319</v>
      </c>
      <c r="T9" s="1174">
        <v>4613928.4384615403</v>
      </c>
      <c r="U9" s="1174">
        <v>5004939.3230769243</v>
      </c>
      <c r="V9" s="1174">
        <v>4379321.9076923095</v>
      </c>
      <c r="W9" s="1174">
        <v>4457524.0846153852</v>
      </c>
      <c r="X9" s="1174">
        <v>4144715.3769230777</v>
      </c>
      <c r="Y9" s="1174">
        <v>3675502.3153846157</v>
      </c>
    </row>
    <row r="10" spans="1:25">
      <c r="A10" s="759"/>
      <c r="B10" s="561" t="s">
        <v>318</v>
      </c>
      <c r="C10" s="683">
        <f>+C9/C4</f>
        <v>1901.7525714285714</v>
      </c>
      <c r="D10" s="683">
        <f>+D9/D4</f>
        <v>1600</v>
      </c>
      <c r="E10" s="683">
        <f>+E9/E4</f>
        <v>1498.9613636363638</v>
      </c>
      <c r="F10" s="684">
        <f t="shared" si="0"/>
        <v>301.7525714285714</v>
      </c>
      <c r="G10" s="685">
        <f t="shared" si="1"/>
        <v>402.79120779220762</v>
      </c>
      <c r="H10" s="758">
        <f t="shared" si="2"/>
        <v>0.18859535714285713</v>
      </c>
      <c r="I10" s="1055">
        <f t="shared" si="3"/>
        <v>0.26871353562780792</v>
      </c>
      <c r="J10" s="1217"/>
    </row>
    <row r="11" spans="1:25">
      <c r="A11" s="759"/>
      <c r="B11" s="561" t="s">
        <v>319</v>
      </c>
      <c r="C11" s="683">
        <f>+Print_Mois!$L$32</f>
        <v>28042.12</v>
      </c>
      <c r="D11" s="683">
        <f>+Print_Mois!$F$32</f>
        <v>8000</v>
      </c>
      <c r="E11" s="683">
        <f>+Print_Mois!$Q$32</f>
        <v>8369.2900000000009</v>
      </c>
      <c r="F11" s="684">
        <f t="shared" si="0"/>
        <v>20042.12</v>
      </c>
      <c r="G11" s="685">
        <f t="shared" si="1"/>
        <v>19672.829999999998</v>
      </c>
      <c r="H11" s="757">
        <f t="shared" si="2"/>
        <v>2.5052650000000001</v>
      </c>
      <c r="I11" s="1054">
        <f t="shared" si="3"/>
        <v>2.3505972430158346</v>
      </c>
      <c r="J11" s="1217"/>
    </row>
    <row r="12" spans="1:25">
      <c r="A12" s="759"/>
      <c r="B12" s="561" t="s">
        <v>320</v>
      </c>
      <c r="C12" s="688">
        <f>+C11/C9</f>
        <v>0.421297407774543</v>
      </c>
      <c r="D12" s="688">
        <f>+D11/D9</f>
        <v>0.25</v>
      </c>
      <c r="E12" s="688">
        <f>+E11/E9</f>
        <v>0.25379057923440929</v>
      </c>
      <c r="F12" s="686">
        <f t="shared" si="0"/>
        <v>0.171297407774543</v>
      </c>
      <c r="G12" s="689">
        <f t="shared" si="1"/>
        <v>0.16750682854013371</v>
      </c>
      <c r="H12" s="757">
        <f t="shared" si="2"/>
        <v>0.68518963109817199</v>
      </c>
      <c r="I12" s="1054">
        <f t="shared" si="3"/>
        <v>0.66001988350173912</v>
      </c>
      <c r="J12" s="1217"/>
    </row>
    <row r="13" spans="1:25">
      <c r="A13" s="759"/>
      <c r="B13" s="561" t="s">
        <v>321</v>
      </c>
      <c r="C13" s="683">
        <f>+Print_Mois!$L$41-C7-C11</f>
        <v>52975.560000000012</v>
      </c>
      <c r="D13" s="683">
        <f>+Print_Mois!$F$41-D7-D11</f>
        <v>38460.74333228248</v>
      </c>
      <c r="E13" s="683">
        <f>+Print_Mois!$Q$41-E7-E11</f>
        <v>32951.540000000008</v>
      </c>
      <c r="F13" s="684">
        <f t="shared" si="0"/>
        <v>14514.816667717532</v>
      </c>
      <c r="G13" s="685">
        <f t="shared" si="1"/>
        <v>20024.020000000004</v>
      </c>
      <c r="H13" s="757">
        <f t="shared" si="2"/>
        <v>0.37739303534298435</v>
      </c>
      <c r="I13" s="1054">
        <f t="shared" si="3"/>
        <v>0.60768085497673252</v>
      </c>
      <c r="J13" s="1217"/>
    </row>
    <row r="14" spans="1:25">
      <c r="A14" s="759"/>
      <c r="B14" s="561" t="s">
        <v>322</v>
      </c>
      <c r="C14" s="683">
        <f>+C13/C4</f>
        <v>1513.587428571429</v>
      </c>
      <c r="D14" s="683">
        <f>+D13/D4</f>
        <v>1923.0371666141241</v>
      </c>
      <c r="E14" s="683">
        <f>+E13/E4</f>
        <v>1497.7972727272731</v>
      </c>
      <c r="F14" s="684">
        <f t="shared" si="0"/>
        <v>-409.44973804269512</v>
      </c>
      <c r="G14" s="685">
        <f t="shared" si="1"/>
        <v>15.790155844155834</v>
      </c>
      <c r="H14" s="757">
        <f t="shared" si="2"/>
        <v>-0.21291826551829465</v>
      </c>
      <c r="I14" s="1054">
        <f t="shared" si="3"/>
        <v>1.0542251699660417E-2</v>
      </c>
      <c r="J14" s="1217"/>
    </row>
    <row r="15" spans="1:25">
      <c r="A15" s="759"/>
      <c r="B15" s="561" t="s">
        <v>323</v>
      </c>
      <c r="C15" s="683">
        <f>+Print_Mois!$L$83</f>
        <v>150334.83000000002</v>
      </c>
      <c r="D15" s="683">
        <f>+Print_Mois!$F$83</f>
        <v>74182.892307692324</v>
      </c>
      <c r="E15" s="683">
        <f>+Print_Mois!$Q$83</f>
        <v>78704.84</v>
      </c>
      <c r="F15" s="684">
        <f t="shared" si="0"/>
        <v>76151.937692307692</v>
      </c>
      <c r="G15" s="685">
        <f t="shared" si="1"/>
        <v>71629.99000000002</v>
      </c>
      <c r="H15" s="757">
        <f t="shared" si="2"/>
        <v>1.0265431196245121</v>
      </c>
      <c r="I15" s="1054">
        <f>+IFERROR(G15/ABS($E15),"")</f>
        <v>0.91010908604858387</v>
      </c>
      <c r="J15" s="1217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6"/>
      <c r="J16" s="1217"/>
    </row>
    <row r="17" spans="1:25">
      <c r="A17" s="759"/>
      <c r="B17" s="732" t="s">
        <v>312</v>
      </c>
      <c r="C17" s="733">
        <v>76</v>
      </c>
      <c r="D17" s="733">
        <v>53</v>
      </c>
      <c r="E17" s="1134">
        <v>46</v>
      </c>
      <c r="F17" s="734">
        <f>+IFERROR($C17-D17,"")</f>
        <v>23</v>
      </c>
      <c r="G17" s="735">
        <f>+IFERROR($C17-E17,"")</f>
        <v>30</v>
      </c>
      <c r="H17" s="686">
        <f>+IFERROR(F17/ABS($D17),"")</f>
        <v>0.43396226415094341</v>
      </c>
      <c r="I17" s="1057">
        <f>+IFERROR(G17/ABS($E17),"")</f>
        <v>0.65217391304347827</v>
      </c>
      <c r="J17" s="1217"/>
    </row>
    <row r="18" spans="1:25">
      <c r="A18" s="759"/>
      <c r="B18" s="740" t="s">
        <v>285</v>
      </c>
      <c r="C18" s="741">
        <v>5792053</v>
      </c>
      <c r="D18" s="741">
        <v>4144715.3769230777</v>
      </c>
      <c r="E18" s="741">
        <v>4107513.7199999988</v>
      </c>
      <c r="F18" s="694">
        <f>+IFERROR($C18-D18,"")</f>
        <v>1647337.6230769223</v>
      </c>
      <c r="G18" s="695">
        <f>+IFERROR($C18-E18,"")</f>
        <v>1684539.2800000012</v>
      </c>
      <c r="H18" s="696">
        <f>+IFERROR(F18/ABS($D18),"")</f>
        <v>0.39745494521745911</v>
      </c>
      <c r="I18" s="1058">
        <f>+IFERROR(G18/ABS($E18),"")</f>
        <v>0.4101116623902602</v>
      </c>
      <c r="J18" s="1218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61" t="s">
        <v>329</v>
      </c>
    </row>
    <row r="21" spans="1:25" ht="15" customHeight="1">
      <c r="B21" s="560" t="s">
        <v>312</v>
      </c>
      <c r="C21" s="578">
        <f>+Print_Mois!$J$97</f>
        <v>7</v>
      </c>
      <c r="D21" s="578">
        <f>+Print_Mois!$D$97</f>
        <v>14</v>
      </c>
      <c r="E21" s="578">
        <f>+Print_Mois!$O$97</f>
        <v>16</v>
      </c>
      <c r="F21" s="579">
        <f t="shared" ref="F21:F32" si="4">+IFERROR($C21-D21,"")</f>
        <v>-7</v>
      </c>
      <c r="G21" s="580">
        <f t="shared" ref="G21:G32" si="5">+IFERROR($C21-E21,"")</f>
        <v>-9</v>
      </c>
      <c r="H21" s="792">
        <f t="shared" ref="H21:H32" si="6">+IFERROR(F21/ABS($D21),"")</f>
        <v>-0.5</v>
      </c>
      <c r="I21" s="1053">
        <f t="shared" ref="I21:I32" si="7">+IFERROR(G21/ABS($E21),"")</f>
        <v>-0.5625</v>
      </c>
      <c r="J21" s="1216" t="s">
        <v>2972</v>
      </c>
    </row>
    <row r="22" spans="1:25">
      <c r="B22" s="561" t="s">
        <v>313</v>
      </c>
      <c r="C22" s="683">
        <f>+Print_Mois!$L$97</f>
        <v>7059.4399999999914</v>
      </c>
      <c r="D22" s="683">
        <f>+Print_Mois!$F$97</f>
        <v>32700</v>
      </c>
      <c r="E22" s="683">
        <f>+Print_Mois!$Q$97</f>
        <v>27126.499999999993</v>
      </c>
      <c r="F22" s="684">
        <f t="shared" si="4"/>
        <v>-25640.560000000009</v>
      </c>
      <c r="G22" s="685">
        <f t="shared" si="5"/>
        <v>-20067.060000000001</v>
      </c>
      <c r="H22" s="757">
        <f t="shared" si="6"/>
        <v>-0.78411498470948038</v>
      </c>
      <c r="I22" s="1054">
        <f t="shared" si="7"/>
        <v>-0.73975853869832109</v>
      </c>
      <c r="J22" s="1217"/>
    </row>
    <row r="23" spans="1:25">
      <c r="B23" s="561" t="s">
        <v>314</v>
      </c>
      <c r="C23" s="683">
        <f>+C22/C21</f>
        <v>1008.4914285714274</v>
      </c>
      <c r="D23" s="683">
        <f>+D22/D21</f>
        <v>2335.7142857142858</v>
      </c>
      <c r="E23" s="683">
        <f>+E22/E21</f>
        <v>1695.4062499999995</v>
      </c>
      <c r="F23" s="684">
        <f t="shared" si="4"/>
        <v>-1327.2228571428584</v>
      </c>
      <c r="G23" s="685">
        <f t="shared" si="5"/>
        <v>-686.91482142857217</v>
      </c>
      <c r="H23" s="758">
        <f t="shared" si="6"/>
        <v>-0.56822996941896076</v>
      </c>
      <c r="I23" s="1055">
        <f t="shared" si="7"/>
        <v>-0.40516237416759099</v>
      </c>
      <c r="J23" s="1217"/>
    </row>
    <row r="24" spans="1:25">
      <c r="B24" s="561" t="s">
        <v>315</v>
      </c>
      <c r="C24" s="683">
        <f>+Print_Mois!$L$112</f>
        <v>5846.44</v>
      </c>
      <c r="D24" s="683">
        <f>+Print_Mois!$F$112</f>
        <v>11268.778625954199</v>
      </c>
      <c r="E24" s="683">
        <f>+Print_Mois!$Q$112</f>
        <v>10646.76</v>
      </c>
      <c r="F24" s="684">
        <f t="shared" si="4"/>
        <v>-5422.3386259541994</v>
      </c>
      <c r="G24" s="685">
        <f t="shared" si="5"/>
        <v>-4800.3200000000006</v>
      </c>
      <c r="H24" s="757">
        <f t="shared" si="6"/>
        <v>-0.48118246049003877</v>
      </c>
      <c r="I24" s="1054">
        <f t="shared" si="7"/>
        <v>-0.45087143882270292</v>
      </c>
      <c r="J24" s="1217"/>
      <c r="N24" s="1173" t="s">
        <v>2926</v>
      </c>
    </row>
    <row r="25" spans="1:25">
      <c r="B25" s="561" t="s">
        <v>316</v>
      </c>
      <c r="C25" s="688">
        <f>+C24/C22</f>
        <v>0.82817333952834882</v>
      </c>
      <c r="D25" s="688">
        <f>+D24/D22</f>
        <v>0.34461096715456269</v>
      </c>
      <c r="E25" s="688">
        <f>+E24/E22</f>
        <v>0.39248557683446089</v>
      </c>
      <c r="F25" s="686">
        <f t="shared" si="4"/>
        <v>0.48356237237378613</v>
      </c>
      <c r="G25" s="687">
        <f t="shared" si="5"/>
        <v>0.43568776269388793</v>
      </c>
      <c r="H25" s="757">
        <f t="shared" si="6"/>
        <v>1.4032123712328106</v>
      </c>
      <c r="I25" s="1054">
        <f t="shared" si="7"/>
        <v>1.1100733081910128</v>
      </c>
      <c r="J25" s="1217"/>
      <c r="N25" s="1176" t="s">
        <v>294</v>
      </c>
      <c r="O25" s="1176" t="s">
        <v>295</v>
      </c>
      <c r="P25" s="1176" t="s">
        <v>296</v>
      </c>
      <c r="Q25" s="1176" t="s">
        <v>297</v>
      </c>
      <c r="R25" s="1176" t="s">
        <v>298</v>
      </c>
      <c r="S25" s="1176" t="s">
        <v>2924</v>
      </c>
      <c r="T25" s="1176" t="s">
        <v>299</v>
      </c>
      <c r="U25" s="1176" t="s">
        <v>300</v>
      </c>
      <c r="V25" s="1176" t="s">
        <v>3</v>
      </c>
      <c r="W25" s="1176" t="s">
        <v>301</v>
      </c>
      <c r="X25" s="1176" t="s">
        <v>302</v>
      </c>
      <c r="Y25" s="1176" t="s">
        <v>303</v>
      </c>
    </row>
    <row r="26" spans="1:25">
      <c r="B26" s="561" t="s">
        <v>317</v>
      </c>
      <c r="C26" s="683">
        <f>+Print_Mois!$L$105</f>
        <v>12588.11</v>
      </c>
      <c r="D26" s="683">
        <f>+Print_Mois!$F$105</f>
        <v>23100</v>
      </c>
      <c r="E26" s="683">
        <f>+Print_Mois!$Q$105</f>
        <v>15559.62999999999</v>
      </c>
      <c r="F26" s="684">
        <f t="shared" si="4"/>
        <v>-10511.89</v>
      </c>
      <c r="G26" s="685">
        <f t="shared" si="5"/>
        <v>-2971.5199999999895</v>
      </c>
      <c r="H26" s="757">
        <f t="shared" si="6"/>
        <v>-0.45506017316017311</v>
      </c>
      <c r="I26" s="1054">
        <f t="shared" si="7"/>
        <v>-0.19097626357439035</v>
      </c>
      <c r="J26" s="1217"/>
      <c r="N26" s="1176">
        <v>52</v>
      </c>
      <c r="O26" s="1176">
        <v>56</v>
      </c>
      <c r="P26" s="1176">
        <v>61</v>
      </c>
      <c r="Q26" s="1176">
        <v>64</v>
      </c>
      <c r="R26" s="1176">
        <v>61</v>
      </c>
      <c r="S26" s="1176">
        <v>60</v>
      </c>
      <c r="T26" s="1176">
        <v>61</v>
      </c>
      <c r="U26" s="1176">
        <v>60</v>
      </c>
      <c r="V26" s="1176">
        <v>56</v>
      </c>
      <c r="W26" s="1176">
        <v>54</v>
      </c>
      <c r="X26" s="1176">
        <v>50</v>
      </c>
      <c r="Y26" s="1176">
        <v>49</v>
      </c>
    </row>
    <row r="27" spans="1:25">
      <c r="B27" s="561" t="s">
        <v>318</v>
      </c>
      <c r="C27" s="683">
        <f>+C26/C21</f>
        <v>1798.3014285714287</v>
      </c>
      <c r="D27" s="683">
        <f>+D26/D21</f>
        <v>1650</v>
      </c>
      <c r="E27" s="683">
        <f>+E26/E21</f>
        <v>972.47687499999938</v>
      </c>
      <c r="F27" s="684">
        <f t="shared" si="4"/>
        <v>148.30142857142869</v>
      </c>
      <c r="G27" s="685">
        <f t="shared" si="5"/>
        <v>825.82455357142931</v>
      </c>
      <c r="H27" s="758">
        <f t="shared" si="6"/>
        <v>8.9879653679653754E-2</v>
      </c>
      <c r="I27" s="1055">
        <f t="shared" si="7"/>
        <v>0.84919711182996493</v>
      </c>
      <c r="J27" s="1217"/>
      <c r="N27" s="1174">
        <v>1967562.7450980393</v>
      </c>
      <c r="O27" s="1174">
        <v>2118913.7254901966</v>
      </c>
      <c r="P27" s="1174">
        <v>2308102.4509803923</v>
      </c>
      <c r="Q27" s="1174">
        <v>2421615.6862745099</v>
      </c>
      <c r="R27" s="1174">
        <v>2308102.4509803923</v>
      </c>
      <c r="S27" s="1174">
        <v>2270264.7058823532</v>
      </c>
      <c r="T27" s="1174">
        <v>2308102.4509803923</v>
      </c>
      <c r="U27" s="1174">
        <v>2270264.7058823532</v>
      </c>
      <c r="V27" s="1174">
        <v>2118913.7254901957</v>
      </c>
      <c r="W27" s="1174">
        <v>2043238.2352941176</v>
      </c>
      <c r="X27" s="1174">
        <v>1891887.254901961</v>
      </c>
      <c r="Y27" s="1174">
        <v>1854049.5098039214</v>
      </c>
    </row>
    <row r="28" spans="1:25">
      <c r="B28" s="561" t="s">
        <v>319</v>
      </c>
      <c r="C28" s="683">
        <f>+Print_Mois!$L$113</f>
        <v>4430.55</v>
      </c>
      <c r="D28" s="683">
        <f>+Print_Mois!$F$113</f>
        <v>5775</v>
      </c>
      <c r="E28" s="683">
        <f>+Print_Mois!$Q$113</f>
        <v>3581.17</v>
      </c>
      <c r="F28" s="684">
        <f t="shared" si="4"/>
        <v>-1344.4499999999998</v>
      </c>
      <c r="G28" s="685">
        <f t="shared" si="5"/>
        <v>849.38000000000011</v>
      </c>
      <c r="H28" s="757">
        <f t="shared" si="6"/>
        <v>-0.23280519480519477</v>
      </c>
      <c r="I28" s="1054">
        <f t="shared" si="7"/>
        <v>0.23717946927959302</v>
      </c>
      <c r="J28" s="1217"/>
    </row>
    <row r="29" spans="1:25">
      <c r="B29" s="561" t="s">
        <v>320</v>
      </c>
      <c r="C29" s="688">
        <f>+C28/C26</f>
        <v>0.35196308262320553</v>
      </c>
      <c r="D29" s="688">
        <f>+D28/D26</f>
        <v>0.25</v>
      </c>
      <c r="E29" s="688">
        <f>+E28/E26</f>
        <v>0.23015778652834304</v>
      </c>
      <c r="F29" s="686">
        <f t="shared" si="4"/>
        <v>0.10196308262320553</v>
      </c>
      <c r="G29" s="689">
        <f t="shared" si="5"/>
        <v>0.12180529609486249</v>
      </c>
      <c r="H29" s="757">
        <f t="shared" si="6"/>
        <v>0.4078523304928221</v>
      </c>
      <c r="I29" s="1054">
        <f t="shared" si="7"/>
        <v>0.52922518039537469</v>
      </c>
      <c r="J29" s="1217"/>
    </row>
    <row r="30" spans="1:25">
      <c r="B30" s="561" t="s">
        <v>321</v>
      </c>
      <c r="C30" s="683">
        <f>+Print_Mois!$L$122-C24-C28</f>
        <v>17100.399999999998</v>
      </c>
      <c r="D30" s="683">
        <f>+Print_Mois!$F$122-D24-D28</f>
        <v>18885.310752169724</v>
      </c>
      <c r="E30" s="683">
        <f>+Print_Mois!$Q$122-E24-E28</f>
        <v>17976.190000000002</v>
      </c>
      <c r="F30" s="684">
        <f t="shared" si="4"/>
        <v>-1784.910752169726</v>
      </c>
      <c r="G30" s="685">
        <f t="shared" si="5"/>
        <v>-875.79000000000451</v>
      </c>
      <c r="H30" s="757">
        <f t="shared" si="6"/>
        <v>-9.4513178818868976E-2</v>
      </c>
      <c r="I30" s="1054">
        <f t="shared" si="7"/>
        <v>-4.8719444999190842E-2</v>
      </c>
      <c r="J30" s="1217"/>
    </row>
    <row r="31" spans="1:25">
      <c r="B31" s="561" t="s">
        <v>322</v>
      </c>
      <c r="C31" s="683">
        <f>+C30/C21</f>
        <v>2442.9142857142856</v>
      </c>
      <c r="D31" s="683">
        <f>+D30/D21</f>
        <v>1348.950768012123</v>
      </c>
      <c r="E31" s="683">
        <f>+E30/E21</f>
        <v>1123.5118750000001</v>
      </c>
      <c r="F31" s="684">
        <f t="shared" si="4"/>
        <v>1093.9635177021626</v>
      </c>
      <c r="G31" s="685">
        <f t="shared" si="5"/>
        <v>1319.4024107142855</v>
      </c>
      <c r="H31" s="757">
        <f t="shared" si="6"/>
        <v>0.81097364236226233</v>
      </c>
      <c r="I31" s="1054">
        <f>+IFERROR(G31/ABS($E31),"")</f>
        <v>1.1743555542875639</v>
      </c>
      <c r="J31" s="1217"/>
    </row>
    <row r="32" spans="1:25">
      <c r="B32" s="561" t="s">
        <v>323</v>
      </c>
      <c r="C32" s="683">
        <f>+Print_Mois!$L$163</f>
        <v>4165</v>
      </c>
      <c r="D32" s="683">
        <f>+Print_Mois!$F$163</f>
        <v>10170.205882352941</v>
      </c>
      <c r="E32" s="683">
        <f>+Print_Mois!$Q$163</f>
        <v>9610</v>
      </c>
      <c r="F32" s="684">
        <f t="shared" si="4"/>
        <v>-6005.2058823529405</v>
      </c>
      <c r="G32" s="685">
        <f t="shared" si="5"/>
        <v>-5445</v>
      </c>
      <c r="H32" s="757">
        <f t="shared" si="6"/>
        <v>-0.5904704341111725</v>
      </c>
      <c r="I32" s="1054">
        <f t="shared" si="7"/>
        <v>-0.56659729448491158</v>
      </c>
      <c r="J32" s="1217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60"/>
      <c r="J33" s="1217"/>
    </row>
    <row r="34" spans="2:10">
      <c r="B34" s="732" t="s">
        <v>312</v>
      </c>
      <c r="C34" s="733">
        <v>45</v>
      </c>
      <c r="D34" s="733">
        <v>50</v>
      </c>
      <c r="E34" s="1134">
        <v>44</v>
      </c>
      <c r="F34" s="734">
        <f>+IFERROR($C34-D34,"")</f>
        <v>-5</v>
      </c>
      <c r="G34" s="735">
        <f>+IFERROR($C34-E34,"")</f>
        <v>1</v>
      </c>
      <c r="H34" s="686">
        <f>+IFERROR(F34/ABS($D34),"")</f>
        <v>-0.1</v>
      </c>
      <c r="I34" s="1057">
        <f>+IFERROR(G34/ABS($E34),"")</f>
        <v>2.2727272727272728E-2</v>
      </c>
      <c r="J34" s="1217"/>
    </row>
    <row r="35" spans="2:10">
      <c r="B35" s="740" t="s">
        <v>285</v>
      </c>
      <c r="C35" s="741">
        <v>1675244</v>
      </c>
      <c r="D35" s="741">
        <v>1891887.254901961</v>
      </c>
      <c r="E35" s="741">
        <v>1830461.6099999999</v>
      </c>
      <c r="F35" s="694">
        <f>+IFERROR($C35-D35,"")</f>
        <v>-216643.25490196096</v>
      </c>
      <c r="G35" s="695">
        <f>+IFERROR($C35-E35,"")</f>
        <v>-155217.60999999987</v>
      </c>
      <c r="H35" s="696">
        <f>+IFERROR(F35/ABS($D35),"")</f>
        <v>-0.11451171539986275</v>
      </c>
      <c r="I35" s="1058">
        <f>+IFERROR(G35/ABS($E35),"")</f>
        <v>-8.4796976430442525E-2</v>
      </c>
      <c r="J35" s="1218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3" t="s">
        <v>329</v>
      </c>
    </row>
    <row r="38" spans="2:10" ht="28.2" customHeight="1">
      <c r="B38" s="560" t="s">
        <v>325</v>
      </c>
      <c r="C38" s="581">
        <f>+Print_Mois!$K$194</f>
        <v>193886.47</v>
      </c>
      <c r="D38" s="581">
        <f>+Print_Mois!$E$194</f>
        <v>193589.29961688991</v>
      </c>
      <c r="E38" s="581">
        <f>+Print_Mois!$P$194</f>
        <v>185026.4899999999</v>
      </c>
      <c r="F38" s="582">
        <f t="shared" ref="F38:F47" si="8">+IFERROR($C38-D38,"")</f>
        <v>297.17038311008946</v>
      </c>
      <c r="G38" s="583">
        <f t="shared" ref="G38:G47" si="9">+IFERROR($C38-E38,"")</f>
        <v>8859.9800000000978</v>
      </c>
      <c r="H38" s="792">
        <f t="shared" ref="H38:H47" si="10">+IFERROR(F38/ABS($D38),"")</f>
        <v>1.5350558305556395E-3</v>
      </c>
      <c r="I38" s="1053">
        <f t="shared" ref="I38:I47" si="11">+IFERROR(G38/ABS($E38),"")</f>
        <v>4.7884927179887064E-2</v>
      </c>
      <c r="J38" s="1216" t="s">
        <v>2970</v>
      </c>
    </row>
    <row r="39" spans="2:10">
      <c r="B39" s="560" t="s">
        <v>334</v>
      </c>
      <c r="C39" s="581">
        <f>+Print_Mois!$L$194</f>
        <v>136552.57999999996</v>
      </c>
      <c r="D39" s="581">
        <f>+Print_Mois!$F$194</f>
        <v>134531.09973932186</v>
      </c>
      <c r="E39" s="581">
        <f>+Print_Mois!$Q$194</f>
        <v>125197.73999999987</v>
      </c>
      <c r="F39" s="582">
        <f t="shared" si="8"/>
        <v>2021.4802606781013</v>
      </c>
      <c r="G39" s="583">
        <f t="shared" si="9"/>
        <v>11354.840000000084</v>
      </c>
      <c r="H39" s="793">
        <f t="shared" si="10"/>
        <v>1.5026118604509158E-2</v>
      </c>
      <c r="I39" s="1062">
        <f t="shared" si="11"/>
        <v>9.0695247374274451E-2</v>
      </c>
      <c r="J39" s="1217"/>
    </row>
    <row r="40" spans="2:10">
      <c r="B40" s="561" t="s">
        <v>335</v>
      </c>
      <c r="C40" s="683">
        <f>+Print_Mois!$K$172/Print_Mois!$J$172</f>
        <v>306.12368263473053</v>
      </c>
      <c r="D40" s="1029">
        <v>324</v>
      </c>
      <c r="E40" s="683">
        <f>+Print_Mois!$P$172/Print_Mois!$O$172</f>
        <v>263.10869444444444</v>
      </c>
      <c r="F40" s="684">
        <f t="shared" si="8"/>
        <v>-17.876317365269472</v>
      </c>
      <c r="G40" s="685">
        <f t="shared" si="9"/>
        <v>43.01498819028609</v>
      </c>
      <c r="H40" s="757">
        <f t="shared" si="10"/>
        <v>-5.5173819028609482E-2</v>
      </c>
      <c r="I40" s="1054">
        <f t="shared" si="11"/>
        <v>0.16348752093165334</v>
      </c>
      <c r="J40" s="1217"/>
    </row>
    <row r="41" spans="2:10">
      <c r="B41" s="561" t="s">
        <v>336</v>
      </c>
      <c r="C41" s="683">
        <f>+Print_Mois!$K$175/Print_Mois!$J$175</f>
        <v>175.94625000000002</v>
      </c>
      <c r="D41" s="1029">
        <v>145</v>
      </c>
      <c r="E41" s="683">
        <f>+Print_Mois!$P$175/Print_Mois!$O$175</f>
        <v>126.30227053140096</v>
      </c>
      <c r="F41" s="684">
        <f t="shared" si="8"/>
        <v>30.94625000000002</v>
      </c>
      <c r="G41" s="685">
        <f t="shared" si="9"/>
        <v>49.643979468599056</v>
      </c>
      <c r="H41" s="757">
        <f t="shared" si="10"/>
        <v>0.21342241379310359</v>
      </c>
      <c r="I41" s="1054">
        <f t="shared" si="11"/>
        <v>0.39305690435910801</v>
      </c>
      <c r="J41" s="1217"/>
    </row>
    <row r="42" spans="2:10">
      <c r="B42" s="561" t="s">
        <v>328</v>
      </c>
      <c r="C42" s="698">
        <f>+Print_Mois!$L$184</f>
        <v>-1386.92</v>
      </c>
      <c r="D42" s="698">
        <f>+Print_Mois!$F$184</f>
        <v>-2615.8815259091284</v>
      </c>
      <c r="E42" s="698">
        <f>+Print_Mois!$Q$184</f>
        <v>-3935.5</v>
      </c>
      <c r="F42" s="684">
        <f t="shared" si="8"/>
        <v>1228.9615259091283</v>
      </c>
      <c r="G42" s="685">
        <f t="shared" si="9"/>
        <v>2548.58</v>
      </c>
      <c r="H42" s="757">
        <f t="shared" si="10"/>
        <v>0.46980779279826623</v>
      </c>
      <c r="I42" s="1054">
        <f t="shared" si="11"/>
        <v>0.6475873459535002</v>
      </c>
      <c r="J42" s="1217"/>
    </row>
    <row r="43" spans="2:10">
      <c r="B43" s="561" t="s">
        <v>337</v>
      </c>
      <c r="C43" s="683">
        <f>+Print_Mois!$L$210</f>
        <v>64081.62</v>
      </c>
      <c r="D43" s="683">
        <f>+Print_Mois!$F$210</f>
        <v>59360.797902480015</v>
      </c>
      <c r="E43" s="683">
        <f>+Print_Mois!$Q$210</f>
        <v>57343.540000000008</v>
      </c>
      <c r="F43" s="684">
        <f t="shared" si="8"/>
        <v>4720.8220975199874</v>
      </c>
      <c r="G43" s="685">
        <f t="shared" si="9"/>
        <v>6738.0799999999945</v>
      </c>
      <c r="H43" s="757">
        <f t="shared" si="10"/>
        <v>7.9527605159140854E-2</v>
      </c>
      <c r="I43" s="1054">
        <f t="shared" si="11"/>
        <v>0.11750373276571334</v>
      </c>
      <c r="J43" s="1217"/>
    </row>
    <row r="44" spans="2:10">
      <c r="B44" s="562" t="s">
        <v>338</v>
      </c>
      <c r="C44" s="683">
        <f>+SUM(Print_Mois!$L$198:$L$204)</f>
        <v>42062.57</v>
      </c>
      <c r="D44" s="683">
        <f>+SUM(Print_Mois!$F$198:$F$204)</f>
        <v>35775.894268750759</v>
      </c>
      <c r="E44" s="683">
        <f>+SUM(Print_Mois!$Q$198:$Q$204)</f>
        <v>35530.920000000006</v>
      </c>
      <c r="F44" s="684">
        <f t="shared" si="8"/>
        <v>6286.6757312492409</v>
      </c>
      <c r="G44" s="685">
        <f t="shared" si="9"/>
        <v>6531.6499999999942</v>
      </c>
      <c r="H44" s="757">
        <f t="shared" si="10"/>
        <v>0.17572378999175645</v>
      </c>
      <c r="I44" s="1054">
        <f t="shared" si="11"/>
        <v>0.1838300274802902</v>
      </c>
      <c r="J44" s="1217"/>
    </row>
    <row r="45" spans="2:10">
      <c r="B45" s="562" t="s">
        <v>339</v>
      </c>
      <c r="C45" s="683">
        <f>+SUM(Print_Mois!$L$205:$L$209)</f>
        <v>22019.05</v>
      </c>
      <c r="D45" s="683">
        <f>+SUM(Print_Mois!$F$205:$F$209)</f>
        <v>23584.903633729256</v>
      </c>
      <c r="E45" s="683">
        <f>+SUM(Print_Mois!$Q$205:$Q$209)</f>
        <v>21812.62</v>
      </c>
      <c r="F45" s="684">
        <f t="shared" si="8"/>
        <v>-1565.8536337292571</v>
      </c>
      <c r="G45" s="685">
        <f t="shared" si="9"/>
        <v>206.43000000000029</v>
      </c>
      <c r="H45" s="757">
        <f t="shared" si="10"/>
        <v>-6.6392199775194227E-2</v>
      </c>
      <c r="I45" s="1054">
        <f t="shared" si="11"/>
        <v>9.463787477157733E-3</v>
      </c>
      <c r="J45" s="1217"/>
    </row>
    <row r="46" spans="2:10">
      <c r="B46" s="561" t="s">
        <v>348</v>
      </c>
      <c r="C46" s="723">
        <f>+C43/C38</f>
        <v>0.33051104597448189</v>
      </c>
      <c r="D46" s="723">
        <f>+D43/D38</f>
        <v>0.30663263940700275</v>
      </c>
      <c r="E46" s="723">
        <f>+E43/E38</f>
        <v>0.30992070378679309</v>
      </c>
      <c r="F46" s="686">
        <f t="shared" si="8"/>
        <v>2.3878406567479138E-2</v>
      </c>
      <c r="G46" s="687">
        <f t="shared" si="9"/>
        <v>2.0590342187688793E-2</v>
      </c>
      <c r="H46" s="757">
        <f t="shared" si="10"/>
        <v>7.7873009910678845E-2</v>
      </c>
      <c r="I46" s="1054">
        <f t="shared" si="11"/>
        <v>6.6437452987502629E-2</v>
      </c>
      <c r="J46" s="1217"/>
    </row>
    <row r="47" spans="2:10">
      <c r="B47" s="584" t="s">
        <v>120</v>
      </c>
      <c r="C47" s="699">
        <f>+Print_Mois!$L$213</f>
        <v>8311.58</v>
      </c>
      <c r="D47" s="699">
        <f>+Print_Mois!$F$213</f>
        <v>4822.7083333333339</v>
      </c>
      <c r="E47" s="699">
        <f>+Print_Mois!$Q$213</f>
        <v>7376.38</v>
      </c>
      <c r="F47" s="694">
        <f t="shared" si="8"/>
        <v>3488.871666666666</v>
      </c>
      <c r="G47" s="695">
        <f t="shared" si="9"/>
        <v>935.19999999999982</v>
      </c>
      <c r="H47" s="761">
        <f t="shared" si="10"/>
        <v>0.72342580673031209</v>
      </c>
      <c r="I47" s="1058">
        <f t="shared" si="11"/>
        <v>0.12678305618745236</v>
      </c>
      <c r="J47" s="1218"/>
    </row>
    <row r="48" spans="2:10">
      <c r="C48" s="697"/>
      <c r="D48" s="697"/>
      <c r="E48" s="697"/>
      <c r="F48" s="697"/>
      <c r="G48" s="697"/>
      <c r="H48" s="697"/>
      <c r="I48" s="697"/>
    </row>
    <row r="49" spans="2:25" ht="15" thickBot="1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5" t="s">
        <v>329</v>
      </c>
    </row>
    <row r="50" spans="2:25" ht="14.4" customHeight="1">
      <c r="B50" s="589" t="s">
        <v>325</v>
      </c>
      <c r="C50" s="581">
        <f>+Print_Mois!$J$314</f>
        <v>446364.69</v>
      </c>
      <c r="D50" s="581">
        <f>+Print_Mois!$D$314</f>
        <v>416077.46018601157</v>
      </c>
      <c r="E50" s="581">
        <f>+Print_Mois!$O$314</f>
        <v>387887.49999999988</v>
      </c>
      <c r="F50" s="582">
        <f t="shared" ref="F50:F59" si="12">+IFERROR($C50-D50,"")</f>
        <v>30287.229813988437</v>
      </c>
      <c r="G50" s="583">
        <f t="shared" ref="G50:G59" si="13">+IFERROR($C50-E50,"")</f>
        <v>58477.190000000119</v>
      </c>
      <c r="H50" s="792">
        <f t="shared" ref="H50:H59" si="14">+IFERROR(F50/ABS($D50),"")</f>
        <v>7.2792286802674272E-2</v>
      </c>
      <c r="I50" s="1053">
        <f t="shared" ref="I50:I59" si="15">+IFERROR(G50/ABS($E50),"")</f>
        <v>0.15075811930005514</v>
      </c>
      <c r="J50" s="1212" t="s">
        <v>2973</v>
      </c>
    </row>
    <row r="51" spans="2:25">
      <c r="B51" s="700" t="s">
        <v>326</v>
      </c>
      <c r="C51" s="683">
        <f>+Print_Mois!$J$295</f>
        <v>76600.95</v>
      </c>
      <c r="D51" s="683">
        <f>+Print_Mois!$D$295</f>
        <v>75092.095801150601</v>
      </c>
      <c r="E51" s="683">
        <f>+Print_Mois!$O$295</f>
        <v>71356.91</v>
      </c>
      <c r="F51" s="684">
        <f t="shared" si="12"/>
        <v>1508.8541988493962</v>
      </c>
      <c r="G51" s="685">
        <f t="shared" si="13"/>
        <v>5244.0399999999936</v>
      </c>
      <c r="H51" s="757">
        <f t="shared" si="14"/>
        <v>2.0093382435948427E-2</v>
      </c>
      <c r="I51" s="1054">
        <f t="shared" si="15"/>
        <v>7.3490289868213085E-2</v>
      </c>
      <c r="J51" s="1213"/>
    </row>
    <row r="52" spans="2:25">
      <c r="B52" s="700" t="s">
        <v>327</v>
      </c>
      <c r="C52" s="683">
        <f>+Print_Mois!$J$297</f>
        <v>82161.429999999993</v>
      </c>
      <c r="D52" s="683">
        <f>+Print_Mois!$D$297</f>
        <v>62273.649122875126</v>
      </c>
      <c r="E52" s="683">
        <f>+Print_Mois!$O$297</f>
        <v>36903.35</v>
      </c>
      <c r="F52" s="684">
        <f t="shared" si="12"/>
        <v>19887.780877124867</v>
      </c>
      <c r="G52" s="685">
        <f t="shared" si="13"/>
        <v>45258.079999999994</v>
      </c>
      <c r="H52" s="757">
        <f t="shared" si="14"/>
        <v>0.3193610966635877</v>
      </c>
      <c r="I52" s="1054">
        <f t="shared" si="15"/>
        <v>1.2263948936885132</v>
      </c>
      <c r="J52" s="1213"/>
    </row>
    <row r="53" spans="2:25">
      <c r="B53" s="700" t="s">
        <v>340</v>
      </c>
      <c r="C53" s="683">
        <f>+Print_Mois!$J$300</f>
        <v>54580.51</v>
      </c>
      <c r="D53" s="683">
        <f>+Print_Mois!$D$300</f>
        <v>66469.273336407292</v>
      </c>
      <c r="E53" s="683">
        <f>+Print_Mois!$O$300</f>
        <v>73039.990000000005</v>
      </c>
      <c r="F53" s="684">
        <f t="shared" si="12"/>
        <v>-11888.76333640729</v>
      </c>
      <c r="G53" s="685">
        <f t="shared" si="13"/>
        <v>-18459.480000000003</v>
      </c>
      <c r="H53" s="757">
        <f t="shared" si="14"/>
        <v>-0.17886103969028114</v>
      </c>
      <c r="I53" s="1054">
        <f t="shared" si="15"/>
        <v>-0.25273114084489884</v>
      </c>
      <c r="J53" s="1213"/>
    </row>
    <row r="54" spans="2:25">
      <c r="B54" s="700" t="s">
        <v>341</v>
      </c>
      <c r="C54" s="683">
        <f>+Print_Mois!$J$307</f>
        <v>162274.26</v>
      </c>
      <c r="D54" s="683">
        <f>+Print_Mois!$D$307</f>
        <v>144526.35786994311</v>
      </c>
      <c r="E54" s="683">
        <f>+Print_Mois!$O$307</f>
        <v>130004.68</v>
      </c>
      <c r="F54" s="684">
        <f t="shared" si="12"/>
        <v>17747.9021300569</v>
      </c>
      <c r="G54" s="685">
        <f t="shared" si="13"/>
        <v>32269.580000000016</v>
      </c>
      <c r="H54" s="757">
        <f t="shared" si="14"/>
        <v>0.12280045239933289</v>
      </c>
      <c r="I54" s="1054">
        <f t="shared" si="15"/>
        <v>0.24821860259184531</v>
      </c>
      <c r="J54" s="1213"/>
      <c r="N54" s="1175"/>
      <c r="O54" s="1175"/>
      <c r="P54" s="1175"/>
      <c r="Q54" s="1175"/>
      <c r="R54" s="1175"/>
      <c r="S54" s="1175"/>
      <c r="T54" s="1175"/>
      <c r="U54" s="1175"/>
      <c r="V54" s="1175"/>
      <c r="W54" s="1175"/>
      <c r="X54" s="1175"/>
      <c r="Y54" s="1175"/>
    </row>
    <row r="55" spans="2:25">
      <c r="B55" s="700" t="s">
        <v>342</v>
      </c>
      <c r="C55" s="683">
        <f>+C50-SUM(C51:C54)</f>
        <v>70747.539999999979</v>
      </c>
      <c r="D55" s="683">
        <f>+D50-SUM(D51:D54)</f>
        <v>67716.084055635438</v>
      </c>
      <c r="E55" s="683">
        <f>+E50-SUM(E51:E54)</f>
        <v>76582.569999999891</v>
      </c>
      <c r="F55" s="684">
        <f t="shared" si="12"/>
        <v>3031.4559443645412</v>
      </c>
      <c r="G55" s="685">
        <f t="shared" si="13"/>
        <v>-5835.0299999999115</v>
      </c>
      <c r="H55" s="757">
        <f t="shared" si="14"/>
        <v>4.4767147814895811E-2</v>
      </c>
      <c r="I55" s="1054">
        <f t="shared" si="15"/>
        <v>-7.6192663683132072E-2</v>
      </c>
      <c r="J55" s="1213"/>
    </row>
    <row r="56" spans="2:25">
      <c r="B56" s="560" t="s">
        <v>334</v>
      </c>
      <c r="C56" s="581">
        <f>+Print_Mois!$L$314</f>
        <v>128473.26000000001</v>
      </c>
      <c r="D56" s="581">
        <f>+Print_Mois!$F$314</f>
        <v>129691.43764848028</v>
      </c>
      <c r="E56" s="581">
        <f>+Print_Mois!$Q$314</f>
        <v>111103.71999999988</v>
      </c>
      <c r="F56" s="582">
        <f t="shared" si="12"/>
        <v>-1218.1776484802685</v>
      </c>
      <c r="G56" s="583">
        <f t="shared" si="13"/>
        <v>17369.540000000125</v>
      </c>
      <c r="H56" s="793">
        <f t="shared" si="14"/>
        <v>-9.3928918559917224E-3</v>
      </c>
      <c r="I56" s="1062">
        <f t="shared" si="15"/>
        <v>0.15633625948798244</v>
      </c>
      <c r="J56" s="1213"/>
      <c r="N56" s="1175"/>
      <c r="O56" s="1175"/>
      <c r="P56" s="1175"/>
      <c r="Q56" s="1175"/>
      <c r="R56" s="1175"/>
      <c r="S56" s="1175"/>
      <c r="T56" s="1175"/>
      <c r="U56" s="1175"/>
      <c r="V56" s="1175"/>
      <c r="W56" s="1175"/>
      <c r="X56" s="1175"/>
      <c r="Y56" s="1175"/>
    </row>
    <row r="57" spans="2:25">
      <c r="B57" s="561" t="s">
        <v>335</v>
      </c>
      <c r="C57" s="683">
        <f>+Print_Mois!$J$295/Print_Mois!$J$172</f>
        <v>229.34416167664671</v>
      </c>
      <c r="D57" s="1029">
        <v>301</v>
      </c>
      <c r="E57" s="683">
        <f>+Print_Mois!$O$295/Print_Mois!$O$172</f>
        <v>198.21363888888891</v>
      </c>
      <c r="F57" s="684">
        <f t="shared" si="12"/>
        <v>-71.655838323353294</v>
      </c>
      <c r="G57" s="685">
        <f t="shared" si="13"/>
        <v>31.130522787757798</v>
      </c>
      <c r="H57" s="757">
        <f t="shared" si="14"/>
        <v>-0.23805926353273518</v>
      </c>
      <c r="I57" s="1054">
        <f t="shared" si="15"/>
        <v>0.15705540225316381</v>
      </c>
      <c r="J57" s="1213"/>
    </row>
    <row r="58" spans="2:25">
      <c r="B58" s="561" t="s">
        <v>336</v>
      </c>
      <c r="C58" s="683">
        <f>+Print_Mois!$J$297/Print_Mois!$J$175</f>
        <v>489.0561309523809</v>
      </c>
      <c r="D58" s="1029">
        <v>306</v>
      </c>
      <c r="E58" s="683">
        <f>+Print_Mois!$O$297/Print_Mois!$O$175</f>
        <v>178.2770531400966</v>
      </c>
      <c r="F58" s="684">
        <f t="shared" si="12"/>
        <v>183.0561309523809</v>
      </c>
      <c r="G58" s="685">
        <f t="shared" si="13"/>
        <v>310.7790778122843</v>
      </c>
      <c r="H58" s="757">
        <f t="shared" si="14"/>
        <v>0.59822265017117937</v>
      </c>
      <c r="I58" s="1054">
        <f t="shared" si="15"/>
        <v>1.7432365654376325</v>
      </c>
      <c r="J58" s="1213"/>
    </row>
    <row r="59" spans="2:25" ht="15" thickBot="1">
      <c r="B59" s="584" t="s">
        <v>111</v>
      </c>
      <c r="C59" s="699">
        <f>+Print_Mois!$L$320</f>
        <v>16511.98</v>
      </c>
      <c r="D59" s="699">
        <f>+Print_Mois!$F$320</f>
        <v>14306.324427480917</v>
      </c>
      <c r="E59" s="699">
        <f>+Print_Mois!$Q$320</f>
        <v>14447.65</v>
      </c>
      <c r="F59" s="694">
        <f t="shared" si="12"/>
        <v>2205.6555725190829</v>
      </c>
      <c r="G59" s="695">
        <f t="shared" si="13"/>
        <v>2064.33</v>
      </c>
      <c r="H59" s="761">
        <f t="shared" si="14"/>
        <v>0.15417346249203287</v>
      </c>
      <c r="I59" s="1064">
        <f t="shared" si="15"/>
        <v>0.14288344471246189</v>
      </c>
      <c r="J59" s="1214"/>
    </row>
    <row r="61" spans="2:25" ht="15" thickBot="1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60" t="s">
        <v>329</v>
      </c>
    </row>
    <row r="62" spans="2:25" ht="29.25" customHeight="1">
      <c r="B62" s="701" t="s">
        <v>344</v>
      </c>
      <c r="C62" s="702">
        <f>+Print_Mois!$AF$433/Print_Mois!$AF$407</f>
        <v>0.33244960240382254</v>
      </c>
      <c r="D62" s="702">
        <f>+Print_Mois!$Z$433/Print_Mois!$Z$407</f>
        <v>0.35271545397102666</v>
      </c>
      <c r="E62" s="702">
        <f>+Print_Mois!$AL$433/Print_Mois!$AL$407</f>
        <v>0.36772093287250046</v>
      </c>
      <c r="F62" s="686">
        <f t="shared" ref="F62:G67" si="16">+IFERROR($C62-D62,"")</f>
        <v>-2.0265851567204118E-2</v>
      </c>
      <c r="G62" s="687">
        <f t="shared" si="16"/>
        <v>-3.5271330468677919E-2</v>
      </c>
      <c r="H62" s="757">
        <f t="shared" ref="H62:H67" si="17">+IFERROR(F62/ABS($D62),"")</f>
        <v>-5.7456659012363062E-2</v>
      </c>
      <c r="I62" s="1054">
        <f t="shared" ref="I62:I67" si="18">+IFERROR(G62/ABS($E62),"")</f>
        <v>-9.5918745210263875E-2</v>
      </c>
      <c r="J62" s="1212" t="s">
        <v>2974</v>
      </c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4">
        <f t="shared" si="18"/>
        <v>0</v>
      </c>
      <c r="J63" s="1213"/>
    </row>
    <row r="64" spans="2:25">
      <c r="B64" s="701" t="s">
        <v>331</v>
      </c>
      <c r="C64" s="683">
        <f>+Print_Mois!$AF$414+Print_Mois!$AF$434</f>
        <v>34898.49</v>
      </c>
      <c r="D64" s="683">
        <f>+Print_Mois!$Z$414+Print_Mois!$Z$434</f>
        <v>26104.751710135097</v>
      </c>
      <c r="E64" s="683">
        <f>+Print_Mois!$AL$414+Print_Mois!$AL$434</f>
        <v>34523.93</v>
      </c>
      <c r="F64" s="684">
        <f t="shared" si="16"/>
        <v>8793.7382898649012</v>
      </c>
      <c r="G64" s="685">
        <f t="shared" si="16"/>
        <v>374.55999999999767</v>
      </c>
      <c r="H64" s="757">
        <f t="shared" si="17"/>
        <v>0.33686351004253212</v>
      </c>
      <c r="I64" s="1054">
        <f t="shared" si="18"/>
        <v>1.0849286277662991E-2</v>
      </c>
      <c r="J64" s="1213"/>
    </row>
    <row r="65" spans="2:25">
      <c r="B65" s="701" t="s">
        <v>347</v>
      </c>
      <c r="C65" s="683">
        <f>+Print_Mois!$AF$452-Print_Mois!$AF$434</f>
        <v>81736.709999999992</v>
      </c>
      <c r="D65" s="683">
        <f>+Print_Mois!$Z$452-Print_Mois!$Z$434</f>
        <v>61516.685625747858</v>
      </c>
      <c r="E65" s="683">
        <f>+Print_Mois!$AL$452-Print_Mois!$AL$434</f>
        <v>68388.160000000003</v>
      </c>
      <c r="F65" s="684">
        <f t="shared" si="16"/>
        <v>20220.024374252134</v>
      </c>
      <c r="G65" s="685">
        <f t="shared" si="16"/>
        <v>13348.549999999988</v>
      </c>
      <c r="H65" s="757">
        <f t="shared" si="17"/>
        <v>0.32869170646262885</v>
      </c>
      <c r="I65" s="1054">
        <f t="shared" si="18"/>
        <v>0.19518802669935831</v>
      </c>
      <c r="J65" s="1213"/>
    </row>
    <row r="66" spans="2:25">
      <c r="B66" s="701" t="s">
        <v>346</v>
      </c>
      <c r="C66" s="683">
        <f>+Print_Mois!$AF$415</f>
        <v>38434.049999999996</v>
      </c>
      <c r="D66" s="683">
        <f>+Print_Mois!$Z$415</f>
        <v>31777.783251118872</v>
      </c>
      <c r="E66" s="683">
        <f>+Print_Mois!$AL$415</f>
        <v>21421.07</v>
      </c>
      <c r="F66" s="684">
        <f t="shared" si="16"/>
        <v>6656.2667488811239</v>
      </c>
      <c r="G66" s="685">
        <f t="shared" si="16"/>
        <v>17012.979999999996</v>
      </c>
      <c r="H66" s="757">
        <f t="shared" si="17"/>
        <v>0.20946290357263236</v>
      </c>
      <c r="I66" s="1054">
        <f t="shared" si="18"/>
        <v>0.79421709559793219</v>
      </c>
      <c r="J66" s="1213"/>
    </row>
    <row r="67" spans="2:25" ht="15" thickBot="1">
      <c r="B67" s="703" t="s">
        <v>349</v>
      </c>
      <c r="C67" s="699">
        <f>+Print_Mois!$AF$481-C32-C15</f>
        <v>35975.149999999994</v>
      </c>
      <c r="D67" s="699">
        <f>+Print_Mois!$Z$481-D32-D15</f>
        <v>18372.529846153848</v>
      </c>
      <c r="E67" s="699">
        <f>+Print_Mois!$AL$481-E32-E15</f>
        <v>23018.97</v>
      </c>
      <c r="F67" s="694">
        <f t="shared" si="16"/>
        <v>17602.620153846146</v>
      </c>
      <c r="G67" s="695">
        <f t="shared" si="16"/>
        <v>12956.179999999993</v>
      </c>
      <c r="H67" s="696">
        <f t="shared" si="17"/>
        <v>0.95809451943990853</v>
      </c>
      <c r="I67" s="1058">
        <f t="shared" si="18"/>
        <v>0.5628479467152524</v>
      </c>
      <c r="J67" s="1214"/>
    </row>
    <row r="69" spans="2:25" ht="15" thickBot="1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6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162195.29</v>
      </c>
      <c r="D70" s="709">
        <f>+Print_Mois!$Z$419-Print_Mois!$Z$415+Print_Mois!$Z$434+Print_Mois!$Z$435+Print_Mois!$Z$436</f>
        <v>108850.51764580618</v>
      </c>
      <c r="E70" s="709">
        <f>+Print_Mois!$AL$419-Print_Mois!$AL$415+Print_Mois!$AL$434+Print_Mois!$AL$435+Print_Mois!$AL$436</f>
        <v>118586.15999999996</v>
      </c>
      <c r="F70" s="710">
        <f t="shared" ref="F70:G77" si="19">+IFERROR($C70-D70,"")</f>
        <v>53344.772354193832</v>
      </c>
      <c r="G70" s="711">
        <f t="shared" si="19"/>
        <v>43609.130000000048</v>
      </c>
      <c r="H70" s="686">
        <f t="shared" ref="H70:H77" si="20">+IFERROR(F70/ABS($D70),"")</f>
        <v>0.49007366715310346</v>
      </c>
      <c r="I70" s="1057">
        <f t="shared" ref="I70:I77" si="21">+IFERROR(G70/ABS($E70),"")</f>
        <v>0.36774215473374011</v>
      </c>
      <c r="J70" s="1212" t="s">
        <v>2975</v>
      </c>
    </row>
    <row r="71" spans="2:25">
      <c r="B71" s="708" t="s">
        <v>1937</v>
      </c>
      <c r="C71" s="702">
        <f>+C70/Print_Mois!$AF$407</f>
        <v>0.3273206695302609</v>
      </c>
      <c r="D71" s="702">
        <f>+D70/Print_Mois!$Z$407</f>
        <v>0.23518797410330755</v>
      </c>
      <c r="E71" s="702">
        <f>+E70/Print_Mois!$AL$407</f>
        <v>0.28185943023238619</v>
      </c>
      <c r="F71" s="686">
        <f t="shared" si="19"/>
        <v>9.2132695426953348E-2</v>
      </c>
      <c r="G71" s="687">
        <f t="shared" si="19"/>
        <v>4.5461239297874712E-2</v>
      </c>
      <c r="H71" s="686">
        <f t="shared" si="20"/>
        <v>0.39174067372374904</v>
      </c>
      <c r="I71" s="1057">
        <f t="shared" si="21"/>
        <v>0.16129046759369745</v>
      </c>
      <c r="J71" s="1213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289881.93000000005</v>
      </c>
      <c r="D72" s="683">
        <f>+Print_Mois!$Z$466+Print_Mois!$Z$433+Print_Mois!$Z$437+Print_Mois!$Z$439+SUM(Print_Mois!$Z$440:$Z$448)+Print_Mois!$Z$438</f>
        <v>280249.86767452251</v>
      </c>
      <c r="E72" s="683">
        <f>+Print_Mois!$AL$466+Print_Mois!$AL$433+Print_Mois!$AL$437+Print_Mois!$AL$439+SUM(Print_Mois!$AL$440:$AL$448)+Print_Mois!$AL$438</f>
        <v>277312.31</v>
      </c>
      <c r="F72" s="712">
        <f t="shared" si="19"/>
        <v>9632.0623254775419</v>
      </c>
      <c r="G72" s="713">
        <f t="shared" si="19"/>
        <v>12569.620000000054</v>
      </c>
      <c r="H72" s="686">
        <f>+IFERROR(F72/ABS($D72),"")</f>
        <v>3.4369551733969265E-2</v>
      </c>
      <c r="I72" s="1057">
        <f t="shared" si="21"/>
        <v>4.5326585033315159E-2</v>
      </c>
      <c r="J72" s="1213"/>
    </row>
    <row r="73" spans="2:25">
      <c r="B73" s="708" t="s">
        <v>1939</v>
      </c>
      <c r="C73" s="702">
        <f>+C72/Print_Mois!$AF$407</f>
        <v>0.58500063357156817</v>
      </c>
      <c r="D73" s="702">
        <f>+D72/Print_Mois!$Z$407</f>
        <v>0.60552214216898048</v>
      </c>
      <c r="E73" s="702">
        <f>+E72/Print_Mois!$AL$407</f>
        <v>0.65912489023193666</v>
      </c>
      <c r="F73" s="686">
        <f t="shared" si="19"/>
        <v>-2.0521508597412308E-2</v>
      </c>
      <c r="G73" s="687">
        <f t="shared" si="19"/>
        <v>-7.4124256660368482E-2</v>
      </c>
      <c r="H73" s="686">
        <f t="shared" si="20"/>
        <v>-3.3890599811766189E-2</v>
      </c>
      <c r="I73" s="1057">
        <f t="shared" si="21"/>
        <v>-0.11245859132141894</v>
      </c>
      <c r="J73" s="1213"/>
    </row>
    <row r="74" spans="2:25" s="717" customFormat="1">
      <c r="B74" s="589" t="s">
        <v>1933</v>
      </c>
      <c r="C74" s="581">
        <f>+Print_Mois!$AF$483+Print_Mois!$AF$415</f>
        <v>233921.88999999987</v>
      </c>
      <c r="D74" s="581">
        <f>+Print_Mois!$Z$483+Print_Mois!$Z$415</f>
        <v>176448.72704076633</v>
      </c>
      <c r="E74" s="581">
        <f>+Print_Mois!$AL$483+Print_Mois!$AL$415</f>
        <v>136163.35999999987</v>
      </c>
      <c r="F74" s="582">
        <f t="shared" si="19"/>
        <v>57473.162959233538</v>
      </c>
      <c r="G74" s="583">
        <f t="shared" si="19"/>
        <v>97758.53</v>
      </c>
      <c r="H74" s="793">
        <f t="shared" si="20"/>
        <v>0.32572160719501853</v>
      </c>
      <c r="I74" s="1062">
        <f t="shared" si="21"/>
        <v>0.71795033553813659</v>
      </c>
      <c r="J74" s="1213"/>
      <c r="N74" s="1173"/>
      <c r="O74" s="1173"/>
      <c r="P74" s="1173"/>
      <c r="Q74" s="1173"/>
      <c r="R74" s="1173"/>
      <c r="S74" s="1173"/>
      <c r="T74" s="1173"/>
      <c r="U74" s="1173"/>
      <c r="V74" s="1173"/>
      <c r="W74" s="1173"/>
      <c r="X74" s="1173"/>
      <c r="Y74" s="1173"/>
    </row>
    <row r="75" spans="2:25">
      <c r="B75" s="561" t="s">
        <v>1940</v>
      </c>
      <c r="C75" s="714">
        <f>+C74/Print_Mois!$AF$406</f>
        <v>4.7633105240777407E-2</v>
      </c>
      <c r="D75" s="714">
        <f>+D74/Print_Mois!$Z$406</f>
        <v>4.9370505305282239E-2</v>
      </c>
      <c r="E75" s="714">
        <f>+E74/Print_Mois!$AL$406</f>
        <v>1.134831331566848E-2</v>
      </c>
      <c r="F75" s="724">
        <f t="shared" si="19"/>
        <v>-1.7374000645048321E-3</v>
      </c>
      <c r="G75" s="725">
        <f t="shared" si="19"/>
        <v>3.6284791925108931E-2</v>
      </c>
      <c r="H75" s="757">
        <f t="shared" si="20"/>
        <v>-3.5191052912293054E-2</v>
      </c>
      <c r="I75" s="1054">
        <f t="shared" si="21"/>
        <v>3.1973731175549194</v>
      </c>
      <c r="J75" s="1213"/>
    </row>
    <row r="76" spans="2:25" s="717" customFormat="1">
      <c r="B76" s="589" t="s">
        <v>1934</v>
      </c>
      <c r="C76" s="581">
        <f>+Print_Mois!$AF$498</f>
        <v>177525.75999999989</v>
      </c>
      <c r="D76" s="581">
        <f>+Print_Mois!$Z$498</f>
        <v>132594.38641259828</v>
      </c>
      <c r="E76" s="581">
        <f>+Print_Mois!$AL$498</f>
        <v>95222.289999999863</v>
      </c>
      <c r="F76" s="582">
        <f t="shared" si="19"/>
        <v>44931.373587401613</v>
      </c>
      <c r="G76" s="583">
        <f t="shared" si="19"/>
        <v>82303.47000000003</v>
      </c>
      <c r="H76" s="793">
        <f t="shared" si="20"/>
        <v>0.33886331694003385</v>
      </c>
      <c r="I76" s="1062">
        <f t="shared" si="21"/>
        <v>0.86432987486438473</v>
      </c>
      <c r="J76" s="1213"/>
      <c r="N76" s="1173"/>
      <c r="O76" s="1173"/>
      <c r="P76" s="1173"/>
      <c r="Q76" s="1173"/>
      <c r="R76" s="1173"/>
      <c r="S76" s="1173"/>
      <c r="T76" s="1173"/>
      <c r="U76" s="1173"/>
      <c r="V76" s="1173"/>
      <c r="W76" s="1173"/>
      <c r="X76" s="1173"/>
      <c r="Y76" s="1173"/>
    </row>
    <row r="77" spans="2:25" ht="15" thickBot="1">
      <c r="B77" s="715" t="s">
        <v>1941</v>
      </c>
      <c r="C77" s="716">
        <f>+C76/Print_Mois!$AF$406</f>
        <v>3.6149259947536296E-2</v>
      </c>
      <c r="D77" s="716">
        <f>+D76/Print_Mois!$Z$406</f>
        <v>3.7100023149055618E-2</v>
      </c>
      <c r="E77" s="716">
        <f>+E76/Print_Mois!$AL$406</f>
        <v>7.9361465636236129E-3</v>
      </c>
      <c r="F77" s="726">
        <f t="shared" si="19"/>
        <v>-9.5076320151932237E-4</v>
      </c>
      <c r="G77" s="727">
        <f t="shared" si="19"/>
        <v>2.8213113383912684E-2</v>
      </c>
      <c r="H77" s="761">
        <f t="shared" si="20"/>
        <v>-2.5627024481884295E-2</v>
      </c>
      <c r="I77" s="1064">
        <f t="shared" si="21"/>
        <v>3.5550141567736735</v>
      </c>
      <c r="J77" s="121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3.8"/>
  <cols>
    <col min="1" max="1" width="11" style="1043"/>
    <col min="2" max="2" width="19.8984375" style="1043" customWidth="1"/>
    <col min="3" max="3" width="11.5" style="1044" customWidth="1"/>
    <col min="4" max="4" width="11.5" style="1044" hidden="1" customWidth="1"/>
    <col min="5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1068</v>
      </c>
      <c r="C3" s="1146" t="s">
        <v>302</v>
      </c>
      <c r="D3" s="1147" t="s">
        <v>2514</v>
      </c>
      <c r="E3" s="1148" t="s">
        <v>2915</v>
      </c>
    </row>
    <row r="4" spans="2:5" ht="21" customHeight="1">
      <c r="B4" s="1149" t="s">
        <v>2878</v>
      </c>
      <c r="C4" s="1150">
        <f>Print_Mois!AF498</f>
        <v>177525.75999999989</v>
      </c>
      <c r="D4" s="1151">
        <v>578039</v>
      </c>
      <c r="E4" s="1152">
        <f>Print_AAD!AF498</f>
        <v>695579.13999999908</v>
      </c>
    </row>
    <row r="5" spans="2:5" ht="21" customHeight="1">
      <c r="B5" s="1149" t="s">
        <v>2879</v>
      </c>
      <c r="C5" s="1150">
        <f>Print_Mois!Z498</f>
        <v>132594.38641259828</v>
      </c>
      <c r="D5" s="1151">
        <v>605643</v>
      </c>
      <c r="E5" s="1152">
        <f>Print_AAD!Z498</f>
        <v>1062192.4792036877</v>
      </c>
    </row>
    <row r="6" spans="2:5" ht="21" customHeight="1">
      <c r="B6" s="1149" t="s">
        <v>2513</v>
      </c>
      <c r="C6" s="1150">
        <f>Print_Mois!AL498</f>
        <v>95222.289999999863</v>
      </c>
      <c r="D6" s="1153">
        <v>591965</v>
      </c>
      <c r="E6" s="1152">
        <f>Print_AAD!AL498</f>
        <v>1262010.1099999952</v>
      </c>
    </row>
    <row r="7" spans="2:5" ht="21.6" customHeight="1">
      <c r="B7" s="1154" t="s">
        <v>2880</v>
      </c>
      <c r="C7" s="1155">
        <f>Print_Mois!AF505</f>
        <v>215624</v>
      </c>
      <c r="D7" s="1153"/>
      <c r="E7" s="115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2024-12-11T02:13:26Z</cp:lastPrinted>
  <dcterms:created xsi:type="dcterms:W3CDTF">2020-10-20T13:57:48Z</dcterms:created>
  <dcterms:modified xsi:type="dcterms:W3CDTF">2024-12-11T02:21:51Z</dcterms:modified>
</cp:coreProperties>
</file>